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97DBE195-1E81-4807-AFB1-6C686344A44B}" xr6:coauthVersionLast="47" xr6:coauthVersionMax="47" xr10:uidLastSave="{00000000-0000-0000-0000-000000000000}"/>
  <bookViews>
    <workbookView xWindow="375" yWindow="375" windowWidth="22500" windowHeight="15000" xr2:uid="{00000000-000D-0000-FFFF-FFFF00000000}"/>
  </bookViews>
  <sheets>
    <sheet name="Overview" sheetId="1" r:id="rId1"/>
    <sheet name="Trades" sheetId="2" r:id="rId2"/>
    <sheet name="Cycles" sheetId="3" r:id="rId3"/>
    <sheet name="Instructions" sheetId="4" r:id="rId4"/>
    <sheet name="_EngineTrades" sheetId="5" state="veryHidden" r:id="rId5"/>
    <sheet name="_EngineCycles" sheetId="6" state="veryHidden" r:id="rId6"/>
  </sheets>
  <definedNames>
    <definedName name="_xlnm.Print_Area" localSheetId="3">Instructions!$A1:$L29</definedName>
    <definedName name="_xlnm.Print_Area" localSheetId="0">Overview!$A1:$S25</definedName>
    <definedName name="WheelNetPremiumSeries" localSheetId="0">OFFSET(Overview!$C$50,IF(COUNT(Trades!$A$9:$A$508)=0,12,0),0,IF(COUNT(Trades!$A$9:$A$508)=0,1,12),1)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8" i="6" l="1"/>
  <c r="AB208" i="6"/>
  <c r="AA208" i="6"/>
  <c r="Z208" i="6"/>
  <c r="AC207" i="6"/>
  <c r="AB207" i="6"/>
  <c r="AA207" i="6"/>
  <c r="Z207" i="6"/>
  <c r="AC206" i="6"/>
  <c r="AB206" i="6"/>
  <c r="AA206" i="6"/>
  <c r="Z206" i="6"/>
  <c r="AC205" i="6"/>
  <c r="AB205" i="6"/>
  <c r="AA205" i="6"/>
  <c r="Z205" i="6"/>
  <c r="AC204" i="6"/>
  <c r="AB204" i="6"/>
  <c r="AA204" i="6"/>
  <c r="Z204" i="6"/>
  <c r="AC203" i="6"/>
  <c r="AB203" i="6"/>
  <c r="AA203" i="6"/>
  <c r="Z203" i="6"/>
  <c r="AC202" i="6"/>
  <c r="AB202" i="6"/>
  <c r="AA202" i="6"/>
  <c r="Z202" i="6"/>
  <c r="AC201" i="6"/>
  <c r="AB201" i="6"/>
  <c r="AA201" i="6"/>
  <c r="Z201" i="6"/>
  <c r="AC200" i="6"/>
  <c r="AB200" i="6"/>
  <c r="AA200" i="6"/>
  <c r="Z200" i="6"/>
  <c r="AC199" i="6"/>
  <c r="AB199" i="6"/>
  <c r="AA199" i="6"/>
  <c r="Z199" i="6"/>
  <c r="AC198" i="6"/>
  <c r="AB198" i="6"/>
  <c r="AA198" i="6"/>
  <c r="Z198" i="6"/>
  <c r="AC197" i="6"/>
  <c r="AB197" i="6"/>
  <c r="AA197" i="6"/>
  <c r="Z197" i="6"/>
  <c r="AC196" i="6"/>
  <c r="AB196" i="6"/>
  <c r="AA196" i="6"/>
  <c r="Z196" i="6"/>
  <c r="AC195" i="6"/>
  <c r="AB195" i="6"/>
  <c r="AA195" i="6"/>
  <c r="Z195" i="6"/>
  <c r="AC194" i="6"/>
  <c r="AB194" i="6"/>
  <c r="AA194" i="6"/>
  <c r="Z194" i="6"/>
  <c r="AC193" i="6"/>
  <c r="AB193" i="6"/>
  <c r="AA193" i="6"/>
  <c r="Z193" i="6"/>
  <c r="AC192" i="6"/>
  <c r="AB192" i="6"/>
  <c r="AA192" i="6"/>
  <c r="Z192" i="6"/>
  <c r="AC191" i="6"/>
  <c r="AB191" i="6"/>
  <c r="AA191" i="6"/>
  <c r="Z191" i="6"/>
  <c r="AC190" i="6"/>
  <c r="AB190" i="6"/>
  <c r="AA190" i="6"/>
  <c r="Z190" i="6"/>
  <c r="AC189" i="6"/>
  <c r="AB189" i="6"/>
  <c r="AA189" i="6"/>
  <c r="Z189" i="6"/>
  <c r="AC188" i="6"/>
  <c r="AB188" i="6"/>
  <c r="AA188" i="6"/>
  <c r="Z188" i="6"/>
  <c r="AC187" i="6"/>
  <c r="AB187" i="6"/>
  <c r="AA187" i="6"/>
  <c r="Z187" i="6"/>
  <c r="AC186" i="6"/>
  <c r="AB186" i="6"/>
  <c r="AA186" i="6"/>
  <c r="Z186" i="6"/>
  <c r="AC185" i="6"/>
  <c r="AB185" i="6"/>
  <c r="AA185" i="6"/>
  <c r="Z185" i="6"/>
  <c r="AC184" i="6"/>
  <c r="AB184" i="6"/>
  <c r="AA184" i="6"/>
  <c r="Z184" i="6"/>
  <c r="AC183" i="6"/>
  <c r="AB183" i="6"/>
  <c r="AA183" i="6"/>
  <c r="Z183" i="6"/>
  <c r="AC182" i="6"/>
  <c r="AB182" i="6"/>
  <c r="AA182" i="6"/>
  <c r="Z182" i="6"/>
  <c r="AC181" i="6"/>
  <c r="AB181" i="6"/>
  <c r="AA181" i="6"/>
  <c r="Z181" i="6"/>
  <c r="AC180" i="6"/>
  <c r="AB180" i="6"/>
  <c r="AA180" i="6"/>
  <c r="Z180" i="6"/>
  <c r="AC179" i="6"/>
  <c r="AB179" i="6"/>
  <c r="AA179" i="6"/>
  <c r="Z179" i="6"/>
  <c r="AC178" i="6"/>
  <c r="AB178" i="6"/>
  <c r="AA178" i="6"/>
  <c r="Z178" i="6"/>
  <c r="AC177" i="6"/>
  <c r="AB177" i="6"/>
  <c r="AA177" i="6"/>
  <c r="Z177" i="6"/>
  <c r="AC176" i="6"/>
  <c r="AB176" i="6"/>
  <c r="AA176" i="6"/>
  <c r="Z176" i="6"/>
  <c r="AC175" i="6"/>
  <c r="AB175" i="6"/>
  <c r="AA175" i="6"/>
  <c r="Z175" i="6"/>
  <c r="AC174" i="6"/>
  <c r="AB174" i="6"/>
  <c r="AA174" i="6"/>
  <c r="Z174" i="6"/>
  <c r="AC173" i="6"/>
  <c r="AB173" i="6"/>
  <c r="AA173" i="6"/>
  <c r="Z173" i="6"/>
  <c r="AC172" i="6"/>
  <c r="AB172" i="6"/>
  <c r="AA172" i="6"/>
  <c r="Z172" i="6"/>
  <c r="AC171" i="6"/>
  <c r="AB171" i="6"/>
  <c r="AA171" i="6"/>
  <c r="Z171" i="6"/>
  <c r="AC170" i="6"/>
  <c r="AB170" i="6"/>
  <c r="AA170" i="6"/>
  <c r="Z170" i="6"/>
  <c r="AC169" i="6"/>
  <c r="AB169" i="6"/>
  <c r="AA169" i="6"/>
  <c r="Z169" i="6"/>
  <c r="AC168" i="6"/>
  <c r="AB168" i="6"/>
  <c r="AA168" i="6"/>
  <c r="Z168" i="6"/>
  <c r="AC167" i="6"/>
  <c r="AB167" i="6"/>
  <c r="AA167" i="6"/>
  <c r="Z167" i="6"/>
  <c r="AC166" i="6"/>
  <c r="AB166" i="6"/>
  <c r="AA166" i="6"/>
  <c r="Z166" i="6"/>
  <c r="AC165" i="6"/>
  <c r="AB165" i="6"/>
  <c r="AA165" i="6"/>
  <c r="Z165" i="6"/>
  <c r="AC164" i="6"/>
  <c r="AB164" i="6"/>
  <c r="AA164" i="6"/>
  <c r="Z164" i="6"/>
  <c r="AC163" i="6"/>
  <c r="AB163" i="6"/>
  <c r="AA163" i="6"/>
  <c r="Z163" i="6"/>
  <c r="AC162" i="6"/>
  <c r="AB162" i="6"/>
  <c r="AA162" i="6"/>
  <c r="Z162" i="6"/>
  <c r="AC161" i="6"/>
  <c r="AB161" i="6"/>
  <c r="AA161" i="6"/>
  <c r="Z161" i="6"/>
  <c r="AC160" i="6"/>
  <c r="AB160" i="6"/>
  <c r="AA160" i="6"/>
  <c r="Z160" i="6"/>
  <c r="AC159" i="6"/>
  <c r="AB159" i="6"/>
  <c r="AA159" i="6"/>
  <c r="Z159" i="6"/>
  <c r="AC158" i="6"/>
  <c r="AB158" i="6"/>
  <c r="AA158" i="6"/>
  <c r="Z158" i="6"/>
  <c r="AC157" i="6"/>
  <c r="AB157" i="6"/>
  <c r="AA157" i="6"/>
  <c r="Z157" i="6"/>
  <c r="AC156" i="6"/>
  <c r="AB156" i="6"/>
  <c r="AA156" i="6"/>
  <c r="Z156" i="6"/>
  <c r="AC155" i="6"/>
  <c r="AB155" i="6"/>
  <c r="AA155" i="6"/>
  <c r="Z155" i="6"/>
  <c r="AC154" i="6"/>
  <c r="AB154" i="6"/>
  <c r="AA154" i="6"/>
  <c r="Z154" i="6"/>
  <c r="AC153" i="6"/>
  <c r="AB153" i="6"/>
  <c r="AA153" i="6"/>
  <c r="Z153" i="6"/>
  <c r="AC152" i="6"/>
  <c r="AB152" i="6"/>
  <c r="AA152" i="6"/>
  <c r="Z152" i="6"/>
  <c r="AC151" i="6"/>
  <c r="AB151" i="6"/>
  <c r="AA151" i="6"/>
  <c r="Z151" i="6"/>
  <c r="AC150" i="6"/>
  <c r="AB150" i="6"/>
  <c r="AA150" i="6"/>
  <c r="Z150" i="6"/>
  <c r="AC149" i="6"/>
  <c r="AB149" i="6"/>
  <c r="AA149" i="6"/>
  <c r="Z149" i="6"/>
  <c r="AC148" i="6"/>
  <c r="AB148" i="6"/>
  <c r="AA148" i="6"/>
  <c r="Z148" i="6"/>
  <c r="AC147" i="6"/>
  <c r="AB147" i="6"/>
  <c r="AA147" i="6"/>
  <c r="Z147" i="6"/>
  <c r="AC146" i="6"/>
  <c r="AB146" i="6"/>
  <c r="AA146" i="6"/>
  <c r="Z146" i="6"/>
  <c r="AC145" i="6"/>
  <c r="AB145" i="6"/>
  <c r="AA145" i="6"/>
  <c r="Z145" i="6"/>
  <c r="AC144" i="6"/>
  <c r="AB144" i="6"/>
  <c r="AA144" i="6"/>
  <c r="Z144" i="6"/>
  <c r="AC143" i="6"/>
  <c r="AB143" i="6"/>
  <c r="AA143" i="6"/>
  <c r="Z143" i="6"/>
  <c r="AC142" i="6"/>
  <c r="AB142" i="6"/>
  <c r="AA142" i="6"/>
  <c r="Z142" i="6"/>
  <c r="AC141" i="6"/>
  <c r="AB141" i="6"/>
  <c r="AA141" i="6"/>
  <c r="Z141" i="6"/>
  <c r="AC140" i="6"/>
  <c r="AB140" i="6"/>
  <c r="AA140" i="6"/>
  <c r="Z140" i="6"/>
  <c r="AC139" i="6"/>
  <c r="AB139" i="6"/>
  <c r="AA139" i="6"/>
  <c r="Z139" i="6"/>
  <c r="AC138" i="6"/>
  <c r="AB138" i="6"/>
  <c r="AA138" i="6"/>
  <c r="Z138" i="6"/>
  <c r="AC137" i="6"/>
  <c r="AB137" i="6"/>
  <c r="AA137" i="6"/>
  <c r="Z137" i="6"/>
  <c r="AC136" i="6"/>
  <c r="AB136" i="6"/>
  <c r="AA136" i="6"/>
  <c r="Z136" i="6"/>
  <c r="AC135" i="6"/>
  <c r="AB135" i="6"/>
  <c r="AA135" i="6"/>
  <c r="Z135" i="6"/>
  <c r="AC134" i="6"/>
  <c r="AB134" i="6"/>
  <c r="AA134" i="6"/>
  <c r="Z134" i="6"/>
  <c r="AC133" i="6"/>
  <c r="AB133" i="6"/>
  <c r="AA133" i="6"/>
  <c r="Z133" i="6"/>
  <c r="AC132" i="6"/>
  <c r="AB132" i="6"/>
  <c r="AA132" i="6"/>
  <c r="Z132" i="6"/>
  <c r="AC131" i="6"/>
  <c r="AB131" i="6"/>
  <c r="AA131" i="6"/>
  <c r="Z131" i="6"/>
  <c r="AC130" i="6"/>
  <c r="AB130" i="6"/>
  <c r="AA130" i="6"/>
  <c r="Z130" i="6"/>
  <c r="AC129" i="6"/>
  <c r="AB129" i="6"/>
  <c r="AA129" i="6"/>
  <c r="Z129" i="6"/>
  <c r="AC128" i="6"/>
  <c r="AB128" i="6"/>
  <c r="AA128" i="6"/>
  <c r="Z128" i="6"/>
  <c r="AC127" i="6"/>
  <c r="AB127" i="6"/>
  <c r="AA127" i="6"/>
  <c r="Z127" i="6"/>
  <c r="AC126" i="6"/>
  <c r="AB126" i="6"/>
  <c r="AA126" i="6"/>
  <c r="Z126" i="6"/>
  <c r="AC125" i="6"/>
  <c r="AB125" i="6"/>
  <c r="AA125" i="6"/>
  <c r="Z125" i="6"/>
  <c r="AC124" i="6"/>
  <c r="AB124" i="6"/>
  <c r="AA124" i="6"/>
  <c r="Z124" i="6"/>
  <c r="AC123" i="6"/>
  <c r="AB123" i="6"/>
  <c r="AA123" i="6"/>
  <c r="Z123" i="6"/>
  <c r="AC122" i="6"/>
  <c r="AB122" i="6"/>
  <c r="AA122" i="6"/>
  <c r="Z122" i="6"/>
  <c r="AC121" i="6"/>
  <c r="AB121" i="6"/>
  <c r="AA121" i="6"/>
  <c r="Z121" i="6"/>
  <c r="AC120" i="6"/>
  <c r="AB120" i="6"/>
  <c r="AA120" i="6"/>
  <c r="Z120" i="6"/>
  <c r="AC119" i="6"/>
  <c r="AB119" i="6"/>
  <c r="AA119" i="6"/>
  <c r="Z119" i="6"/>
  <c r="AC118" i="6"/>
  <c r="AB118" i="6"/>
  <c r="AA118" i="6"/>
  <c r="Z118" i="6"/>
  <c r="AC117" i="6"/>
  <c r="AB117" i="6"/>
  <c r="AA117" i="6"/>
  <c r="Z117" i="6"/>
  <c r="AC116" i="6"/>
  <c r="AB116" i="6"/>
  <c r="AA116" i="6"/>
  <c r="Z116" i="6"/>
  <c r="AC115" i="6"/>
  <c r="AB115" i="6"/>
  <c r="AA115" i="6"/>
  <c r="Z115" i="6"/>
  <c r="AC114" i="6"/>
  <c r="AB114" i="6"/>
  <c r="AA114" i="6"/>
  <c r="Z114" i="6"/>
  <c r="AC113" i="6"/>
  <c r="AB113" i="6"/>
  <c r="AA113" i="6"/>
  <c r="Z113" i="6"/>
  <c r="AC112" i="6"/>
  <c r="AB112" i="6"/>
  <c r="AA112" i="6"/>
  <c r="Z112" i="6"/>
  <c r="AC111" i="6"/>
  <c r="AB111" i="6"/>
  <c r="AA111" i="6"/>
  <c r="Z111" i="6"/>
  <c r="AC110" i="6"/>
  <c r="AB110" i="6"/>
  <c r="AA110" i="6"/>
  <c r="Z110" i="6"/>
  <c r="AC109" i="6"/>
  <c r="AB109" i="6"/>
  <c r="AA109" i="6"/>
  <c r="Z109" i="6"/>
  <c r="AC108" i="6"/>
  <c r="AB108" i="6"/>
  <c r="AA108" i="6"/>
  <c r="Z108" i="6"/>
  <c r="AC107" i="6"/>
  <c r="AB107" i="6"/>
  <c r="AA107" i="6"/>
  <c r="Z107" i="6"/>
  <c r="AC106" i="6"/>
  <c r="AB106" i="6"/>
  <c r="AA106" i="6"/>
  <c r="Z106" i="6"/>
  <c r="AC105" i="6"/>
  <c r="AB105" i="6"/>
  <c r="AA105" i="6"/>
  <c r="Z105" i="6"/>
  <c r="AC104" i="6"/>
  <c r="AB104" i="6"/>
  <c r="AA104" i="6"/>
  <c r="Z104" i="6"/>
  <c r="AC103" i="6"/>
  <c r="AB103" i="6"/>
  <c r="AA103" i="6"/>
  <c r="Z103" i="6"/>
  <c r="AC102" i="6"/>
  <c r="AB102" i="6"/>
  <c r="AA102" i="6"/>
  <c r="Z102" i="6"/>
  <c r="AC101" i="6"/>
  <c r="AB101" i="6"/>
  <c r="AA101" i="6"/>
  <c r="Z101" i="6"/>
  <c r="AC100" i="6"/>
  <c r="AB100" i="6"/>
  <c r="AA100" i="6"/>
  <c r="Z100" i="6"/>
  <c r="AC99" i="6"/>
  <c r="AB99" i="6"/>
  <c r="AA99" i="6"/>
  <c r="Z99" i="6"/>
  <c r="AC98" i="6"/>
  <c r="AB98" i="6"/>
  <c r="AA98" i="6"/>
  <c r="Z98" i="6"/>
  <c r="AC97" i="6"/>
  <c r="AB97" i="6"/>
  <c r="AA97" i="6"/>
  <c r="Z97" i="6"/>
  <c r="AC96" i="6"/>
  <c r="AB96" i="6"/>
  <c r="AA96" i="6"/>
  <c r="Z96" i="6"/>
  <c r="AC95" i="6"/>
  <c r="AB95" i="6"/>
  <c r="AA95" i="6"/>
  <c r="Z95" i="6"/>
  <c r="AC94" i="6"/>
  <c r="AB94" i="6"/>
  <c r="AA94" i="6"/>
  <c r="Z94" i="6"/>
  <c r="AC93" i="6"/>
  <c r="AB93" i="6"/>
  <c r="AA93" i="6"/>
  <c r="Z93" i="6"/>
  <c r="AC92" i="6"/>
  <c r="AB92" i="6"/>
  <c r="AA92" i="6"/>
  <c r="Z92" i="6"/>
  <c r="AC91" i="6"/>
  <c r="AB91" i="6"/>
  <c r="AA91" i="6"/>
  <c r="Z91" i="6"/>
  <c r="AC90" i="6"/>
  <c r="AB90" i="6"/>
  <c r="AA90" i="6"/>
  <c r="Z90" i="6"/>
  <c r="AC89" i="6"/>
  <c r="AB89" i="6"/>
  <c r="AA89" i="6"/>
  <c r="Z89" i="6"/>
  <c r="AC88" i="6"/>
  <c r="AB88" i="6"/>
  <c r="AA88" i="6"/>
  <c r="Z88" i="6"/>
  <c r="AC87" i="6"/>
  <c r="AB87" i="6"/>
  <c r="AA87" i="6"/>
  <c r="Z87" i="6"/>
  <c r="AC86" i="6"/>
  <c r="AB86" i="6"/>
  <c r="AA86" i="6"/>
  <c r="Z86" i="6"/>
  <c r="AC85" i="6"/>
  <c r="AB85" i="6"/>
  <c r="AA85" i="6"/>
  <c r="Z85" i="6"/>
  <c r="AC84" i="6"/>
  <c r="AB84" i="6"/>
  <c r="AA84" i="6"/>
  <c r="Z84" i="6"/>
  <c r="AC83" i="6"/>
  <c r="AB83" i="6"/>
  <c r="AA83" i="6"/>
  <c r="Z83" i="6"/>
  <c r="AC82" i="6"/>
  <c r="AB82" i="6"/>
  <c r="AA82" i="6"/>
  <c r="Z82" i="6"/>
  <c r="AC81" i="6"/>
  <c r="AB81" i="6"/>
  <c r="AA81" i="6"/>
  <c r="Z81" i="6"/>
  <c r="AC80" i="6"/>
  <c r="AB80" i="6"/>
  <c r="AA80" i="6"/>
  <c r="Z80" i="6"/>
  <c r="AC79" i="6"/>
  <c r="AB79" i="6"/>
  <c r="AA79" i="6"/>
  <c r="Z79" i="6"/>
  <c r="AC78" i="6"/>
  <c r="AB78" i="6"/>
  <c r="AA78" i="6"/>
  <c r="Z78" i="6"/>
  <c r="AC77" i="6"/>
  <c r="AB77" i="6"/>
  <c r="AA77" i="6"/>
  <c r="Z77" i="6"/>
  <c r="AC76" i="6"/>
  <c r="AB76" i="6"/>
  <c r="AA76" i="6"/>
  <c r="Z76" i="6"/>
  <c r="AC75" i="6"/>
  <c r="AB75" i="6"/>
  <c r="AA75" i="6"/>
  <c r="Z75" i="6"/>
  <c r="AC74" i="6"/>
  <c r="AB74" i="6"/>
  <c r="AA74" i="6"/>
  <c r="Z74" i="6"/>
  <c r="AC73" i="6"/>
  <c r="AB73" i="6"/>
  <c r="AA73" i="6"/>
  <c r="Z73" i="6"/>
  <c r="AC72" i="6"/>
  <c r="AB72" i="6"/>
  <c r="AA72" i="6"/>
  <c r="Z72" i="6"/>
  <c r="AC71" i="6"/>
  <c r="AB71" i="6"/>
  <c r="AA71" i="6"/>
  <c r="Z71" i="6"/>
  <c r="AC70" i="6"/>
  <c r="AB70" i="6"/>
  <c r="AA70" i="6"/>
  <c r="Z70" i="6"/>
  <c r="AC69" i="6"/>
  <c r="AB69" i="6"/>
  <c r="AA69" i="6"/>
  <c r="Z69" i="6"/>
  <c r="AC68" i="6"/>
  <c r="AB68" i="6"/>
  <c r="AA68" i="6"/>
  <c r="Z68" i="6"/>
  <c r="AC67" i="6"/>
  <c r="AB67" i="6"/>
  <c r="AA67" i="6"/>
  <c r="Z67" i="6"/>
  <c r="AC66" i="6"/>
  <c r="AB66" i="6"/>
  <c r="AA66" i="6"/>
  <c r="Z66" i="6"/>
  <c r="AC65" i="6"/>
  <c r="AB65" i="6"/>
  <c r="AA65" i="6"/>
  <c r="Z65" i="6"/>
  <c r="AC64" i="6"/>
  <c r="AB64" i="6"/>
  <c r="AA64" i="6"/>
  <c r="Z64" i="6"/>
  <c r="AC63" i="6"/>
  <c r="AB63" i="6"/>
  <c r="AA63" i="6"/>
  <c r="Z63" i="6"/>
  <c r="AC62" i="6"/>
  <c r="AB62" i="6"/>
  <c r="AA62" i="6"/>
  <c r="Z62" i="6"/>
  <c r="AC61" i="6"/>
  <c r="AB61" i="6"/>
  <c r="AA61" i="6"/>
  <c r="Z61" i="6"/>
  <c r="AC60" i="6"/>
  <c r="AB60" i="6"/>
  <c r="AA60" i="6"/>
  <c r="Z60" i="6"/>
  <c r="AC59" i="6"/>
  <c r="AB59" i="6"/>
  <c r="AA59" i="6"/>
  <c r="Z59" i="6"/>
  <c r="AC58" i="6"/>
  <c r="AB58" i="6"/>
  <c r="AA58" i="6"/>
  <c r="Z58" i="6"/>
  <c r="AC57" i="6"/>
  <c r="AB57" i="6"/>
  <c r="AA57" i="6"/>
  <c r="Z57" i="6"/>
  <c r="AC56" i="6"/>
  <c r="AB56" i="6"/>
  <c r="AA56" i="6"/>
  <c r="Z56" i="6"/>
  <c r="AC55" i="6"/>
  <c r="AB55" i="6"/>
  <c r="AA55" i="6"/>
  <c r="Z55" i="6"/>
  <c r="AC54" i="6"/>
  <c r="AB54" i="6"/>
  <c r="AA54" i="6"/>
  <c r="Z54" i="6"/>
  <c r="AC53" i="6"/>
  <c r="AB53" i="6"/>
  <c r="AA53" i="6"/>
  <c r="Z53" i="6"/>
  <c r="AC52" i="6"/>
  <c r="AB52" i="6"/>
  <c r="AA52" i="6"/>
  <c r="Z52" i="6"/>
  <c r="AC51" i="6"/>
  <c r="AB51" i="6"/>
  <c r="AA51" i="6"/>
  <c r="Z51" i="6"/>
  <c r="AC50" i="6"/>
  <c r="AB50" i="6"/>
  <c r="AA50" i="6"/>
  <c r="Z50" i="6"/>
  <c r="AC49" i="6"/>
  <c r="AB49" i="6"/>
  <c r="AA49" i="6"/>
  <c r="Z49" i="6"/>
  <c r="AC48" i="6"/>
  <c r="AB48" i="6"/>
  <c r="AA48" i="6"/>
  <c r="Z48" i="6"/>
  <c r="AC47" i="6"/>
  <c r="AB47" i="6"/>
  <c r="AA47" i="6"/>
  <c r="Z47" i="6"/>
  <c r="AC46" i="6"/>
  <c r="AB46" i="6"/>
  <c r="AA46" i="6"/>
  <c r="Z46" i="6"/>
  <c r="AC45" i="6"/>
  <c r="AB45" i="6"/>
  <c r="AA45" i="6"/>
  <c r="Z45" i="6"/>
  <c r="AC44" i="6"/>
  <c r="AB44" i="6"/>
  <c r="AA44" i="6"/>
  <c r="Z44" i="6"/>
  <c r="AC43" i="6"/>
  <c r="AB43" i="6"/>
  <c r="AA43" i="6"/>
  <c r="Z43" i="6"/>
  <c r="AC42" i="6"/>
  <c r="AB42" i="6"/>
  <c r="AA42" i="6"/>
  <c r="Z42" i="6"/>
  <c r="AC41" i="6"/>
  <c r="AB41" i="6"/>
  <c r="AA41" i="6"/>
  <c r="Z41" i="6"/>
  <c r="AC40" i="6"/>
  <c r="AB40" i="6"/>
  <c r="AA40" i="6"/>
  <c r="Z40" i="6"/>
  <c r="AC39" i="6"/>
  <c r="AB39" i="6"/>
  <c r="AA39" i="6"/>
  <c r="Z39" i="6"/>
  <c r="AC38" i="6"/>
  <c r="AB38" i="6"/>
  <c r="AA38" i="6"/>
  <c r="Z38" i="6"/>
  <c r="AC37" i="6"/>
  <c r="AB37" i="6"/>
  <c r="AA37" i="6"/>
  <c r="Z37" i="6"/>
  <c r="AC36" i="6"/>
  <c r="AB36" i="6"/>
  <c r="AA36" i="6"/>
  <c r="Z36" i="6"/>
  <c r="AC35" i="6"/>
  <c r="AB35" i="6"/>
  <c r="AA35" i="6"/>
  <c r="Z35" i="6"/>
  <c r="AC34" i="6"/>
  <c r="AB34" i="6"/>
  <c r="AA34" i="6"/>
  <c r="Z34" i="6"/>
  <c r="AC33" i="6"/>
  <c r="AB33" i="6"/>
  <c r="AA33" i="6"/>
  <c r="Z33" i="6"/>
  <c r="AC32" i="6"/>
  <c r="AB32" i="6"/>
  <c r="AA32" i="6"/>
  <c r="Z32" i="6"/>
  <c r="AC31" i="6"/>
  <c r="AB31" i="6"/>
  <c r="AA31" i="6"/>
  <c r="Z31" i="6"/>
  <c r="AC30" i="6"/>
  <c r="AB30" i="6"/>
  <c r="AA30" i="6"/>
  <c r="Z30" i="6"/>
  <c r="AC29" i="6"/>
  <c r="AB29" i="6"/>
  <c r="AA29" i="6"/>
  <c r="Z29" i="6"/>
  <c r="AC28" i="6"/>
  <c r="AB28" i="6"/>
  <c r="AA28" i="6"/>
  <c r="Z28" i="6"/>
  <c r="AC27" i="6"/>
  <c r="AB27" i="6"/>
  <c r="AA27" i="6"/>
  <c r="Z27" i="6"/>
  <c r="AC26" i="6"/>
  <c r="AB26" i="6"/>
  <c r="AA26" i="6"/>
  <c r="Z26" i="6"/>
  <c r="AC25" i="6"/>
  <c r="AB25" i="6"/>
  <c r="AA25" i="6"/>
  <c r="Z25" i="6"/>
  <c r="AC24" i="6"/>
  <c r="AB24" i="6"/>
  <c r="AA24" i="6"/>
  <c r="Z24" i="6"/>
  <c r="AC23" i="6"/>
  <c r="AB23" i="6"/>
  <c r="AA23" i="6"/>
  <c r="Z23" i="6"/>
  <c r="AC22" i="6"/>
  <c r="AB22" i="6"/>
  <c r="AA22" i="6"/>
  <c r="Z22" i="6"/>
  <c r="AC21" i="6"/>
  <c r="AB21" i="6"/>
  <c r="AA21" i="6"/>
  <c r="Z21" i="6"/>
  <c r="AC20" i="6"/>
  <c r="AB20" i="6"/>
  <c r="AA20" i="6"/>
  <c r="Z20" i="6"/>
  <c r="AC19" i="6"/>
  <c r="AB19" i="6"/>
  <c r="AA19" i="6"/>
  <c r="Z19" i="6"/>
  <c r="AC18" i="6"/>
  <c r="AB18" i="6"/>
  <c r="AA18" i="6"/>
  <c r="Z18" i="6"/>
  <c r="AC17" i="6"/>
  <c r="AB17" i="6"/>
  <c r="AA17" i="6"/>
  <c r="Z17" i="6"/>
  <c r="AC16" i="6"/>
  <c r="AB16" i="6"/>
  <c r="AA16" i="6"/>
  <c r="Z16" i="6"/>
  <c r="AC15" i="6"/>
  <c r="AB15" i="6"/>
  <c r="AA15" i="6"/>
  <c r="Z15" i="6"/>
  <c r="AC14" i="6"/>
  <c r="AB14" i="6"/>
  <c r="AA14" i="6"/>
  <c r="Z14" i="6"/>
  <c r="AC13" i="6"/>
  <c r="AB13" i="6"/>
  <c r="AA13" i="6"/>
  <c r="Z13" i="6"/>
  <c r="AC12" i="6"/>
  <c r="AB12" i="6"/>
  <c r="AA12" i="6"/>
  <c r="Z12" i="6"/>
  <c r="AC11" i="6"/>
  <c r="AB11" i="6"/>
  <c r="AA11" i="6"/>
  <c r="Z11" i="6"/>
  <c r="AC10" i="6"/>
  <c r="AB10" i="6"/>
  <c r="AA10" i="6"/>
  <c r="Z10" i="6"/>
  <c r="AC9" i="6"/>
  <c r="AB9" i="6"/>
  <c r="AA9" i="6"/>
  <c r="Z9" i="6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D508" i="5"/>
  <c r="C508" i="5"/>
  <c r="B508" i="5"/>
  <c r="A508" i="5"/>
  <c r="AH507" i="5"/>
  <c r="AG507" i="5"/>
  <c r="W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D507" i="5"/>
  <c r="C507" i="5"/>
  <c r="B507" i="5"/>
  <c r="A507" i="5"/>
  <c r="Z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D506" i="5"/>
  <c r="C506" i="5"/>
  <c r="B506" i="5"/>
  <c r="A506" i="5"/>
  <c r="AA506" i="5" s="1"/>
  <c r="Y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B505" i="5"/>
  <c r="A505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D504" i="5"/>
  <c r="C504" i="5"/>
  <c r="B504" i="5"/>
  <c r="A504" i="5"/>
  <c r="AF503" i="5"/>
  <c r="AB503" i="5"/>
  <c r="V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D503" i="5"/>
  <c r="C503" i="5"/>
  <c r="B503" i="5"/>
  <c r="A503" i="5"/>
  <c r="AC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A502" i="5"/>
  <c r="S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D501" i="5"/>
  <c r="C501" i="5"/>
  <c r="B501" i="5"/>
  <c r="A501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B500" i="5"/>
  <c r="A500" i="5"/>
  <c r="Z500" i="5" s="1"/>
  <c r="AO499" i="5"/>
  <c r="Y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B499" i="5"/>
  <c r="A499" i="5"/>
  <c r="AW498" i="5"/>
  <c r="AO498" i="5"/>
  <c r="S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D498" i="5"/>
  <c r="C498" i="5"/>
  <c r="B498" i="5"/>
  <c r="A498" i="5"/>
  <c r="Z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D497" i="5"/>
  <c r="C497" i="5"/>
  <c r="B497" i="5"/>
  <c r="A497" i="5"/>
  <c r="Z496" i="5"/>
  <c r="Y496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AC495" i="5"/>
  <c r="W495" i="5"/>
  <c r="V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D495" i="5"/>
  <c r="C495" i="5"/>
  <c r="B495" i="5"/>
  <c r="A495" i="5"/>
  <c r="AF494" i="5"/>
  <c r="AE494" i="5"/>
  <c r="AC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A494" i="5"/>
  <c r="AQ494" i="5" s="1"/>
  <c r="AK493" i="5"/>
  <c r="AE493" i="5"/>
  <c r="AD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B493" i="5"/>
  <c r="A493" i="5"/>
  <c r="AM493" i="5" s="1"/>
  <c r="W492" i="5"/>
  <c r="V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D492" i="5"/>
  <c r="C492" i="5"/>
  <c r="B492" i="5"/>
  <c r="A492" i="5"/>
  <c r="S492" i="5" s="1"/>
  <c r="AT491" i="5"/>
  <c r="A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D491" i="5"/>
  <c r="C491" i="5"/>
  <c r="B491" i="5"/>
  <c r="A491" i="5"/>
  <c r="AW490" i="5"/>
  <c r="AT490" i="5"/>
  <c r="AI490" i="5"/>
  <c r="AG490" i="5"/>
  <c r="AF490" i="5"/>
  <c r="X490" i="5"/>
  <c r="S490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A490" i="5"/>
  <c r="AD489" i="5"/>
  <c r="S489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D489" i="5"/>
  <c r="C489" i="5"/>
  <c r="B489" i="5"/>
  <c r="A489" i="5"/>
  <c r="AN489" i="5" s="1"/>
  <c r="S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D488" i="5"/>
  <c r="C488" i="5"/>
  <c r="B488" i="5"/>
  <c r="T488" i="5" s="1"/>
  <c r="A488" i="5"/>
  <c r="X487" i="5"/>
  <c r="W487" i="5"/>
  <c r="V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B487" i="5"/>
  <c r="A487" i="5"/>
  <c r="AF486" i="5"/>
  <c r="AE486" i="5"/>
  <c r="AA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D486" i="5"/>
  <c r="C486" i="5"/>
  <c r="B486" i="5"/>
  <c r="A486" i="5"/>
  <c r="AW486" i="5" s="1"/>
  <c r="T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D485" i="5"/>
  <c r="C485" i="5"/>
  <c r="B485" i="5"/>
  <c r="A485" i="5"/>
  <c r="V484" i="5"/>
  <c r="U484" i="5"/>
  <c r="S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D484" i="5"/>
  <c r="C484" i="5"/>
  <c r="B484" i="5"/>
  <c r="A484" i="5"/>
  <c r="AQ484" i="5" s="1"/>
  <c r="AM483" i="5"/>
  <c r="W483" i="5"/>
  <c r="V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D483" i="5"/>
  <c r="C483" i="5"/>
  <c r="B483" i="5"/>
  <c r="A483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A482" i="5"/>
  <c r="AN481" i="5"/>
  <c r="AJ481" i="5"/>
  <c r="AI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A481" i="5"/>
  <c r="AA480" i="5"/>
  <c r="Z480" i="5"/>
  <c r="Y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D480" i="5"/>
  <c r="C480" i="5"/>
  <c r="B480" i="5"/>
  <c r="A480" i="5"/>
  <c r="AE480" i="5" s="1"/>
  <c r="AJ479" i="5"/>
  <c r="AH479" i="5"/>
  <c r="W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D479" i="5"/>
  <c r="C479" i="5"/>
  <c r="B479" i="5"/>
  <c r="A479" i="5"/>
  <c r="AH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A478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D477" i="5"/>
  <c r="C477" i="5"/>
  <c r="B477" i="5"/>
  <c r="A477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B476" i="5"/>
  <c r="A476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A475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D474" i="5"/>
  <c r="C474" i="5"/>
  <c r="B474" i="5"/>
  <c r="A474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B473" i="5"/>
  <c r="A473" i="5"/>
  <c r="AR472" i="5"/>
  <c r="AB472" i="5"/>
  <c r="V472" i="5"/>
  <c r="U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D472" i="5"/>
  <c r="C472" i="5"/>
  <c r="B472" i="5"/>
  <c r="A472" i="5"/>
  <c r="AP472" i="5" s="1"/>
  <c r="AI471" i="5"/>
  <c r="W471" i="5"/>
  <c r="U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D471" i="5"/>
  <c r="C471" i="5"/>
  <c r="B471" i="5"/>
  <c r="A471" i="5"/>
  <c r="Y470" i="5"/>
  <c r="T470" i="5"/>
  <c r="AU470" i="5" s="1"/>
  <c r="S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D470" i="5"/>
  <c r="C470" i="5"/>
  <c r="B470" i="5"/>
  <c r="A470" i="5"/>
  <c r="AR470" i="5" s="1"/>
  <c r="AF469" i="5"/>
  <c r="AC469" i="5"/>
  <c r="U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D469" i="5"/>
  <c r="C469" i="5"/>
  <c r="B469" i="5"/>
  <c r="A469" i="5"/>
  <c r="AQ468" i="5"/>
  <c r="AN468" i="5"/>
  <c r="AM468" i="5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D468" i="5"/>
  <c r="C468" i="5"/>
  <c r="B468" i="5"/>
  <c r="A468" i="5"/>
  <c r="AY467" i="5"/>
  <c r="AW467" i="5"/>
  <c r="AS467" i="5"/>
  <c r="AO467" i="5"/>
  <c r="AN467" i="5"/>
  <c r="AM467" i="5"/>
  <c r="AK467" i="5"/>
  <c r="AJ467" i="5"/>
  <c r="AA467" i="5"/>
  <c r="Y467" i="5"/>
  <c r="T467" i="5"/>
  <c r="AU467" i="5" s="1"/>
  <c r="AV467" i="5" s="1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D467" i="5"/>
  <c r="C467" i="5"/>
  <c r="B467" i="5"/>
  <c r="A467" i="5"/>
  <c r="AI467" i="5" s="1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D466" i="5"/>
  <c r="C466" i="5"/>
  <c r="B466" i="5"/>
  <c r="A466" i="5"/>
  <c r="Y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D465" i="5"/>
  <c r="C465" i="5"/>
  <c r="B465" i="5"/>
  <c r="A465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B464" i="5"/>
  <c r="A464" i="5"/>
  <c r="AP463" i="5"/>
  <c r="AL463" i="5"/>
  <c r="AE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D463" i="5"/>
  <c r="C463" i="5"/>
  <c r="B463" i="5"/>
  <c r="A463" i="5"/>
  <c r="AP462" i="5"/>
  <c r="AK462" i="5"/>
  <c r="AI462" i="5"/>
  <c r="AH462" i="5"/>
  <c r="AG462" i="5"/>
  <c r="AC462" i="5"/>
  <c r="AB462" i="5"/>
  <c r="AA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D462" i="5"/>
  <c r="C462" i="5"/>
  <c r="B462" i="5"/>
  <c r="A462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A461" i="5"/>
  <c r="AN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D460" i="5"/>
  <c r="C460" i="5"/>
  <c r="B460" i="5"/>
  <c r="A460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D459" i="5"/>
  <c r="C459" i="5"/>
  <c r="B459" i="5"/>
  <c r="A459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D458" i="5"/>
  <c r="C458" i="5"/>
  <c r="B458" i="5"/>
  <c r="A458" i="5"/>
  <c r="AW457" i="5"/>
  <c r="AT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D457" i="5"/>
  <c r="C457" i="5"/>
  <c r="B457" i="5"/>
  <c r="A457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D456" i="5"/>
  <c r="C456" i="5"/>
  <c r="B456" i="5"/>
  <c r="A456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D455" i="5"/>
  <c r="C455" i="5"/>
  <c r="B455" i="5"/>
  <c r="A455" i="5"/>
  <c r="S455" i="5" s="1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B454" i="5"/>
  <c r="A454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D453" i="5"/>
  <c r="C453" i="5"/>
  <c r="B453" i="5"/>
  <c r="A453" i="5"/>
  <c r="S453" i="5" s="1"/>
  <c r="AS452" i="5"/>
  <c r="AR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D452" i="5"/>
  <c r="C452" i="5"/>
  <c r="B452" i="5"/>
  <c r="A452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A451" i="5"/>
  <c r="X451" i="5" s="1"/>
  <c r="AW450" i="5"/>
  <c r="W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D450" i="5"/>
  <c r="C450" i="5"/>
  <c r="B450" i="5"/>
  <c r="A450" i="5"/>
  <c r="AH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A449" i="5"/>
  <c r="AT448" i="5"/>
  <c r="AF448" i="5"/>
  <c r="U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A448" i="5"/>
  <c r="AO448" i="5" s="1"/>
  <c r="AO447" i="5"/>
  <c r="AN447" i="5"/>
  <c r="AK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D447" i="5"/>
  <c r="C447" i="5"/>
  <c r="B447" i="5"/>
  <c r="A447" i="5"/>
  <c r="AA446" i="5"/>
  <c r="Z446" i="5"/>
  <c r="Y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A446" i="5"/>
  <c r="AF445" i="5"/>
  <c r="Z445" i="5"/>
  <c r="V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B445" i="5"/>
  <c r="A445" i="5"/>
  <c r="AW444" i="5"/>
  <c r="AA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D444" i="5"/>
  <c r="C444" i="5"/>
  <c r="B444" i="5"/>
  <c r="A444" i="5"/>
  <c r="AA443" i="5"/>
  <c r="Z443" i="5"/>
  <c r="S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D443" i="5"/>
  <c r="C443" i="5"/>
  <c r="B443" i="5"/>
  <c r="A443" i="5"/>
  <c r="AO443" i="5" s="1"/>
  <c r="AC442" i="5"/>
  <c r="Z442" i="5"/>
  <c r="X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D442" i="5"/>
  <c r="C442" i="5"/>
  <c r="B442" i="5"/>
  <c r="A442" i="5"/>
  <c r="AC441" i="5"/>
  <c r="AB441" i="5"/>
  <c r="W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D441" i="5"/>
  <c r="C441" i="5"/>
  <c r="B441" i="5"/>
  <c r="A441" i="5"/>
  <c r="AT440" i="5"/>
  <c r="AL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B440" i="5"/>
  <c r="A440" i="5"/>
  <c r="AS439" i="5"/>
  <c r="AO439" i="5"/>
  <c r="AG439" i="5"/>
  <c r="AF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D439" i="5"/>
  <c r="C439" i="5"/>
  <c r="B439" i="5"/>
  <c r="A439" i="5"/>
  <c r="AA439" i="5" s="1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D438" i="5"/>
  <c r="C438" i="5"/>
  <c r="B438" i="5"/>
  <c r="A438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A437" i="5"/>
  <c r="Y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D436" i="5"/>
  <c r="C436" i="5"/>
  <c r="B436" i="5"/>
  <c r="A436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D435" i="5"/>
  <c r="C435" i="5"/>
  <c r="B435" i="5"/>
  <c r="A435" i="5"/>
  <c r="V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A434" i="5"/>
  <c r="AQ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D433" i="5"/>
  <c r="C433" i="5"/>
  <c r="B433" i="5"/>
  <c r="A433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D432" i="5"/>
  <c r="C432" i="5"/>
  <c r="B432" i="5"/>
  <c r="A432" i="5"/>
  <c r="AK432" i="5" s="1"/>
  <c r="AW431" i="5"/>
  <c r="AR431" i="5"/>
  <c r="AF431" i="5"/>
  <c r="AB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A431" i="5"/>
  <c r="R431" i="5" s="1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A430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D429" i="5"/>
  <c r="C429" i="5"/>
  <c r="B429" i="5"/>
  <c r="A429" i="5"/>
  <c r="AL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A428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B427" i="5"/>
  <c r="A427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D426" i="5"/>
  <c r="C426" i="5"/>
  <c r="B426" i="5"/>
  <c r="A426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B425" i="5"/>
  <c r="A425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D424" i="5"/>
  <c r="C424" i="5"/>
  <c r="B424" i="5"/>
  <c r="A424" i="5"/>
  <c r="AQ424" i="5" s="1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D423" i="5"/>
  <c r="C423" i="5"/>
  <c r="B423" i="5"/>
  <c r="A423" i="5"/>
  <c r="V422" i="5"/>
  <c r="S422" i="5"/>
  <c r="R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D422" i="5"/>
  <c r="C422" i="5"/>
  <c r="B422" i="5"/>
  <c r="A422" i="5"/>
  <c r="AP422" i="5" s="1"/>
  <c r="AG421" i="5"/>
  <c r="AE421" i="5"/>
  <c r="W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D421" i="5"/>
  <c r="C421" i="5"/>
  <c r="B421" i="5"/>
  <c r="A421" i="5"/>
  <c r="U420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T420" i="5" s="1"/>
  <c r="A420" i="5"/>
  <c r="AR419" i="5"/>
  <c r="AQ419" i="5"/>
  <c r="AB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D419" i="5"/>
  <c r="C419" i="5"/>
  <c r="B419" i="5"/>
  <c r="A419" i="5"/>
  <c r="AW419" i="5" s="1"/>
  <c r="AJ418" i="5"/>
  <c r="AD418" i="5"/>
  <c r="AC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D418" i="5"/>
  <c r="C418" i="5"/>
  <c r="B418" i="5"/>
  <c r="A418" i="5"/>
  <c r="AB418" i="5" s="1"/>
  <c r="AF417" i="5"/>
  <c r="AE417" i="5"/>
  <c r="AD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D417" i="5"/>
  <c r="C417" i="5"/>
  <c r="B417" i="5"/>
  <c r="A417" i="5"/>
  <c r="AG417" i="5" s="1"/>
  <c r="AO416" i="5"/>
  <c r="W416" i="5"/>
  <c r="S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D416" i="5"/>
  <c r="C416" i="5"/>
  <c r="B416" i="5"/>
  <c r="A416" i="5"/>
  <c r="R416" i="5" s="1"/>
  <c r="AN415" i="5"/>
  <c r="AC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D415" i="5"/>
  <c r="C415" i="5"/>
  <c r="B415" i="5"/>
  <c r="A415" i="5"/>
  <c r="Y415" i="5" s="1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D414" i="5"/>
  <c r="C414" i="5"/>
  <c r="B414" i="5"/>
  <c r="A414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B413" i="5"/>
  <c r="A413" i="5"/>
  <c r="AW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D412" i="5"/>
  <c r="C412" i="5"/>
  <c r="B412" i="5"/>
  <c r="A412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D411" i="5"/>
  <c r="C411" i="5"/>
  <c r="B411" i="5"/>
  <c r="A411" i="5"/>
  <c r="AP410" i="5"/>
  <c r="AH410" i="5"/>
  <c r="Y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U410" i="5" s="1"/>
  <c r="X409" i="5"/>
  <c r="V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B409" i="5"/>
  <c r="A409" i="5"/>
  <c r="AC408" i="5"/>
  <c r="AB408" i="5"/>
  <c r="Y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D408" i="5"/>
  <c r="C408" i="5"/>
  <c r="B408" i="5"/>
  <c r="A408" i="5"/>
  <c r="AN408" i="5" s="1"/>
  <c r="AT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B407" i="5"/>
  <c r="A407" i="5"/>
  <c r="Z406" i="5"/>
  <c r="X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A406" i="5"/>
  <c r="AK406" i="5" s="1"/>
  <c r="V405" i="5"/>
  <c r="S405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D405" i="5"/>
  <c r="C405" i="5"/>
  <c r="B405" i="5"/>
  <c r="A405" i="5"/>
  <c r="U404" i="5"/>
  <c r="S404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B404" i="5"/>
  <c r="A404" i="5"/>
  <c r="AL403" i="5"/>
  <c r="AK403" i="5"/>
  <c r="AA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B403" i="5"/>
  <c r="A403" i="5"/>
  <c r="AP403" i="5" s="1"/>
  <c r="AP402" i="5"/>
  <c r="T402" i="5"/>
  <c r="AU402" i="5" s="1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D402" i="5"/>
  <c r="C402" i="5"/>
  <c r="B402" i="5"/>
  <c r="A402" i="5"/>
  <c r="AL401" i="5"/>
  <c r="AH401" i="5"/>
  <c r="AD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D401" i="5"/>
  <c r="C401" i="5"/>
  <c r="B401" i="5"/>
  <c r="A401" i="5"/>
  <c r="AO401" i="5" s="1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D400" i="5"/>
  <c r="C400" i="5"/>
  <c r="B400" i="5"/>
  <c r="A400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B399" i="5"/>
  <c r="A399" i="5"/>
  <c r="AG398" i="5"/>
  <c r="AE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A398" i="5"/>
  <c r="AT397" i="5"/>
  <c r="AS397" i="5"/>
  <c r="AR397" i="5"/>
  <c r="AQ397" i="5"/>
  <c r="AL397" i="5"/>
  <c r="AK397" i="5"/>
  <c r="AJ397" i="5"/>
  <c r="AI397" i="5"/>
  <c r="AC397" i="5"/>
  <c r="V397" i="5"/>
  <c r="S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D397" i="5"/>
  <c r="C397" i="5"/>
  <c r="B397" i="5"/>
  <c r="A397" i="5"/>
  <c r="V396" i="5"/>
  <c r="S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D396" i="5"/>
  <c r="C396" i="5"/>
  <c r="B396" i="5"/>
  <c r="A396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A395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D394" i="5"/>
  <c r="C394" i="5"/>
  <c r="B394" i="5"/>
  <c r="A394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D393" i="5"/>
  <c r="C393" i="5"/>
  <c r="B393" i="5"/>
  <c r="A393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D392" i="5"/>
  <c r="C392" i="5"/>
  <c r="B392" i="5"/>
  <c r="A392" i="5"/>
  <c r="AD392" i="5" s="1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D391" i="5"/>
  <c r="C391" i="5"/>
  <c r="B391" i="5"/>
  <c r="A391" i="5"/>
  <c r="AG391" i="5" s="1"/>
  <c r="AB390" i="5"/>
  <c r="S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D390" i="5"/>
  <c r="C390" i="5"/>
  <c r="B390" i="5"/>
  <c r="A390" i="5"/>
  <c r="AW390" i="5" s="1"/>
  <c r="AH389" i="5"/>
  <c r="AG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D389" i="5"/>
  <c r="C389" i="5"/>
  <c r="B389" i="5"/>
  <c r="A389" i="5"/>
  <c r="AI389" i="5" s="1"/>
  <c r="AG388" i="5"/>
  <c r="AE388" i="5"/>
  <c r="W388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D388" i="5"/>
  <c r="C388" i="5"/>
  <c r="B388" i="5"/>
  <c r="A388" i="5"/>
  <c r="V388" i="5" s="1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D387" i="5"/>
  <c r="C387" i="5"/>
  <c r="B387" i="5"/>
  <c r="A387" i="5"/>
  <c r="Z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C386" i="5"/>
  <c r="B386" i="5"/>
  <c r="A386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D385" i="5"/>
  <c r="C385" i="5"/>
  <c r="B385" i="5"/>
  <c r="A385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D384" i="5"/>
  <c r="C384" i="5"/>
  <c r="B384" i="5"/>
  <c r="A384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D383" i="5"/>
  <c r="C383" i="5"/>
  <c r="B383" i="5"/>
  <c r="A383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D382" i="5"/>
  <c r="C382" i="5"/>
  <c r="B382" i="5"/>
  <c r="A382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D381" i="5"/>
  <c r="C381" i="5"/>
  <c r="B381" i="5"/>
  <c r="A381" i="5"/>
  <c r="W380" i="5"/>
  <c r="V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A380" i="5"/>
  <c r="U380" i="5" s="1"/>
  <c r="Z379" i="5"/>
  <c r="Y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  <c r="A379" i="5"/>
  <c r="X379" i="5" s="1"/>
  <c r="AR378" i="5"/>
  <c r="AJ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D378" i="5"/>
  <c r="C378" i="5"/>
  <c r="B378" i="5"/>
  <c r="A378" i="5"/>
  <c r="AT377" i="5"/>
  <c r="AQ377" i="5"/>
  <c r="AP377" i="5"/>
  <c r="AM377" i="5"/>
  <c r="AL377" i="5"/>
  <c r="AK377" i="5"/>
  <c r="AI377" i="5"/>
  <c r="AD377" i="5"/>
  <c r="V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B377" i="5"/>
  <c r="A377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D376" i="5"/>
  <c r="C376" i="5"/>
  <c r="B376" i="5"/>
  <c r="A376" i="5"/>
  <c r="AA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D375" i="5"/>
  <c r="C375" i="5"/>
  <c r="B375" i="5"/>
  <c r="A375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D374" i="5"/>
  <c r="C374" i="5"/>
  <c r="B374" i="5"/>
  <c r="A374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373" i="5"/>
  <c r="C373" i="5"/>
  <c r="B373" i="5"/>
  <c r="A373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B372" i="5"/>
  <c r="A372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A371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A370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B369" i="5"/>
  <c r="A369" i="5"/>
  <c r="AQ368" i="5"/>
  <c r="AP368" i="5"/>
  <c r="AF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B368" i="5"/>
  <c r="A368" i="5"/>
  <c r="Y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B367" i="5"/>
  <c r="A367" i="5"/>
  <c r="W367" i="5" s="1"/>
  <c r="AS366" i="5"/>
  <c r="AR366" i="5"/>
  <c r="AN366" i="5"/>
  <c r="X366" i="5"/>
  <c r="W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B366" i="5"/>
  <c r="A366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B365" i="5"/>
  <c r="A365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B364" i="5"/>
  <c r="A364" i="5"/>
  <c r="W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B363" i="5"/>
  <c r="A363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A362" i="5"/>
  <c r="T361" i="5"/>
  <c r="AU361" i="5" s="1"/>
  <c r="AV361" i="5" s="1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B361" i="5"/>
  <c r="A361" i="5"/>
  <c r="AJ360" i="5"/>
  <c r="AH360" i="5"/>
  <c r="AC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B360" i="5"/>
  <c r="A360" i="5"/>
  <c r="AK360" i="5" s="1"/>
  <c r="AS359" i="5"/>
  <c r="AR359" i="5"/>
  <c r="AP359" i="5"/>
  <c r="AE359" i="5"/>
  <c r="AD359" i="5"/>
  <c r="AB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A359" i="5"/>
  <c r="AT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B358" i="5"/>
  <c r="A358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B357" i="5"/>
  <c r="A357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B356" i="5"/>
  <c r="A356" i="5"/>
  <c r="AR355" i="5"/>
  <c r="AB355" i="5"/>
  <c r="AA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B355" i="5"/>
  <c r="A355" i="5"/>
  <c r="V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B354" i="5"/>
  <c r="A354" i="5"/>
  <c r="AE353" i="5"/>
  <c r="V353" i="5"/>
  <c r="U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B353" i="5"/>
  <c r="A353" i="5"/>
  <c r="AH353" i="5" s="1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A352" i="5"/>
  <c r="S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B351" i="5"/>
  <c r="A351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B350" i="5"/>
  <c r="A350" i="5"/>
  <c r="AF349" i="5"/>
  <c r="AE349" i="5"/>
  <c r="AD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A349" i="5"/>
  <c r="AJ349" i="5" s="1"/>
  <c r="AI348" i="5"/>
  <c r="AD348" i="5"/>
  <c r="V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D348" i="5"/>
  <c r="C348" i="5"/>
  <c r="B348" i="5"/>
  <c r="A348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D347" i="5"/>
  <c r="C347" i="5"/>
  <c r="B347" i="5"/>
  <c r="A347" i="5"/>
  <c r="AH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A346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D345" i="5"/>
  <c r="C345" i="5"/>
  <c r="B345" i="5"/>
  <c r="A345" i="5"/>
  <c r="W345" i="5" s="1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D344" i="5"/>
  <c r="C344" i="5"/>
  <c r="B344" i="5"/>
  <c r="A344" i="5"/>
  <c r="AA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D343" i="5"/>
  <c r="C343" i="5"/>
  <c r="B343" i="5"/>
  <c r="A343" i="5"/>
  <c r="AW342" i="5"/>
  <c r="AR342" i="5"/>
  <c r="AO342" i="5"/>
  <c r="AH342" i="5"/>
  <c r="AG342" i="5"/>
  <c r="AC342" i="5"/>
  <c r="AB342" i="5"/>
  <c r="AA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D342" i="5"/>
  <c r="C342" i="5"/>
  <c r="B342" i="5"/>
  <c r="AY342" i="5" s="1"/>
  <c r="A342" i="5"/>
  <c r="AQ342" i="5" s="1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D341" i="5"/>
  <c r="C341" i="5"/>
  <c r="B341" i="5"/>
  <c r="T341" i="5" s="1"/>
  <c r="A341" i="5"/>
  <c r="S341" i="5" s="1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D340" i="5"/>
  <c r="C340" i="5"/>
  <c r="B340" i="5"/>
  <c r="A340" i="5"/>
  <c r="AH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D339" i="5"/>
  <c r="C339" i="5"/>
  <c r="B339" i="5"/>
  <c r="A339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B338" i="5"/>
  <c r="A338" i="5"/>
  <c r="V337" i="5"/>
  <c r="S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D337" i="5"/>
  <c r="C337" i="5"/>
  <c r="B337" i="5"/>
  <c r="A337" i="5"/>
  <c r="AM337" i="5" s="1"/>
  <c r="AU336" i="5"/>
  <c r="AT336" i="5"/>
  <c r="AS336" i="5"/>
  <c r="AR336" i="5"/>
  <c r="AP336" i="5"/>
  <c r="AO336" i="5"/>
  <c r="AD336" i="5"/>
  <c r="T336" i="5"/>
  <c r="S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D336" i="5"/>
  <c r="C336" i="5"/>
  <c r="B336" i="5"/>
  <c r="A336" i="5"/>
  <c r="X335" i="5"/>
  <c r="S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A335" i="5"/>
  <c r="W334" i="5"/>
  <c r="V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B334" i="5"/>
  <c r="A334" i="5"/>
  <c r="AN333" i="5"/>
  <c r="AD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D333" i="5"/>
  <c r="C333" i="5"/>
  <c r="B333" i="5"/>
  <c r="A333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D332" i="5"/>
  <c r="C332" i="5"/>
  <c r="B332" i="5"/>
  <c r="A332" i="5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D331" i="5"/>
  <c r="C331" i="5"/>
  <c r="B331" i="5"/>
  <c r="A331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D330" i="5"/>
  <c r="C330" i="5"/>
  <c r="B330" i="5"/>
  <c r="A330" i="5"/>
  <c r="AE329" i="5"/>
  <c r="AD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B329" i="5"/>
  <c r="A329" i="5"/>
  <c r="R329" i="5" s="1"/>
  <c r="V328" i="5"/>
  <c r="U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D328" i="5"/>
  <c r="C328" i="5"/>
  <c r="B328" i="5"/>
  <c r="A328" i="5"/>
  <c r="R328" i="5" s="1"/>
  <c r="V327" i="5"/>
  <c r="U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D327" i="5"/>
  <c r="C327" i="5"/>
  <c r="B327" i="5"/>
  <c r="A327" i="5"/>
  <c r="AA326" i="5"/>
  <c r="Z326" i="5"/>
  <c r="Y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B326" i="5"/>
  <c r="A326" i="5"/>
  <c r="AW326" i="5" s="1"/>
  <c r="V325" i="5"/>
  <c r="U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D325" i="5"/>
  <c r="C325" i="5"/>
  <c r="B325" i="5"/>
  <c r="A325" i="5"/>
  <c r="V324" i="5"/>
  <c r="U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D324" i="5"/>
  <c r="C324" i="5"/>
  <c r="B324" i="5"/>
  <c r="A324" i="5"/>
  <c r="X323" i="5"/>
  <c r="W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A323" i="5"/>
  <c r="R323" i="5" s="1"/>
  <c r="AR322" i="5"/>
  <c r="AQ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B322" i="5"/>
  <c r="A322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D321" i="5"/>
  <c r="C321" i="5"/>
  <c r="B321" i="5"/>
  <c r="A321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B320" i="5"/>
  <c r="A320" i="5"/>
  <c r="AC319" i="5"/>
  <c r="Y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A319" i="5"/>
  <c r="AI318" i="5"/>
  <c r="AG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B318" i="5"/>
  <c r="A318" i="5"/>
  <c r="AF318" i="5" s="1"/>
  <c r="V317" i="5"/>
  <c r="S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B317" i="5"/>
  <c r="A317" i="5"/>
  <c r="W317" i="5" s="1"/>
  <c r="AD316" i="5"/>
  <c r="Z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B316" i="5"/>
  <c r="A316" i="5"/>
  <c r="AG316" i="5" s="1"/>
  <c r="AH315" i="5"/>
  <c r="AG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B315" i="5"/>
  <c r="A315" i="5"/>
  <c r="AI315" i="5" s="1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A314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B313" i="5"/>
  <c r="A313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B312" i="5"/>
  <c r="A312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A311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B310" i="5"/>
  <c r="A310" i="5"/>
  <c r="Y310" i="5" s="1"/>
  <c r="AK309" i="5"/>
  <c r="AI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B309" i="5"/>
  <c r="A309" i="5"/>
  <c r="AJ309" i="5" s="1"/>
  <c r="AO308" i="5"/>
  <c r="AH308" i="5"/>
  <c r="AA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B308" i="5"/>
  <c r="A308" i="5"/>
  <c r="V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B307" i="5"/>
  <c r="T307" i="5" s="1"/>
  <c r="A307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A306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B305" i="5"/>
  <c r="A305" i="5"/>
  <c r="R305" i="5" s="1"/>
  <c r="AB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A304" i="5"/>
  <c r="AW303" i="5"/>
  <c r="AT303" i="5"/>
  <c r="AS303" i="5"/>
  <c r="AP303" i="5"/>
  <c r="AO303" i="5"/>
  <c r="AN303" i="5"/>
  <c r="AJ303" i="5"/>
  <c r="AA303" i="5"/>
  <c r="X303" i="5"/>
  <c r="V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A303" i="5"/>
  <c r="AD303" i="5" s="1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B302" i="5"/>
  <c r="A302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A301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B300" i="5"/>
  <c r="A300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C299" i="5"/>
  <c r="B299" i="5"/>
  <c r="A299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B298" i="5"/>
  <c r="A298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B297" i="5"/>
  <c r="A297" i="5"/>
  <c r="AP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D296" i="5"/>
  <c r="C296" i="5"/>
  <c r="B296" i="5"/>
  <c r="A296" i="5"/>
  <c r="S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D295" i="5"/>
  <c r="C295" i="5"/>
  <c r="B295" i="5"/>
  <c r="A295" i="5"/>
  <c r="R295" i="5" s="1"/>
  <c r="AC294" i="5"/>
  <c r="AB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B294" i="5"/>
  <c r="A294" i="5"/>
  <c r="AA294" i="5" s="1"/>
  <c r="AB293" i="5"/>
  <c r="Z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B293" i="5"/>
  <c r="A293" i="5"/>
  <c r="S293" i="5" s="1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B292" i="5"/>
  <c r="A292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A291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D290" i="5"/>
  <c r="C290" i="5"/>
  <c r="B290" i="5"/>
  <c r="A290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B289" i="5"/>
  <c r="A289" i="5"/>
  <c r="AE289" i="5" s="1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A288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D287" i="5"/>
  <c r="C287" i="5"/>
  <c r="B287" i="5"/>
  <c r="A287" i="5"/>
  <c r="V286" i="5"/>
  <c r="S286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A286" i="5"/>
  <c r="AW285" i="5"/>
  <c r="AT285" i="5"/>
  <c r="AS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B285" i="5"/>
  <c r="A285" i="5"/>
  <c r="AD284" i="5"/>
  <c r="Z284" i="5"/>
  <c r="Y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D284" i="5"/>
  <c r="C284" i="5"/>
  <c r="B284" i="5"/>
  <c r="A284" i="5"/>
  <c r="AD283" i="5"/>
  <c r="Z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A283" i="5"/>
  <c r="AB282" i="5"/>
  <c r="AA282" i="5"/>
  <c r="S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B282" i="5"/>
  <c r="A282" i="5"/>
  <c r="AM282" i="5" s="1"/>
  <c r="W281" i="5"/>
  <c r="T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D281" i="5"/>
  <c r="C281" i="5"/>
  <c r="B281" i="5"/>
  <c r="A281" i="5"/>
  <c r="W280" i="5"/>
  <c r="V280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A280" i="5"/>
  <c r="AD279" i="5"/>
  <c r="Z279" i="5"/>
  <c r="U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B279" i="5"/>
  <c r="A279" i="5"/>
  <c r="AH279" i="5" s="1"/>
  <c r="AI278" i="5"/>
  <c r="AE278" i="5"/>
  <c r="V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D278" i="5"/>
  <c r="C278" i="5"/>
  <c r="B278" i="5"/>
  <c r="A278" i="5"/>
  <c r="X277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AI276" i="5"/>
  <c r="AH276" i="5"/>
  <c r="AA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A276" i="5"/>
  <c r="AN276" i="5" s="1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D275" i="5"/>
  <c r="C275" i="5"/>
  <c r="B275" i="5"/>
  <c r="A275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B274" i="5"/>
  <c r="A274" i="5"/>
  <c r="AH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A273" i="5"/>
  <c r="AL272" i="5"/>
  <c r="X272" i="5"/>
  <c r="W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C272" i="5"/>
  <c r="B272" i="5"/>
  <c r="A272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B271" i="5"/>
  <c r="A271" i="5"/>
  <c r="U271" i="5" s="1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A270" i="5"/>
  <c r="AP269" i="5"/>
  <c r="AM269" i="5"/>
  <c r="AG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C269" i="5"/>
  <c r="B269" i="5"/>
  <c r="A269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A268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B267" i="5"/>
  <c r="A267" i="5"/>
  <c r="AJ266" i="5"/>
  <c r="AI266" i="5"/>
  <c r="AH266" i="5"/>
  <c r="AG266" i="5"/>
  <c r="AF266" i="5"/>
  <c r="X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B266" i="5"/>
  <c r="A266" i="5"/>
  <c r="AL265" i="5"/>
  <c r="AH265" i="5"/>
  <c r="W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A265" i="5"/>
  <c r="AN265" i="5" s="1"/>
  <c r="AD264" i="5"/>
  <c r="AA264" i="5"/>
  <c r="S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B264" i="5"/>
  <c r="A264" i="5"/>
  <c r="AB264" i="5" s="1"/>
  <c r="AO263" i="5"/>
  <c r="AN263" i="5"/>
  <c r="AA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D263" i="5"/>
  <c r="C263" i="5"/>
  <c r="B263" i="5"/>
  <c r="A263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B262" i="5"/>
  <c r="A262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C261" i="5"/>
  <c r="B261" i="5"/>
  <c r="A261" i="5"/>
  <c r="V261" i="5" s="1"/>
  <c r="T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D260" i="5"/>
  <c r="C260" i="5"/>
  <c r="B260" i="5"/>
  <c r="A260" i="5"/>
  <c r="AG259" i="5"/>
  <c r="AF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C259" i="5"/>
  <c r="B259" i="5"/>
  <c r="A259" i="5"/>
  <c r="AH259" i="5" s="1"/>
  <c r="AS258" i="5"/>
  <c r="AP258" i="5"/>
  <c r="AL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B258" i="5"/>
  <c r="A258" i="5"/>
  <c r="AN258" i="5" s="1"/>
  <c r="AQ257" i="5"/>
  <c r="AP257" i="5"/>
  <c r="AL257" i="5"/>
  <c r="AK257" i="5"/>
  <c r="AJ257" i="5"/>
  <c r="Y257" i="5"/>
  <c r="W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A257" i="5"/>
  <c r="Z257" i="5" s="1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B256" i="5"/>
  <c r="A256" i="5"/>
  <c r="V256" i="5" s="1"/>
  <c r="X255" i="5"/>
  <c r="W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A255" i="5"/>
  <c r="AJ255" i="5" s="1"/>
  <c r="W254" i="5"/>
  <c r="S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D254" i="5"/>
  <c r="C254" i="5"/>
  <c r="B254" i="5"/>
  <c r="A254" i="5"/>
  <c r="AA254" i="5" s="1"/>
  <c r="U253" i="5"/>
  <c r="S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B253" i="5"/>
  <c r="A253" i="5"/>
  <c r="Z253" i="5" s="1"/>
  <c r="AR252" i="5"/>
  <c r="AQ252" i="5"/>
  <c r="AO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A252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51" i="5"/>
  <c r="B251" i="5"/>
  <c r="A251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A250" i="5"/>
  <c r="AH250" i="5" s="1"/>
  <c r="W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B249" i="5"/>
  <c r="A249" i="5"/>
  <c r="AD248" i="5"/>
  <c r="AC248" i="5"/>
  <c r="W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D248" i="5"/>
  <c r="C248" i="5"/>
  <c r="B248" i="5"/>
  <c r="A248" i="5"/>
  <c r="AP248" i="5" s="1"/>
  <c r="W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A247" i="5"/>
  <c r="Y246" i="5"/>
  <c r="X246" i="5"/>
  <c r="W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B246" i="5"/>
  <c r="A246" i="5"/>
  <c r="AW246" i="5" s="1"/>
  <c r="AC245" i="5"/>
  <c r="V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A245" i="5"/>
  <c r="AP245" i="5" s="1"/>
  <c r="AA244" i="5"/>
  <c r="Y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B244" i="5"/>
  <c r="A244" i="5"/>
  <c r="Z244" i="5" s="1"/>
  <c r="Z243" i="5"/>
  <c r="W243" i="5"/>
  <c r="U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A243" i="5"/>
  <c r="AW243" i="5" s="1"/>
  <c r="AB242" i="5"/>
  <c r="AA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D242" i="5"/>
  <c r="C242" i="5"/>
  <c r="B242" i="5"/>
  <c r="A242" i="5"/>
  <c r="V242" i="5" s="1"/>
  <c r="AS241" i="5"/>
  <c r="AR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A241" i="5"/>
  <c r="AI240" i="5"/>
  <c r="AE240" i="5"/>
  <c r="T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A240" i="5"/>
  <c r="AH239" i="5"/>
  <c r="AC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D239" i="5"/>
  <c r="C239" i="5"/>
  <c r="B239" i="5"/>
  <c r="A239" i="5"/>
  <c r="AH238" i="5"/>
  <c r="AG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B238" i="5"/>
  <c r="A238" i="5"/>
  <c r="AF238" i="5" s="1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C237" i="5"/>
  <c r="B237" i="5"/>
  <c r="A237" i="5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C236" i="5"/>
  <c r="B236" i="5"/>
  <c r="A236" i="5"/>
  <c r="T235" i="5"/>
  <c r="AU235" i="5" s="1"/>
  <c r="AX235" i="5" s="1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C235" i="5"/>
  <c r="B235" i="5"/>
  <c r="A235" i="5"/>
  <c r="AI235" i="5" s="1"/>
  <c r="AT234" i="5"/>
  <c r="AQ234" i="5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C234" i="5"/>
  <c r="B234" i="5"/>
  <c r="A234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B233" i="5"/>
  <c r="A233" i="5"/>
  <c r="AD232" i="5"/>
  <c r="Q232" i="5"/>
  <c r="P232" i="5"/>
  <c r="O232" i="5"/>
  <c r="N232" i="5"/>
  <c r="M232" i="5"/>
  <c r="L232" i="5"/>
  <c r="K232" i="5"/>
  <c r="J232" i="5"/>
  <c r="I232" i="5"/>
  <c r="H232" i="5"/>
  <c r="G232" i="5"/>
  <c r="F232" i="5"/>
  <c r="E232" i="5"/>
  <c r="D232" i="5"/>
  <c r="C232" i="5"/>
  <c r="B232" i="5"/>
  <c r="A232" i="5"/>
  <c r="AJ231" i="5"/>
  <c r="Q231" i="5"/>
  <c r="P231" i="5"/>
  <c r="O231" i="5"/>
  <c r="N231" i="5"/>
  <c r="M231" i="5"/>
  <c r="L231" i="5"/>
  <c r="K231" i="5"/>
  <c r="J231" i="5"/>
  <c r="I231" i="5"/>
  <c r="H231" i="5"/>
  <c r="G231" i="5"/>
  <c r="F231" i="5"/>
  <c r="E231" i="5"/>
  <c r="D231" i="5"/>
  <c r="C231" i="5"/>
  <c r="B231" i="5"/>
  <c r="A231" i="5"/>
  <c r="Z230" i="5"/>
  <c r="Y230" i="5"/>
  <c r="S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230" i="5"/>
  <c r="B230" i="5"/>
  <c r="A230" i="5"/>
  <c r="AN229" i="5"/>
  <c r="AL229" i="5"/>
  <c r="Q229" i="5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B229" i="5"/>
  <c r="A229" i="5"/>
  <c r="AC228" i="5"/>
  <c r="AB228" i="5"/>
  <c r="AA228" i="5"/>
  <c r="Q228" i="5"/>
  <c r="P228" i="5"/>
  <c r="O228" i="5"/>
  <c r="N228" i="5"/>
  <c r="M228" i="5"/>
  <c r="L228" i="5"/>
  <c r="K228" i="5"/>
  <c r="J228" i="5"/>
  <c r="I228" i="5"/>
  <c r="H228" i="5"/>
  <c r="G228" i="5"/>
  <c r="F228" i="5"/>
  <c r="E228" i="5"/>
  <c r="D228" i="5"/>
  <c r="C228" i="5"/>
  <c r="B228" i="5"/>
  <c r="A228" i="5"/>
  <c r="AL228" i="5" s="1"/>
  <c r="T227" i="5"/>
  <c r="S227" i="5"/>
  <c r="Q227" i="5"/>
  <c r="P227" i="5"/>
  <c r="O227" i="5"/>
  <c r="N227" i="5"/>
  <c r="M227" i="5"/>
  <c r="L227" i="5"/>
  <c r="K227" i="5"/>
  <c r="J227" i="5"/>
  <c r="I227" i="5"/>
  <c r="H227" i="5"/>
  <c r="G227" i="5"/>
  <c r="F227" i="5"/>
  <c r="E227" i="5"/>
  <c r="D227" i="5"/>
  <c r="C227" i="5"/>
  <c r="B227" i="5"/>
  <c r="A227" i="5"/>
  <c r="R227" i="5" s="1"/>
  <c r="AR226" i="5"/>
  <c r="AQ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C226" i="5"/>
  <c r="B226" i="5"/>
  <c r="A226" i="5"/>
  <c r="AD226" i="5" s="1"/>
  <c r="W225" i="5"/>
  <c r="U225" i="5"/>
  <c r="Q225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D225" i="5"/>
  <c r="C225" i="5"/>
  <c r="B225" i="5"/>
  <c r="A225" i="5"/>
  <c r="AI225" i="5" s="1"/>
  <c r="AQ224" i="5"/>
  <c r="AP224" i="5"/>
  <c r="Q224" i="5"/>
  <c r="P224" i="5"/>
  <c r="O224" i="5"/>
  <c r="N224" i="5"/>
  <c r="M224" i="5"/>
  <c r="L224" i="5"/>
  <c r="K224" i="5"/>
  <c r="J224" i="5"/>
  <c r="I224" i="5"/>
  <c r="H224" i="5"/>
  <c r="G224" i="5"/>
  <c r="F224" i="5"/>
  <c r="E224" i="5"/>
  <c r="D224" i="5"/>
  <c r="C224" i="5"/>
  <c r="B224" i="5"/>
  <c r="A224" i="5"/>
  <c r="Y224" i="5" s="1"/>
  <c r="AQ223" i="5"/>
  <c r="AO223" i="5"/>
  <c r="Q223" i="5"/>
  <c r="P223" i="5"/>
  <c r="O223" i="5"/>
  <c r="N223" i="5"/>
  <c r="M223" i="5"/>
  <c r="L223" i="5"/>
  <c r="K223" i="5"/>
  <c r="J223" i="5"/>
  <c r="I223" i="5"/>
  <c r="H223" i="5"/>
  <c r="G223" i="5"/>
  <c r="F223" i="5"/>
  <c r="E223" i="5"/>
  <c r="D223" i="5"/>
  <c r="C223" i="5"/>
  <c r="B223" i="5"/>
  <c r="A223" i="5"/>
  <c r="AT223" i="5" s="1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C222" i="5"/>
  <c r="B222" i="5"/>
  <c r="A222" i="5"/>
  <c r="Y221" i="5"/>
  <c r="X221" i="5"/>
  <c r="V221" i="5"/>
  <c r="Q221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A221" i="5"/>
  <c r="AP221" i="5" s="1"/>
  <c r="X220" i="5"/>
  <c r="W220" i="5"/>
  <c r="V220" i="5"/>
  <c r="Q220" i="5"/>
  <c r="P220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C220" i="5"/>
  <c r="B220" i="5"/>
  <c r="A220" i="5"/>
  <c r="AR220" i="5" s="1"/>
  <c r="AM219" i="5"/>
  <c r="AH219" i="5"/>
  <c r="AF219" i="5"/>
  <c r="Q219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A219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B218" i="5"/>
  <c r="A218" i="5"/>
  <c r="U218" i="5" s="1"/>
  <c r="T217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D217" i="5"/>
  <c r="C217" i="5"/>
  <c r="B217" i="5"/>
  <c r="A217" i="5"/>
  <c r="AM217" i="5" s="1"/>
  <c r="AA216" i="5"/>
  <c r="Z216" i="5"/>
  <c r="X216" i="5"/>
  <c r="Q216" i="5"/>
  <c r="P216" i="5"/>
  <c r="O216" i="5"/>
  <c r="N216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A216" i="5"/>
  <c r="AP216" i="5" s="1"/>
  <c r="AF215" i="5"/>
  <c r="AE215" i="5"/>
  <c r="V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A215" i="5"/>
  <c r="AP214" i="5"/>
  <c r="AO214" i="5"/>
  <c r="AJ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B214" i="5"/>
  <c r="A214" i="5"/>
  <c r="AT214" i="5" s="1"/>
  <c r="AF213" i="5"/>
  <c r="AE213" i="5"/>
  <c r="S213" i="5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C213" i="5"/>
  <c r="B213" i="5"/>
  <c r="A213" i="5"/>
  <c r="AM213" i="5" s="1"/>
  <c r="AB212" i="5"/>
  <c r="Y212" i="5"/>
  <c r="W212" i="5"/>
  <c r="Q212" i="5"/>
  <c r="P212" i="5"/>
  <c r="O212" i="5"/>
  <c r="N212" i="5"/>
  <c r="M212" i="5"/>
  <c r="L212" i="5"/>
  <c r="K212" i="5"/>
  <c r="J212" i="5"/>
  <c r="I212" i="5"/>
  <c r="H212" i="5"/>
  <c r="G212" i="5"/>
  <c r="F212" i="5"/>
  <c r="E212" i="5"/>
  <c r="D212" i="5"/>
  <c r="C212" i="5"/>
  <c r="B212" i="5"/>
  <c r="A212" i="5"/>
  <c r="AI212" i="5" s="1"/>
  <c r="T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A211" i="5"/>
  <c r="AN210" i="5"/>
  <c r="X210" i="5"/>
  <c r="T210" i="5"/>
  <c r="Q210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D210" i="5"/>
  <c r="C210" i="5"/>
  <c r="B210" i="5"/>
  <c r="A210" i="5"/>
  <c r="AY210" i="5" s="1"/>
  <c r="AD209" i="5"/>
  <c r="AC209" i="5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A209" i="5"/>
  <c r="AB209" i="5" s="1"/>
  <c r="AT208" i="5"/>
  <c r="AP208" i="5"/>
  <c r="AN208" i="5"/>
  <c r="AM208" i="5"/>
  <c r="AL208" i="5"/>
  <c r="AK208" i="5"/>
  <c r="AJ208" i="5"/>
  <c r="AI208" i="5"/>
  <c r="AH208" i="5"/>
  <c r="AG208" i="5"/>
  <c r="AA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T208" i="5" s="1"/>
  <c r="AU208" i="5" s="1"/>
  <c r="A208" i="5"/>
  <c r="AE208" i="5" s="1"/>
  <c r="AO207" i="5"/>
  <c r="AN207" i="5"/>
  <c r="W207" i="5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D207" i="5"/>
  <c r="C207" i="5"/>
  <c r="B207" i="5"/>
  <c r="A207" i="5"/>
  <c r="AP207" i="5" s="1"/>
  <c r="V206" i="5"/>
  <c r="U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B206" i="5"/>
  <c r="A206" i="5"/>
  <c r="Y205" i="5"/>
  <c r="S205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D205" i="5"/>
  <c r="C205" i="5"/>
  <c r="B205" i="5"/>
  <c r="T205" i="5" s="1"/>
  <c r="A205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D204" i="5"/>
  <c r="C204" i="5"/>
  <c r="B204" i="5"/>
  <c r="A204" i="5"/>
  <c r="AQ204" i="5" s="1"/>
  <c r="AY203" i="5"/>
  <c r="AR203" i="5"/>
  <c r="AE203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A203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D202" i="5"/>
  <c r="C202" i="5"/>
  <c r="B202" i="5"/>
  <c r="A202" i="5"/>
  <c r="X201" i="5"/>
  <c r="W201" i="5"/>
  <c r="V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A201" i="5"/>
  <c r="AM201" i="5" s="1"/>
  <c r="AH200" i="5"/>
  <c r="U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A200" i="5"/>
  <c r="AN200" i="5" s="1"/>
  <c r="AE199" i="5"/>
  <c r="AD199" i="5"/>
  <c r="AC199" i="5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D199" i="5"/>
  <c r="C199" i="5"/>
  <c r="B199" i="5"/>
  <c r="A199" i="5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D198" i="5"/>
  <c r="C198" i="5"/>
  <c r="B198" i="5"/>
  <c r="A198" i="5"/>
  <c r="T198" i="5" s="1"/>
  <c r="AA197" i="5"/>
  <c r="V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A197" i="5"/>
  <c r="AY197" i="5" s="1"/>
  <c r="AH196" i="5"/>
  <c r="U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B196" i="5"/>
  <c r="A196" i="5"/>
  <c r="AW195" i="5"/>
  <c r="AS195" i="5"/>
  <c r="W195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B195" i="5"/>
  <c r="A195" i="5"/>
  <c r="AP195" i="5" s="1"/>
  <c r="V194" i="5"/>
  <c r="U194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T194" i="5" s="1"/>
  <c r="A194" i="5"/>
  <c r="X193" i="5"/>
  <c r="W193" i="5"/>
  <c r="V193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B193" i="5"/>
  <c r="A193" i="5"/>
  <c r="AD192" i="5"/>
  <c r="W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A192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B191" i="5"/>
  <c r="A191" i="5"/>
  <c r="AG191" i="5" s="1"/>
  <c r="AG190" i="5"/>
  <c r="AF190" i="5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D190" i="5"/>
  <c r="C190" i="5"/>
  <c r="B190" i="5"/>
  <c r="A190" i="5"/>
  <c r="AS190" i="5" s="1"/>
  <c r="T189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D189" i="5"/>
  <c r="C189" i="5"/>
  <c r="B189" i="5"/>
  <c r="A189" i="5"/>
  <c r="AW189" i="5" s="1"/>
  <c r="AE188" i="5"/>
  <c r="U188" i="5"/>
  <c r="S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B188" i="5"/>
  <c r="A188" i="5"/>
  <c r="AT188" i="5" s="1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C187" i="5"/>
  <c r="B187" i="5"/>
  <c r="A187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A186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B185" i="5"/>
  <c r="A185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D184" i="5"/>
  <c r="C184" i="5"/>
  <c r="B184" i="5"/>
  <c r="A184" i="5"/>
  <c r="X184" i="5" s="1"/>
  <c r="Z183" i="5"/>
  <c r="X183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A183" i="5"/>
  <c r="Y182" i="5"/>
  <c r="W182" i="5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D182" i="5"/>
  <c r="C182" i="5"/>
  <c r="B182" i="5"/>
  <c r="A182" i="5"/>
  <c r="R182" i="5" s="1"/>
  <c r="AY181" i="5"/>
  <c r="AW181" i="5"/>
  <c r="X181" i="5"/>
  <c r="W181" i="5"/>
  <c r="S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C181" i="5"/>
  <c r="B181" i="5"/>
  <c r="A181" i="5"/>
  <c r="AJ181" i="5" s="1"/>
  <c r="AI180" i="5"/>
  <c r="AA180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C180" i="5"/>
  <c r="B180" i="5"/>
  <c r="A180" i="5"/>
  <c r="Z180" i="5" s="1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C179" i="5"/>
  <c r="B179" i="5"/>
  <c r="A179" i="5"/>
  <c r="X178" i="5"/>
  <c r="W178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A178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B177" i="5"/>
  <c r="A177" i="5"/>
  <c r="AN177" i="5" s="1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C176" i="5"/>
  <c r="B176" i="5"/>
  <c r="A176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A175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C174" i="5"/>
  <c r="B174" i="5"/>
  <c r="A174" i="5"/>
  <c r="W173" i="5"/>
  <c r="U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A173" i="5"/>
  <c r="AL173" i="5" s="1"/>
  <c r="AA172" i="5"/>
  <c r="W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C172" i="5"/>
  <c r="B172" i="5"/>
  <c r="A172" i="5"/>
  <c r="AO171" i="5"/>
  <c r="AC171" i="5"/>
  <c r="T171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A171" i="5"/>
  <c r="AT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C170" i="5"/>
  <c r="B170" i="5"/>
  <c r="A170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A169" i="5"/>
  <c r="AB168" i="5"/>
  <c r="AA168" i="5"/>
  <c r="T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C168" i="5"/>
  <c r="B168" i="5"/>
  <c r="A168" i="5"/>
  <c r="Z167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A167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D166" i="5"/>
  <c r="C166" i="5"/>
  <c r="B166" i="5"/>
  <c r="A166" i="5"/>
  <c r="Z165" i="5"/>
  <c r="Y165" i="5"/>
  <c r="W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A165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A164" i="5"/>
  <c r="AF163" i="5"/>
  <c r="AE163" i="5"/>
  <c r="AD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D163" i="5"/>
  <c r="C163" i="5"/>
  <c r="B163" i="5"/>
  <c r="A163" i="5"/>
  <c r="AQ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B162" i="5"/>
  <c r="A162" i="5"/>
  <c r="AB161" i="5"/>
  <c r="AA161" i="5"/>
  <c r="V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B161" i="5"/>
  <c r="A161" i="5"/>
  <c r="AF161" i="5" s="1"/>
  <c r="AA160" i="5"/>
  <c r="Z160" i="5"/>
  <c r="Y160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A160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D159" i="5"/>
  <c r="C159" i="5"/>
  <c r="B159" i="5"/>
  <c r="A159" i="5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A158" i="5"/>
  <c r="AY158" i="5" s="1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D157" i="5"/>
  <c r="C157" i="5"/>
  <c r="B157" i="5"/>
  <c r="A157" i="5"/>
  <c r="AC156" i="5"/>
  <c r="Z156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A156" i="5"/>
  <c r="Q155" i="5"/>
  <c r="P155" i="5"/>
  <c r="O155" i="5"/>
  <c r="N155" i="5"/>
  <c r="M155" i="5"/>
  <c r="L155" i="5"/>
  <c r="K155" i="5"/>
  <c r="J155" i="5"/>
  <c r="I155" i="5"/>
  <c r="H155" i="5"/>
  <c r="G155" i="5"/>
  <c r="F155" i="5"/>
  <c r="E155" i="5"/>
  <c r="D155" i="5"/>
  <c r="C155" i="5"/>
  <c r="B155" i="5"/>
  <c r="A155" i="5"/>
  <c r="AG154" i="5"/>
  <c r="Y154" i="5"/>
  <c r="X154" i="5"/>
  <c r="Q154" i="5"/>
  <c r="P154" i="5"/>
  <c r="O154" i="5"/>
  <c r="N154" i="5"/>
  <c r="M154" i="5"/>
  <c r="L154" i="5"/>
  <c r="K154" i="5"/>
  <c r="J154" i="5"/>
  <c r="I154" i="5"/>
  <c r="H154" i="5"/>
  <c r="G154" i="5"/>
  <c r="F154" i="5"/>
  <c r="E154" i="5"/>
  <c r="D154" i="5"/>
  <c r="C154" i="5"/>
  <c r="B154" i="5"/>
  <c r="A154" i="5"/>
  <c r="AP154" i="5" s="1"/>
  <c r="AS153" i="5"/>
  <c r="AR153" i="5"/>
  <c r="Q153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D153" i="5"/>
  <c r="C153" i="5"/>
  <c r="B153" i="5"/>
  <c r="A153" i="5"/>
  <c r="AA152" i="5"/>
  <c r="Z152" i="5"/>
  <c r="Y152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2" i="5"/>
  <c r="D152" i="5"/>
  <c r="C152" i="5"/>
  <c r="B152" i="5"/>
  <c r="A152" i="5"/>
  <c r="U151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D151" i="5"/>
  <c r="C151" i="5"/>
  <c r="B151" i="5"/>
  <c r="A151" i="5"/>
  <c r="AE150" i="5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D150" i="5"/>
  <c r="C150" i="5"/>
  <c r="B150" i="5"/>
  <c r="A150" i="5"/>
  <c r="AE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A149" i="5"/>
  <c r="AA149" i="5" s="1"/>
  <c r="AT148" i="5"/>
  <c r="AP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C148" i="5"/>
  <c r="B148" i="5"/>
  <c r="A148" i="5"/>
  <c r="AK147" i="5"/>
  <c r="AF147" i="5"/>
  <c r="AB147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D147" i="5"/>
  <c r="C147" i="5"/>
  <c r="B147" i="5"/>
  <c r="A147" i="5"/>
  <c r="AP147" i="5" s="1"/>
  <c r="AI146" i="5"/>
  <c r="T146" i="5"/>
  <c r="S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B146" i="5"/>
  <c r="A146" i="5"/>
  <c r="Y145" i="5"/>
  <c r="X145" i="5"/>
  <c r="W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D145" i="5"/>
  <c r="C145" i="5"/>
  <c r="B145" i="5"/>
  <c r="A145" i="5"/>
  <c r="AF145" i="5" s="1"/>
  <c r="AR144" i="5"/>
  <c r="X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D144" i="5"/>
  <c r="C144" i="5"/>
  <c r="B144" i="5"/>
  <c r="A144" i="5"/>
  <c r="AM144" i="5" s="1"/>
  <c r="AR143" i="5"/>
  <c r="AQ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D143" i="5"/>
  <c r="C143" i="5"/>
  <c r="B143" i="5"/>
  <c r="A143" i="5"/>
  <c r="AS143" i="5" s="1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A142" i="5"/>
  <c r="Y141" i="5"/>
  <c r="X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A141" i="5"/>
  <c r="Z141" i="5" s="1"/>
  <c r="AO140" i="5"/>
  <c r="AI140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D140" i="5"/>
  <c r="C140" i="5"/>
  <c r="B140" i="5"/>
  <c r="A140" i="5"/>
  <c r="AR140" i="5" s="1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A139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B138" i="5"/>
  <c r="A138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D137" i="5"/>
  <c r="C137" i="5"/>
  <c r="B137" i="5"/>
  <c r="A137" i="5"/>
  <c r="AP136" i="5"/>
  <c r="AO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A136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C135" i="5"/>
  <c r="B135" i="5"/>
  <c r="A135" i="5"/>
  <c r="R135" i="5" s="1"/>
  <c r="V134" i="5"/>
  <c r="U134" i="5"/>
  <c r="T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C134" i="5"/>
  <c r="B134" i="5"/>
  <c r="A134" i="5"/>
  <c r="AQ134" i="5" s="1"/>
  <c r="AH133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D133" i="5"/>
  <c r="C133" i="5"/>
  <c r="B133" i="5"/>
  <c r="A133" i="5"/>
  <c r="AL133" i="5" s="1"/>
  <c r="W132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A132" i="5"/>
  <c r="AT131" i="5"/>
  <c r="AS131" i="5"/>
  <c r="V131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D131" i="5"/>
  <c r="C131" i="5"/>
  <c r="B131" i="5"/>
  <c r="A131" i="5"/>
  <c r="AW130" i="5"/>
  <c r="AT130" i="5"/>
  <c r="AS130" i="5"/>
  <c r="AR130" i="5"/>
  <c r="AN130" i="5"/>
  <c r="AK130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A130" i="5"/>
  <c r="AJ130" i="5" s="1"/>
  <c r="U129" i="5"/>
  <c r="S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C129" i="5"/>
  <c r="B129" i="5"/>
  <c r="T129" i="5" s="1"/>
  <c r="A129" i="5"/>
  <c r="V129" i="5" s="1"/>
  <c r="AD128" i="5"/>
  <c r="AC128" i="5"/>
  <c r="Z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A128" i="5"/>
  <c r="AW128" i="5" s="1"/>
  <c r="X127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C127" i="5"/>
  <c r="B127" i="5"/>
  <c r="A127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A126" i="5"/>
  <c r="U126" i="5" s="1"/>
  <c r="W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C125" i="5"/>
  <c r="B125" i="5"/>
  <c r="A125" i="5"/>
  <c r="U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B124" i="5"/>
  <c r="A124" i="5"/>
  <c r="AJ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A123" i="5"/>
  <c r="X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B122" i="5"/>
  <c r="A122" i="5"/>
  <c r="AW121" i="5"/>
  <c r="AP121" i="5"/>
  <c r="W121" i="5"/>
  <c r="S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C121" i="5"/>
  <c r="B121" i="5"/>
  <c r="A121" i="5"/>
  <c r="U120" i="5"/>
  <c r="S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B120" i="5"/>
  <c r="A120" i="5"/>
  <c r="AD119" i="5"/>
  <c r="AB119" i="5"/>
  <c r="S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C119" i="5"/>
  <c r="B119" i="5"/>
  <c r="A119" i="5"/>
  <c r="X118" i="5"/>
  <c r="T118" i="5"/>
  <c r="AU118" i="5" s="1"/>
  <c r="S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C118" i="5"/>
  <c r="B118" i="5"/>
  <c r="A118" i="5"/>
  <c r="AK118" i="5" s="1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C117" i="5"/>
  <c r="B117" i="5"/>
  <c r="A117" i="5"/>
  <c r="Z116" i="5"/>
  <c r="T116" i="5"/>
  <c r="S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B116" i="5"/>
  <c r="A116" i="5"/>
  <c r="V116" i="5" s="1"/>
  <c r="AC115" i="5"/>
  <c r="W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B115" i="5"/>
  <c r="A115" i="5"/>
  <c r="AH115" i="5" s="1"/>
  <c r="V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114" i="5"/>
  <c r="W114" i="5" s="1"/>
  <c r="AA113" i="5"/>
  <c r="T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B113" i="5"/>
  <c r="A113" i="5"/>
  <c r="Y113" i="5" s="1"/>
  <c r="AB112" i="5"/>
  <c r="X112" i="5"/>
  <c r="W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A112" i="5"/>
  <c r="AJ111" i="5"/>
  <c r="U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A111" i="5"/>
  <c r="AL111" i="5" s="1"/>
  <c r="AF110" i="5"/>
  <c r="AE110" i="5"/>
  <c r="AD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B110" i="5"/>
  <c r="A110" i="5"/>
  <c r="AG110" i="5" s="1"/>
  <c r="Y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B109" i="5"/>
  <c r="A109" i="5"/>
  <c r="AP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B108" i="5"/>
  <c r="A108" i="5"/>
  <c r="AA107" i="5"/>
  <c r="Y107" i="5"/>
  <c r="X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B107" i="5"/>
  <c r="A107" i="5"/>
  <c r="AM107" i="5" s="1"/>
  <c r="AB106" i="5"/>
  <c r="X106" i="5"/>
  <c r="W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B106" i="5"/>
  <c r="A106" i="5"/>
  <c r="AJ106" i="5" s="1"/>
  <c r="U105" i="5"/>
  <c r="T105" i="5"/>
  <c r="S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B105" i="5"/>
  <c r="A105" i="5"/>
  <c r="AP104" i="5"/>
  <c r="AO104" i="5"/>
  <c r="V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A104" i="5"/>
  <c r="AT104" i="5" s="1"/>
  <c r="AD103" i="5"/>
  <c r="V103" i="5"/>
  <c r="U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A103" i="5"/>
  <c r="AW103" i="5" s="1"/>
  <c r="Z102" i="5"/>
  <c r="Y102" i="5"/>
  <c r="X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A102" i="5"/>
  <c r="AH102" i="5" s="1"/>
  <c r="W101" i="5"/>
  <c r="V101" i="5"/>
  <c r="T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A101" i="5"/>
  <c r="AY101" i="5" s="1"/>
  <c r="AI100" i="5"/>
  <c r="AH100" i="5"/>
  <c r="V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B100" i="5"/>
  <c r="A100" i="5"/>
  <c r="Y99" i="5"/>
  <c r="T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A99" i="5"/>
  <c r="AE99" i="5" s="1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A98" i="5"/>
  <c r="X98" i="5" s="1"/>
  <c r="AJ97" i="5"/>
  <c r="V97" i="5"/>
  <c r="U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B97" i="5"/>
  <c r="A97" i="5"/>
  <c r="AC97" i="5" s="1"/>
  <c r="AC96" i="5"/>
  <c r="X96" i="5"/>
  <c r="U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A96" i="5"/>
  <c r="W96" i="5" s="1"/>
  <c r="AW95" i="5"/>
  <c r="AP95" i="5"/>
  <c r="AM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A95" i="5"/>
  <c r="W94" i="5"/>
  <c r="V94" i="5"/>
  <c r="U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B94" i="5"/>
  <c r="A94" i="5"/>
  <c r="AP93" i="5"/>
  <c r="X93" i="5"/>
  <c r="W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B93" i="5"/>
  <c r="A93" i="5"/>
  <c r="W92" i="5"/>
  <c r="V92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B92" i="5"/>
  <c r="A92" i="5"/>
  <c r="AA92" i="5" s="1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B91" i="5"/>
  <c r="A91" i="5"/>
  <c r="AK91" i="5" s="1"/>
  <c r="Y90" i="5"/>
  <c r="X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B90" i="5"/>
  <c r="A90" i="5"/>
  <c r="AT90" i="5" s="1"/>
  <c r="Z89" i="5"/>
  <c r="Y89" i="5"/>
  <c r="W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B89" i="5"/>
  <c r="A89" i="5"/>
  <c r="AE88" i="5"/>
  <c r="AB88" i="5"/>
  <c r="Z88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B88" i="5"/>
  <c r="A88" i="5"/>
  <c r="W87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B87" i="5"/>
  <c r="A87" i="5"/>
  <c r="AC86" i="5"/>
  <c r="AB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B86" i="5"/>
  <c r="A86" i="5"/>
  <c r="Z85" i="5"/>
  <c r="T85" i="5"/>
  <c r="S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A85" i="5"/>
  <c r="T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A84" i="5"/>
  <c r="AE84" i="5" s="1"/>
  <c r="X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A83" i="5"/>
  <c r="W83" i="5" s="1"/>
  <c r="T82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B82" i="5"/>
  <c r="A82" i="5"/>
  <c r="AN82" i="5" s="1"/>
  <c r="AC81" i="5"/>
  <c r="AB81" i="5"/>
  <c r="R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B81" i="5"/>
  <c r="A81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B80" i="5"/>
  <c r="A80" i="5"/>
  <c r="AH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B79" i="5"/>
  <c r="A79" i="5"/>
  <c r="V78" i="5"/>
  <c r="U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B78" i="5"/>
  <c r="A78" i="5"/>
  <c r="AW78" i="5" s="1"/>
  <c r="AA77" i="5"/>
  <c r="W77" i="5"/>
  <c r="S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A77" i="5"/>
  <c r="AP77" i="5" s="1"/>
  <c r="AC76" i="5"/>
  <c r="AB76" i="5"/>
  <c r="AA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A76" i="5"/>
  <c r="AW75" i="5"/>
  <c r="S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B75" i="5"/>
  <c r="A75" i="5"/>
  <c r="X74" i="5"/>
  <c r="W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A74" i="5"/>
  <c r="Z73" i="5"/>
  <c r="W73" i="5"/>
  <c r="U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B73" i="5"/>
  <c r="A73" i="5"/>
  <c r="AL73" i="5" s="1"/>
  <c r="AB72" i="5"/>
  <c r="V72" i="5"/>
  <c r="S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B72" i="5"/>
  <c r="A72" i="5"/>
  <c r="W72" i="5" s="1"/>
  <c r="AH71" i="5"/>
  <c r="AG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A71" i="5"/>
  <c r="AR71" i="5" s="1"/>
  <c r="Y70" i="5"/>
  <c r="X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B70" i="5"/>
  <c r="A70" i="5"/>
  <c r="R70" i="5" s="1"/>
  <c r="AD69" i="5"/>
  <c r="AA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A69" i="5"/>
  <c r="AL69" i="5" s="1"/>
  <c r="V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A68" i="5"/>
  <c r="AN68" i="5" s="1"/>
  <c r="AO67" i="5"/>
  <c r="AN67" i="5"/>
  <c r="X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A67" i="5"/>
  <c r="AQ67" i="5" s="1"/>
  <c r="T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A66" i="5"/>
  <c r="AC65" i="5"/>
  <c r="U65" i="5"/>
  <c r="S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A65" i="5"/>
  <c r="U64" i="5"/>
  <c r="T64" i="5"/>
  <c r="S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A64" i="5"/>
  <c r="AI64" i="5" s="1"/>
  <c r="W63" i="5"/>
  <c r="V63" i="5"/>
  <c r="U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A63" i="5"/>
  <c r="AI62" i="5"/>
  <c r="AA62" i="5"/>
  <c r="X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A62" i="5"/>
  <c r="AR62" i="5" s="1"/>
  <c r="W61" i="5"/>
  <c r="V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A61" i="5"/>
  <c r="AP61" i="5" s="1"/>
  <c r="AJ60" i="5"/>
  <c r="AB60" i="5"/>
  <c r="T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A60" i="5"/>
  <c r="AM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A59" i="5"/>
  <c r="AD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A58" i="5"/>
  <c r="AI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A57" i="5"/>
  <c r="T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A56" i="5"/>
  <c r="AW55" i="5"/>
  <c r="S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A55" i="5"/>
  <c r="T55" i="5" s="1"/>
  <c r="AO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A54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A53" i="5"/>
  <c r="W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A52" i="5"/>
  <c r="AI52" i="5" s="1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A51" i="5"/>
  <c r="AE50" i="5"/>
  <c r="Y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A50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A49" i="5"/>
  <c r="U49" i="5" s="1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A48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A47" i="5"/>
  <c r="AL47" i="5" s="1"/>
  <c r="W46" i="5"/>
  <c r="V46" i="5"/>
  <c r="U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A46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A45" i="5"/>
  <c r="AG44" i="5"/>
  <c r="AF44" i="5"/>
  <c r="W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44" i="5"/>
  <c r="Y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A43" i="5"/>
  <c r="A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A42" i="5"/>
  <c r="AU41" i="5"/>
  <c r="AX41" i="5" s="1"/>
  <c r="AT41" i="5"/>
  <c r="AR41" i="5"/>
  <c r="AQ41" i="5"/>
  <c r="AP41" i="5"/>
  <c r="AN41" i="5"/>
  <c r="AF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A41" i="5"/>
  <c r="AC41" i="5" s="1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A40" i="5"/>
  <c r="AA40" i="5" s="1"/>
  <c r="AB39" i="5"/>
  <c r="AA39" i="5"/>
  <c r="T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A39" i="5"/>
  <c r="Y38" i="5"/>
  <c r="X38" i="5"/>
  <c r="W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A38" i="5"/>
  <c r="AY38" i="5" s="1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A37" i="5"/>
  <c r="AW37" i="5" s="1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A36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A35" i="5"/>
  <c r="AE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A34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Q24" i="5"/>
  <c r="P24" i="5"/>
  <c r="O24" i="5"/>
  <c r="N24" i="5"/>
  <c r="M24" i="5"/>
  <c r="L24" i="5"/>
  <c r="K24" i="5"/>
  <c r="J24" i="5"/>
  <c r="I24" i="5"/>
  <c r="H24" i="5"/>
  <c r="G24" i="5"/>
  <c r="F24" i="5"/>
  <c r="AI24" i="5" s="1"/>
  <c r="E24" i="5"/>
  <c r="D24" i="5"/>
  <c r="C24" i="5"/>
  <c r="B24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A18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E3" i="5"/>
  <c r="B3" i="5"/>
  <c r="Y508" i="2"/>
  <c r="T508" i="2"/>
  <c r="S508" i="2"/>
  <c r="O508" i="2"/>
  <c r="K508" i="2"/>
  <c r="Y507" i="2"/>
  <c r="T507" i="2"/>
  <c r="S507" i="2"/>
  <c r="O507" i="2"/>
  <c r="K507" i="2"/>
  <c r="Y506" i="2"/>
  <c r="T506" i="2"/>
  <c r="S506" i="2"/>
  <c r="O506" i="2"/>
  <c r="K506" i="2"/>
  <c r="Y505" i="2"/>
  <c r="T505" i="2"/>
  <c r="S505" i="2"/>
  <c r="O505" i="2"/>
  <c r="K505" i="2"/>
  <c r="Y504" i="2"/>
  <c r="T504" i="2"/>
  <c r="S504" i="2"/>
  <c r="O504" i="2"/>
  <c r="K504" i="2"/>
  <c r="Y503" i="2"/>
  <c r="T503" i="2"/>
  <c r="S503" i="2"/>
  <c r="O503" i="2"/>
  <c r="K503" i="2"/>
  <c r="Y502" i="2"/>
  <c r="T502" i="2"/>
  <c r="S502" i="2"/>
  <c r="O502" i="2"/>
  <c r="K502" i="2"/>
  <c r="Y501" i="2"/>
  <c r="T501" i="2"/>
  <c r="S501" i="2"/>
  <c r="O501" i="2"/>
  <c r="K501" i="2"/>
  <c r="Y500" i="2"/>
  <c r="T500" i="2"/>
  <c r="S500" i="2"/>
  <c r="O500" i="2"/>
  <c r="K500" i="2"/>
  <c r="Y499" i="2"/>
  <c r="T499" i="2"/>
  <c r="S499" i="2"/>
  <c r="O499" i="2"/>
  <c r="K499" i="2"/>
  <c r="Y498" i="2"/>
  <c r="T498" i="2"/>
  <c r="S498" i="2"/>
  <c r="O498" i="2"/>
  <c r="K498" i="2"/>
  <c r="Y497" i="2"/>
  <c r="T497" i="2"/>
  <c r="S497" i="2"/>
  <c r="O497" i="2"/>
  <c r="K497" i="2"/>
  <c r="Y496" i="2"/>
  <c r="T496" i="2"/>
  <c r="S496" i="2"/>
  <c r="O496" i="2"/>
  <c r="K496" i="2"/>
  <c r="Y495" i="2"/>
  <c r="T495" i="2"/>
  <c r="S495" i="2"/>
  <c r="O495" i="2"/>
  <c r="K495" i="2"/>
  <c r="Y494" i="2"/>
  <c r="T494" i="2"/>
  <c r="S494" i="2"/>
  <c r="O494" i="2"/>
  <c r="K494" i="2"/>
  <c r="Y493" i="2"/>
  <c r="T493" i="2"/>
  <c r="S493" i="2"/>
  <c r="O493" i="2"/>
  <c r="K493" i="2"/>
  <c r="Y492" i="2"/>
  <c r="T492" i="2"/>
  <c r="S492" i="2"/>
  <c r="O492" i="2"/>
  <c r="K492" i="2"/>
  <c r="Y491" i="2"/>
  <c r="T491" i="2"/>
  <c r="S491" i="2"/>
  <c r="O491" i="2"/>
  <c r="K491" i="2"/>
  <c r="Y490" i="2"/>
  <c r="T490" i="2"/>
  <c r="S490" i="2"/>
  <c r="O490" i="2"/>
  <c r="K490" i="2"/>
  <c r="Y489" i="2"/>
  <c r="T489" i="2"/>
  <c r="S489" i="2"/>
  <c r="O489" i="2"/>
  <c r="K489" i="2"/>
  <c r="Y488" i="2"/>
  <c r="T488" i="2"/>
  <c r="S488" i="2"/>
  <c r="O488" i="2"/>
  <c r="K488" i="2"/>
  <c r="Y487" i="2"/>
  <c r="T487" i="2"/>
  <c r="S487" i="2"/>
  <c r="O487" i="2"/>
  <c r="K487" i="2"/>
  <c r="Y486" i="2"/>
  <c r="T486" i="2"/>
  <c r="S486" i="2"/>
  <c r="O486" i="2"/>
  <c r="K486" i="2"/>
  <c r="Y485" i="2"/>
  <c r="T485" i="2"/>
  <c r="S485" i="2"/>
  <c r="O485" i="2"/>
  <c r="K485" i="2"/>
  <c r="Y484" i="2"/>
  <c r="T484" i="2"/>
  <c r="S484" i="2"/>
  <c r="O484" i="2"/>
  <c r="K484" i="2"/>
  <c r="Y483" i="2"/>
  <c r="T483" i="2"/>
  <c r="S483" i="2"/>
  <c r="O483" i="2"/>
  <c r="K483" i="2"/>
  <c r="Y482" i="2"/>
  <c r="T482" i="2"/>
  <c r="S482" i="2"/>
  <c r="O482" i="2"/>
  <c r="K482" i="2"/>
  <c r="Y481" i="2"/>
  <c r="T481" i="2"/>
  <c r="S481" i="2"/>
  <c r="O481" i="2"/>
  <c r="K481" i="2"/>
  <c r="Y480" i="2"/>
  <c r="T480" i="2"/>
  <c r="S480" i="2"/>
  <c r="O480" i="2"/>
  <c r="K480" i="2"/>
  <c r="Y479" i="2"/>
  <c r="T479" i="2"/>
  <c r="S479" i="2"/>
  <c r="O479" i="2"/>
  <c r="K479" i="2"/>
  <c r="Y478" i="2"/>
  <c r="T478" i="2"/>
  <c r="S478" i="2"/>
  <c r="O478" i="2"/>
  <c r="K478" i="2"/>
  <c r="Y477" i="2"/>
  <c r="T477" i="2"/>
  <c r="S477" i="2"/>
  <c r="O477" i="2"/>
  <c r="K477" i="2"/>
  <c r="Y476" i="2"/>
  <c r="T476" i="2"/>
  <c r="S476" i="2"/>
  <c r="O476" i="2"/>
  <c r="K476" i="2"/>
  <c r="Y475" i="2"/>
  <c r="T475" i="2"/>
  <c r="S475" i="2"/>
  <c r="O475" i="2"/>
  <c r="K475" i="2"/>
  <c r="Y474" i="2"/>
  <c r="T474" i="2"/>
  <c r="S474" i="2"/>
  <c r="O474" i="2"/>
  <c r="K474" i="2"/>
  <c r="Y473" i="2"/>
  <c r="T473" i="2"/>
  <c r="S473" i="2"/>
  <c r="O473" i="2"/>
  <c r="K473" i="2"/>
  <c r="Y472" i="2"/>
  <c r="T472" i="2"/>
  <c r="S472" i="2"/>
  <c r="O472" i="2"/>
  <c r="K472" i="2"/>
  <c r="Y471" i="2"/>
  <c r="T471" i="2"/>
  <c r="S471" i="2"/>
  <c r="O471" i="2"/>
  <c r="K471" i="2"/>
  <c r="Y470" i="2"/>
  <c r="T470" i="2"/>
  <c r="S470" i="2"/>
  <c r="O470" i="2"/>
  <c r="K470" i="2"/>
  <c r="Y469" i="2"/>
  <c r="T469" i="2"/>
  <c r="S469" i="2"/>
  <c r="O469" i="2"/>
  <c r="K469" i="2"/>
  <c r="Y468" i="2"/>
  <c r="T468" i="2"/>
  <c r="S468" i="2"/>
  <c r="O468" i="2"/>
  <c r="K468" i="2"/>
  <c r="Y467" i="2"/>
  <c r="T467" i="2"/>
  <c r="S467" i="2"/>
  <c r="O467" i="2"/>
  <c r="K467" i="2"/>
  <c r="Y466" i="2"/>
  <c r="T466" i="2"/>
  <c r="S466" i="2"/>
  <c r="O466" i="2"/>
  <c r="K466" i="2"/>
  <c r="Y465" i="2"/>
  <c r="T465" i="2"/>
  <c r="S465" i="2"/>
  <c r="O465" i="2"/>
  <c r="K465" i="2"/>
  <c r="Y464" i="2"/>
  <c r="T464" i="2"/>
  <c r="S464" i="2"/>
  <c r="O464" i="2"/>
  <c r="K464" i="2"/>
  <c r="Y463" i="2"/>
  <c r="T463" i="2"/>
  <c r="S463" i="2"/>
  <c r="O463" i="2"/>
  <c r="K463" i="2"/>
  <c r="Y462" i="2"/>
  <c r="T462" i="2"/>
  <c r="S462" i="2"/>
  <c r="O462" i="2"/>
  <c r="K462" i="2"/>
  <c r="Y461" i="2"/>
  <c r="T461" i="2"/>
  <c r="S461" i="2"/>
  <c r="O461" i="2"/>
  <c r="K461" i="2"/>
  <c r="Y460" i="2"/>
  <c r="T460" i="2"/>
  <c r="S460" i="2"/>
  <c r="O460" i="2"/>
  <c r="K460" i="2"/>
  <c r="Y459" i="2"/>
  <c r="T459" i="2"/>
  <c r="S459" i="2"/>
  <c r="O459" i="2"/>
  <c r="K459" i="2"/>
  <c r="Y458" i="2"/>
  <c r="T458" i="2"/>
  <c r="S458" i="2"/>
  <c r="O458" i="2"/>
  <c r="K458" i="2"/>
  <c r="Y457" i="2"/>
  <c r="T457" i="2"/>
  <c r="S457" i="2"/>
  <c r="O457" i="2"/>
  <c r="K457" i="2"/>
  <c r="Y456" i="2"/>
  <c r="T456" i="2"/>
  <c r="S456" i="2"/>
  <c r="O456" i="2"/>
  <c r="K456" i="2"/>
  <c r="Y455" i="2"/>
  <c r="T455" i="2"/>
  <c r="S455" i="2"/>
  <c r="O455" i="2"/>
  <c r="K455" i="2"/>
  <c r="Y454" i="2"/>
  <c r="T454" i="2"/>
  <c r="S454" i="2"/>
  <c r="O454" i="2"/>
  <c r="K454" i="2"/>
  <c r="Y453" i="2"/>
  <c r="T453" i="2"/>
  <c r="S453" i="2"/>
  <c r="O453" i="2"/>
  <c r="K453" i="2"/>
  <c r="Y452" i="2"/>
  <c r="T452" i="2"/>
  <c r="S452" i="2"/>
  <c r="O452" i="2"/>
  <c r="K452" i="2"/>
  <c r="Y451" i="2"/>
  <c r="T451" i="2"/>
  <c r="S451" i="2"/>
  <c r="O451" i="2"/>
  <c r="K451" i="2"/>
  <c r="Y450" i="2"/>
  <c r="T450" i="2"/>
  <c r="S450" i="2"/>
  <c r="O450" i="2"/>
  <c r="K450" i="2"/>
  <c r="Y449" i="2"/>
  <c r="T449" i="2"/>
  <c r="S449" i="2"/>
  <c r="O449" i="2"/>
  <c r="K449" i="2"/>
  <c r="Y448" i="2"/>
  <c r="T448" i="2"/>
  <c r="S448" i="2"/>
  <c r="O448" i="2"/>
  <c r="K448" i="2"/>
  <c r="Y447" i="2"/>
  <c r="T447" i="2"/>
  <c r="S447" i="2"/>
  <c r="O447" i="2"/>
  <c r="K447" i="2"/>
  <c r="Y446" i="2"/>
  <c r="T446" i="2"/>
  <c r="S446" i="2"/>
  <c r="O446" i="2"/>
  <c r="K446" i="2"/>
  <c r="Y445" i="2"/>
  <c r="T445" i="2"/>
  <c r="S445" i="2"/>
  <c r="O445" i="2"/>
  <c r="K445" i="2"/>
  <c r="Y444" i="2"/>
  <c r="T444" i="2"/>
  <c r="S444" i="2"/>
  <c r="O444" i="2"/>
  <c r="K444" i="2"/>
  <c r="Y443" i="2"/>
  <c r="T443" i="2"/>
  <c r="S443" i="2"/>
  <c r="O443" i="2"/>
  <c r="K443" i="2"/>
  <c r="Y442" i="2"/>
  <c r="T442" i="2"/>
  <c r="S442" i="2"/>
  <c r="O442" i="2"/>
  <c r="K442" i="2"/>
  <c r="Y441" i="2"/>
  <c r="T441" i="2"/>
  <c r="S441" i="2"/>
  <c r="O441" i="2"/>
  <c r="K441" i="2"/>
  <c r="Y440" i="2"/>
  <c r="T440" i="2"/>
  <c r="S440" i="2"/>
  <c r="O440" i="2"/>
  <c r="K440" i="2"/>
  <c r="Y439" i="2"/>
  <c r="T439" i="2"/>
  <c r="S439" i="2"/>
  <c r="O439" i="2"/>
  <c r="K439" i="2"/>
  <c r="Y438" i="2"/>
  <c r="T438" i="2"/>
  <c r="S438" i="2"/>
  <c r="O438" i="2"/>
  <c r="K438" i="2"/>
  <c r="Y437" i="2"/>
  <c r="T437" i="2"/>
  <c r="S437" i="2"/>
  <c r="O437" i="2"/>
  <c r="K437" i="2"/>
  <c r="Y436" i="2"/>
  <c r="T436" i="2"/>
  <c r="S436" i="2"/>
  <c r="O436" i="2"/>
  <c r="K436" i="2"/>
  <c r="Y435" i="2"/>
  <c r="T435" i="2"/>
  <c r="S435" i="2"/>
  <c r="O435" i="2"/>
  <c r="K435" i="2"/>
  <c r="Y434" i="2"/>
  <c r="T434" i="2"/>
  <c r="S434" i="2"/>
  <c r="O434" i="2"/>
  <c r="K434" i="2"/>
  <c r="Y433" i="2"/>
  <c r="T433" i="2"/>
  <c r="S433" i="2"/>
  <c r="O433" i="2"/>
  <c r="K433" i="2"/>
  <c r="Y432" i="2"/>
  <c r="T432" i="2"/>
  <c r="S432" i="2"/>
  <c r="O432" i="2"/>
  <c r="K432" i="2"/>
  <c r="Y431" i="2"/>
  <c r="T431" i="2"/>
  <c r="S431" i="2"/>
  <c r="O431" i="2"/>
  <c r="K431" i="2"/>
  <c r="Y430" i="2"/>
  <c r="T430" i="2"/>
  <c r="S430" i="2"/>
  <c r="O430" i="2"/>
  <c r="K430" i="2"/>
  <c r="Y429" i="2"/>
  <c r="T429" i="2"/>
  <c r="S429" i="2"/>
  <c r="O429" i="2"/>
  <c r="K429" i="2"/>
  <c r="Y428" i="2"/>
  <c r="T428" i="2"/>
  <c r="S428" i="2"/>
  <c r="O428" i="2"/>
  <c r="K428" i="2"/>
  <c r="Y427" i="2"/>
  <c r="T427" i="2"/>
  <c r="S427" i="2"/>
  <c r="O427" i="2"/>
  <c r="K427" i="2"/>
  <c r="Y426" i="2"/>
  <c r="T426" i="2"/>
  <c r="S426" i="2"/>
  <c r="O426" i="2"/>
  <c r="K426" i="2"/>
  <c r="Y425" i="2"/>
  <c r="T425" i="2"/>
  <c r="S425" i="2"/>
  <c r="O425" i="2"/>
  <c r="K425" i="2"/>
  <c r="Y424" i="2"/>
  <c r="T424" i="2"/>
  <c r="S424" i="2"/>
  <c r="O424" i="2"/>
  <c r="K424" i="2"/>
  <c r="Y423" i="2"/>
  <c r="T423" i="2"/>
  <c r="S423" i="2"/>
  <c r="O423" i="2"/>
  <c r="K423" i="2"/>
  <c r="Y422" i="2"/>
  <c r="T422" i="2"/>
  <c r="S422" i="2"/>
  <c r="O422" i="2"/>
  <c r="K422" i="2"/>
  <c r="Y421" i="2"/>
  <c r="T421" i="2"/>
  <c r="S421" i="2"/>
  <c r="O421" i="2"/>
  <c r="K421" i="2"/>
  <c r="Y420" i="2"/>
  <c r="T420" i="2"/>
  <c r="S420" i="2"/>
  <c r="O420" i="2"/>
  <c r="K420" i="2"/>
  <c r="Y419" i="2"/>
  <c r="T419" i="2"/>
  <c r="S419" i="2"/>
  <c r="O419" i="2"/>
  <c r="K419" i="2"/>
  <c r="Y418" i="2"/>
  <c r="T418" i="2"/>
  <c r="S418" i="2"/>
  <c r="O418" i="2"/>
  <c r="K418" i="2"/>
  <c r="Y417" i="2"/>
  <c r="T417" i="2"/>
  <c r="S417" i="2"/>
  <c r="O417" i="2"/>
  <c r="K417" i="2"/>
  <c r="Y416" i="2"/>
  <c r="T416" i="2"/>
  <c r="S416" i="2"/>
  <c r="O416" i="2"/>
  <c r="K416" i="2"/>
  <c r="Y415" i="2"/>
  <c r="T415" i="2"/>
  <c r="S415" i="2"/>
  <c r="O415" i="2"/>
  <c r="K415" i="2"/>
  <c r="Y414" i="2"/>
  <c r="T414" i="2"/>
  <c r="S414" i="2"/>
  <c r="O414" i="2"/>
  <c r="K414" i="2"/>
  <c r="Y413" i="2"/>
  <c r="T413" i="2"/>
  <c r="S413" i="2"/>
  <c r="O413" i="2"/>
  <c r="K413" i="2"/>
  <c r="Y412" i="2"/>
  <c r="T412" i="2"/>
  <c r="S412" i="2"/>
  <c r="O412" i="2"/>
  <c r="K412" i="2"/>
  <c r="Y411" i="2"/>
  <c r="T411" i="2"/>
  <c r="S411" i="2"/>
  <c r="O411" i="2"/>
  <c r="K411" i="2"/>
  <c r="Y410" i="2"/>
  <c r="T410" i="2"/>
  <c r="S410" i="2"/>
  <c r="O410" i="2"/>
  <c r="K410" i="2"/>
  <c r="Y409" i="2"/>
  <c r="T409" i="2"/>
  <c r="S409" i="2"/>
  <c r="O409" i="2"/>
  <c r="K409" i="2"/>
  <c r="Y408" i="2"/>
  <c r="T408" i="2"/>
  <c r="S408" i="2"/>
  <c r="O408" i="2"/>
  <c r="K408" i="2"/>
  <c r="Y407" i="2"/>
  <c r="T407" i="2"/>
  <c r="S407" i="2"/>
  <c r="O407" i="2"/>
  <c r="K407" i="2"/>
  <c r="Y406" i="2"/>
  <c r="T406" i="2"/>
  <c r="S406" i="2"/>
  <c r="O406" i="2"/>
  <c r="K406" i="2"/>
  <c r="Y405" i="2"/>
  <c r="T405" i="2"/>
  <c r="S405" i="2"/>
  <c r="O405" i="2"/>
  <c r="K405" i="2"/>
  <c r="Y404" i="2"/>
  <c r="T404" i="2"/>
  <c r="S404" i="2"/>
  <c r="O404" i="2"/>
  <c r="K404" i="2"/>
  <c r="Y403" i="2"/>
  <c r="T403" i="2"/>
  <c r="S403" i="2"/>
  <c r="O403" i="2"/>
  <c r="K403" i="2"/>
  <c r="Y402" i="2"/>
  <c r="T402" i="2"/>
  <c r="S402" i="2"/>
  <c r="O402" i="2"/>
  <c r="K402" i="2"/>
  <c r="Y401" i="2"/>
  <c r="T401" i="2"/>
  <c r="S401" i="2"/>
  <c r="O401" i="2"/>
  <c r="K401" i="2"/>
  <c r="Y400" i="2"/>
  <c r="T400" i="2"/>
  <c r="S400" i="2"/>
  <c r="O400" i="2"/>
  <c r="K400" i="2"/>
  <c r="Y399" i="2"/>
  <c r="T399" i="2"/>
  <c r="S399" i="2"/>
  <c r="O399" i="2"/>
  <c r="K399" i="2"/>
  <c r="Y398" i="2"/>
  <c r="T398" i="2"/>
  <c r="S398" i="2"/>
  <c r="O398" i="2"/>
  <c r="K398" i="2"/>
  <c r="Y397" i="2"/>
  <c r="T397" i="2"/>
  <c r="S397" i="2"/>
  <c r="O397" i="2"/>
  <c r="K397" i="2"/>
  <c r="Y396" i="2"/>
  <c r="T396" i="2"/>
  <c r="S396" i="2"/>
  <c r="O396" i="2"/>
  <c r="K396" i="2"/>
  <c r="Y395" i="2"/>
  <c r="T395" i="2"/>
  <c r="S395" i="2"/>
  <c r="O395" i="2"/>
  <c r="K395" i="2"/>
  <c r="Y394" i="2"/>
  <c r="T394" i="2"/>
  <c r="S394" i="2"/>
  <c r="O394" i="2"/>
  <c r="K394" i="2"/>
  <c r="Y393" i="2"/>
  <c r="T393" i="2"/>
  <c r="S393" i="2"/>
  <c r="O393" i="2"/>
  <c r="K393" i="2"/>
  <c r="Y392" i="2"/>
  <c r="T392" i="2"/>
  <c r="S392" i="2"/>
  <c r="O392" i="2"/>
  <c r="K392" i="2"/>
  <c r="Y391" i="2"/>
  <c r="T391" i="2"/>
  <c r="S391" i="2"/>
  <c r="O391" i="2"/>
  <c r="K391" i="2"/>
  <c r="Y390" i="2"/>
  <c r="T390" i="2"/>
  <c r="S390" i="2"/>
  <c r="O390" i="2"/>
  <c r="K390" i="2"/>
  <c r="Y389" i="2"/>
  <c r="T389" i="2"/>
  <c r="S389" i="2"/>
  <c r="O389" i="2"/>
  <c r="K389" i="2"/>
  <c r="Y388" i="2"/>
  <c r="T388" i="2"/>
  <c r="S388" i="2"/>
  <c r="O388" i="2"/>
  <c r="K388" i="2"/>
  <c r="Y387" i="2"/>
  <c r="T387" i="2"/>
  <c r="S387" i="2"/>
  <c r="O387" i="2"/>
  <c r="K387" i="2"/>
  <c r="Y386" i="2"/>
  <c r="T386" i="2"/>
  <c r="S386" i="2"/>
  <c r="O386" i="2"/>
  <c r="K386" i="2"/>
  <c r="Y385" i="2"/>
  <c r="T385" i="2"/>
  <c r="S385" i="2"/>
  <c r="O385" i="2"/>
  <c r="K385" i="2"/>
  <c r="Y384" i="2"/>
  <c r="T384" i="2"/>
  <c r="S384" i="2"/>
  <c r="O384" i="2"/>
  <c r="K384" i="2"/>
  <c r="Y383" i="2"/>
  <c r="T383" i="2"/>
  <c r="S383" i="2"/>
  <c r="O383" i="2"/>
  <c r="K383" i="2"/>
  <c r="Y382" i="2"/>
  <c r="T382" i="2"/>
  <c r="S382" i="2"/>
  <c r="O382" i="2"/>
  <c r="K382" i="2"/>
  <c r="Y381" i="2"/>
  <c r="T381" i="2"/>
  <c r="S381" i="2"/>
  <c r="O381" i="2"/>
  <c r="K381" i="2"/>
  <c r="Y380" i="2"/>
  <c r="T380" i="2"/>
  <c r="S380" i="2"/>
  <c r="O380" i="2"/>
  <c r="K380" i="2"/>
  <c r="Y379" i="2"/>
  <c r="T379" i="2"/>
  <c r="S379" i="2"/>
  <c r="O379" i="2"/>
  <c r="K379" i="2"/>
  <c r="Y378" i="2"/>
  <c r="T378" i="2"/>
  <c r="S378" i="2"/>
  <c r="O378" i="2"/>
  <c r="K378" i="2"/>
  <c r="Y377" i="2"/>
  <c r="T377" i="2"/>
  <c r="S377" i="2"/>
  <c r="O377" i="2"/>
  <c r="K377" i="2"/>
  <c r="Y376" i="2"/>
  <c r="T376" i="2"/>
  <c r="S376" i="2"/>
  <c r="O376" i="2"/>
  <c r="K376" i="2"/>
  <c r="Y375" i="2"/>
  <c r="T375" i="2"/>
  <c r="S375" i="2"/>
  <c r="O375" i="2"/>
  <c r="K375" i="2"/>
  <c r="Y374" i="2"/>
  <c r="T374" i="2"/>
  <c r="S374" i="2"/>
  <c r="O374" i="2"/>
  <c r="K374" i="2"/>
  <c r="Y373" i="2"/>
  <c r="T373" i="2"/>
  <c r="S373" i="2"/>
  <c r="O373" i="2"/>
  <c r="K373" i="2"/>
  <c r="Y372" i="2"/>
  <c r="T372" i="2"/>
  <c r="S372" i="2"/>
  <c r="O372" i="2"/>
  <c r="K372" i="2"/>
  <c r="Y371" i="2"/>
  <c r="T371" i="2"/>
  <c r="S371" i="2"/>
  <c r="O371" i="2"/>
  <c r="K371" i="2"/>
  <c r="Y370" i="2"/>
  <c r="T370" i="2"/>
  <c r="S370" i="2"/>
  <c r="O370" i="2"/>
  <c r="K370" i="2"/>
  <c r="Y369" i="2"/>
  <c r="T369" i="2"/>
  <c r="S369" i="2"/>
  <c r="O369" i="2"/>
  <c r="K369" i="2"/>
  <c r="Y368" i="2"/>
  <c r="T368" i="2"/>
  <c r="S368" i="2"/>
  <c r="O368" i="2"/>
  <c r="K368" i="2"/>
  <c r="Y367" i="2"/>
  <c r="T367" i="2"/>
  <c r="S367" i="2"/>
  <c r="O367" i="2"/>
  <c r="K367" i="2"/>
  <c r="Y366" i="2"/>
  <c r="T366" i="2"/>
  <c r="S366" i="2"/>
  <c r="O366" i="2"/>
  <c r="K366" i="2"/>
  <c r="Y365" i="2"/>
  <c r="T365" i="2"/>
  <c r="S365" i="2"/>
  <c r="O365" i="2"/>
  <c r="K365" i="2"/>
  <c r="Y364" i="2"/>
  <c r="T364" i="2"/>
  <c r="S364" i="2"/>
  <c r="O364" i="2"/>
  <c r="K364" i="2"/>
  <c r="Y363" i="2"/>
  <c r="T363" i="2"/>
  <c r="S363" i="2"/>
  <c r="O363" i="2"/>
  <c r="K363" i="2"/>
  <c r="Y362" i="2"/>
  <c r="T362" i="2"/>
  <c r="S362" i="2"/>
  <c r="O362" i="2"/>
  <c r="K362" i="2"/>
  <c r="Y361" i="2"/>
  <c r="T361" i="2"/>
  <c r="S361" i="2"/>
  <c r="O361" i="2"/>
  <c r="K361" i="2"/>
  <c r="Y360" i="2"/>
  <c r="T360" i="2"/>
  <c r="S360" i="2"/>
  <c r="O360" i="2"/>
  <c r="K360" i="2"/>
  <c r="Y359" i="2"/>
  <c r="T359" i="2"/>
  <c r="S359" i="2"/>
  <c r="O359" i="2"/>
  <c r="K359" i="2"/>
  <c r="Y358" i="2"/>
  <c r="T358" i="2"/>
  <c r="S358" i="2"/>
  <c r="O358" i="2"/>
  <c r="K358" i="2"/>
  <c r="Y357" i="2"/>
  <c r="T357" i="2"/>
  <c r="S357" i="2"/>
  <c r="O357" i="2"/>
  <c r="K357" i="2"/>
  <c r="Y356" i="2"/>
  <c r="T356" i="2"/>
  <c r="S356" i="2"/>
  <c r="O356" i="2"/>
  <c r="K356" i="2"/>
  <c r="Y355" i="2"/>
  <c r="T355" i="2"/>
  <c r="S355" i="2"/>
  <c r="O355" i="2"/>
  <c r="K355" i="2"/>
  <c r="Y354" i="2"/>
  <c r="T354" i="2"/>
  <c r="S354" i="2"/>
  <c r="O354" i="2"/>
  <c r="K354" i="2"/>
  <c r="Y353" i="2"/>
  <c r="T353" i="2"/>
  <c r="S353" i="2"/>
  <c r="O353" i="2"/>
  <c r="K353" i="2"/>
  <c r="Y352" i="2"/>
  <c r="T352" i="2"/>
  <c r="S352" i="2"/>
  <c r="O352" i="2"/>
  <c r="K352" i="2"/>
  <c r="Y351" i="2"/>
  <c r="T351" i="2"/>
  <c r="S351" i="2"/>
  <c r="O351" i="2"/>
  <c r="K351" i="2"/>
  <c r="Y350" i="2"/>
  <c r="T350" i="2"/>
  <c r="S350" i="2"/>
  <c r="O350" i="2"/>
  <c r="K350" i="2"/>
  <c r="Y349" i="2"/>
  <c r="T349" i="2"/>
  <c r="S349" i="2"/>
  <c r="O349" i="2"/>
  <c r="K349" i="2"/>
  <c r="Y348" i="2"/>
  <c r="T348" i="2"/>
  <c r="S348" i="2"/>
  <c r="O348" i="2"/>
  <c r="K348" i="2"/>
  <c r="Y347" i="2"/>
  <c r="T347" i="2"/>
  <c r="S347" i="2"/>
  <c r="O347" i="2"/>
  <c r="K347" i="2"/>
  <c r="Y346" i="2"/>
  <c r="T346" i="2"/>
  <c r="S346" i="2"/>
  <c r="O346" i="2"/>
  <c r="K346" i="2"/>
  <c r="Y345" i="2"/>
  <c r="T345" i="2"/>
  <c r="S345" i="2"/>
  <c r="O345" i="2"/>
  <c r="K345" i="2"/>
  <c r="Y344" i="2"/>
  <c r="T344" i="2"/>
  <c r="S344" i="2"/>
  <c r="O344" i="2"/>
  <c r="K344" i="2"/>
  <c r="Y343" i="2"/>
  <c r="T343" i="2"/>
  <c r="S343" i="2"/>
  <c r="O343" i="2"/>
  <c r="K343" i="2"/>
  <c r="Y342" i="2"/>
  <c r="T342" i="2"/>
  <c r="S342" i="2"/>
  <c r="O342" i="2"/>
  <c r="K342" i="2"/>
  <c r="Y341" i="2"/>
  <c r="T341" i="2"/>
  <c r="S341" i="2"/>
  <c r="O341" i="2"/>
  <c r="K341" i="2"/>
  <c r="Y340" i="2"/>
  <c r="T340" i="2"/>
  <c r="S340" i="2"/>
  <c r="O340" i="2"/>
  <c r="K340" i="2"/>
  <c r="Y339" i="2"/>
  <c r="T339" i="2"/>
  <c r="S339" i="2"/>
  <c r="O339" i="2"/>
  <c r="K339" i="2"/>
  <c r="Y338" i="2"/>
  <c r="T338" i="2"/>
  <c r="S338" i="2"/>
  <c r="O338" i="2"/>
  <c r="K338" i="2"/>
  <c r="Y337" i="2"/>
  <c r="T337" i="2"/>
  <c r="S337" i="2"/>
  <c r="O337" i="2"/>
  <c r="K337" i="2"/>
  <c r="Y336" i="2"/>
  <c r="T336" i="2"/>
  <c r="S336" i="2"/>
  <c r="O336" i="2"/>
  <c r="K336" i="2"/>
  <c r="Y335" i="2"/>
  <c r="T335" i="2"/>
  <c r="S335" i="2"/>
  <c r="O335" i="2"/>
  <c r="K335" i="2"/>
  <c r="Y334" i="2"/>
  <c r="T334" i="2"/>
  <c r="S334" i="2"/>
  <c r="O334" i="2"/>
  <c r="K334" i="2"/>
  <c r="Y333" i="2"/>
  <c r="T333" i="2"/>
  <c r="S333" i="2"/>
  <c r="O333" i="2"/>
  <c r="K333" i="2"/>
  <c r="Y332" i="2"/>
  <c r="T332" i="2"/>
  <c r="S332" i="2"/>
  <c r="O332" i="2"/>
  <c r="K332" i="2"/>
  <c r="Y331" i="2"/>
  <c r="T331" i="2"/>
  <c r="S331" i="2"/>
  <c r="O331" i="2"/>
  <c r="K331" i="2"/>
  <c r="Y330" i="2"/>
  <c r="T330" i="2"/>
  <c r="S330" i="2"/>
  <c r="O330" i="2"/>
  <c r="K330" i="2"/>
  <c r="Y329" i="2"/>
  <c r="T329" i="2"/>
  <c r="S329" i="2"/>
  <c r="O329" i="2"/>
  <c r="K329" i="2"/>
  <c r="Y328" i="2"/>
  <c r="T328" i="2"/>
  <c r="S328" i="2"/>
  <c r="O328" i="2"/>
  <c r="K328" i="2"/>
  <c r="Y327" i="2"/>
  <c r="T327" i="2"/>
  <c r="S327" i="2"/>
  <c r="O327" i="2"/>
  <c r="K327" i="2"/>
  <c r="Y326" i="2"/>
  <c r="T326" i="2"/>
  <c r="S326" i="2"/>
  <c r="O326" i="2"/>
  <c r="K326" i="2"/>
  <c r="Y325" i="2"/>
  <c r="T325" i="2"/>
  <c r="S325" i="2"/>
  <c r="O325" i="2"/>
  <c r="K325" i="2"/>
  <c r="Y324" i="2"/>
  <c r="T324" i="2"/>
  <c r="S324" i="2"/>
  <c r="O324" i="2"/>
  <c r="K324" i="2"/>
  <c r="Y323" i="2"/>
  <c r="T323" i="2"/>
  <c r="S323" i="2"/>
  <c r="O323" i="2"/>
  <c r="K323" i="2"/>
  <c r="Y322" i="2"/>
  <c r="T322" i="2"/>
  <c r="S322" i="2"/>
  <c r="O322" i="2"/>
  <c r="K322" i="2"/>
  <c r="Y321" i="2"/>
  <c r="T321" i="2"/>
  <c r="S321" i="2"/>
  <c r="O321" i="2"/>
  <c r="K321" i="2"/>
  <c r="Y320" i="2"/>
  <c r="T320" i="2"/>
  <c r="S320" i="2"/>
  <c r="O320" i="2"/>
  <c r="K320" i="2"/>
  <c r="Y319" i="2"/>
  <c r="T319" i="2"/>
  <c r="S319" i="2"/>
  <c r="O319" i="2"/>
  <c r="K319" i="2"/>
  <c r="Y318" i="2"/>
  <c r="T318" i="2"/>
  <c r="S318" i="2"/>
  <c r="O318" i="2"/>
  <c r="K318" i="2"/>
  <c r="Y317" i="2"/>
  <c r="T317" i="2"/>
  <c r="S317" i="2"/>
  <c r="O317" i="2"/>
  <c r="K317" i="2"/>
  <c r="Y316" i="2"/>
  <c r="T316" i="2"/>
  <c r="S316" i="2"/>
  <c r="O316" i="2"/>
  <c r="K316" i="2"/>
  <c r="Y315" i="2"/>
  <c r="T315" i="2"/>
  <c r="S315" i="2"/>
  <c r="O315" i="2"/>
  <c r="K315" i="2"/>
  <c r="Y314" i="2"/>
  <c r="T314" i="2"/>
  <c r="S314" i="2"/>
  <c r="O314" i="2"/>
  <c r="K314" i="2"/>
  <c r="Y313" i="2"/>
  <c r="T313" i="2"/>
  <c r="S313" i="2"/>
  <c r="O313" i="2"/>
  <c r="K313" i="2"/>
  <c r="Y312" i="2"/>
  <c r="T312" i="2"/>
  <c r="S312" i="2"/>
  <c r="O312" i="2"/>
  <c r="K312" i="2"/>
  <c r="Y311" i="2"/>
  <c r="T311" i="2"/>
  <c r="S311" i="2"/>
  <c r="O311" i="2"/>
  <c r="K311" i="2"/>
  <c r="Y310" i="2"/>
  <c r="T310" i="2"/>
  <c r="S310" i="2"/>
  <c r="O310" i="2"/>
  <c r="K310" i="2"/>
  <c r="Y309" i="2"/>
  <c r="T309" i="2"/>
  <c r="S309" i="2"/>
  <c r="O309" i="2"/>
  <c r="K309" i="2"/>
  <c r="Y308" i="2"/>
  <c r="T308" i="2"/>
  <c r="S308" i="2"/>
  <c r="O308" i="2"/>
  <c r="K308" i="2"/>
  <c r="Y307" i="2"/>
  <c r="T307" i="2"/>
  <c r="S307" i="2"/>
  <c r="O307" i="2"/>
  <c r="K307" i="2"/>
  <c r="Y306" i="2"/>
  <c r="T306" i="2"/>
  <c r="S306" i="2"/>
  <c r="O306" i="2"/>
  <c r="K306" i="2"/>
  <c r="Y305" i="2"/>
  <c r="T305" i="2"/>
  <c r="S305" i="2"/>
  <c r="O305" i="2"/>
  <c r="K305" i="2"/>
  <c r="Y304" i="2"/>
  <c r="T304" i="2"/>
  <c r="S304" i="2"/>
  <c r="O304" i="2"/>
  <c r="K304" i="2"/>
  <c r="Y303" i="2"/>
  <c r="T303" i="2"/>
  <c r="S303" i="2"/>
  <c r="O303" i="2"/>
  <c r="K303" i="2"/>
  <c r="Y302" i="2"/>
  <c r="T302" i="2"/>
  <c r="S302" i="2"/>
  <c r="O302" i="2"/>
  <c r="K302" i="2"/>
  <c r="Y301" i="2"/>
  <c r="T301" i="2"/>
  <c r="S301" i="2"/>
  <c r="O301" i="2"/>
  <c r="K301" i="2"/>
  <c r="Y300" i="2"/>
  <c r="T300" i="2"/>
  <c r="S300" i="2"/>
  <c r="O300" i="2"/>
  <c r="K300" i="2"/>
  <c r="Y299" i="2"/>
  <c r="T299" i="2"/>
  <c r="S299" i="2"/>
  <c r="O299" i="2"/>
  <c r="K299" i="2"/>
  <c r="Y298" i="2"/>
  <c r="T298" i="2"/>
  <c r="S298" i="2"/>
  <c r="O298" i="2"/>
  <c r="K298" i="2"/>
  <c r="Y297" i="2"/>
  <c r="T297" i="2"/>
  <c r="S297" i="2"/>
  <c r="O297" i="2"/>
  <c r="K297" i="2"/>
  <c r="Y296" i="2"/>
  <c r="T296" i="2"/>
  <c r="S296" i="2"/>
  <c r="O296" i="2"/>
  <c r="K296" i="2"/>
  <c r="Y295" i="2"/>
  <c r="T295" i="2"/>
  <c r="S295" i="2"/>
  <c r="O295" i="2"/>
  <c r="K295" i="2"/>
  <c r="Y294" i="2"/>
  <c r="T294" i="2"/>
  <c r="S294" i="2"/>
  <c r="O294" i="2"/>
  <c r="K294" i="2"/>
  <c r="Y293" i="2"/>
  <c r="T293" i="2"/>
  <c r="S293" i="2"/>
  <c r="O293" i="2"/>
  <c r="K293" i="2"/>
  <c r="Y292" i="2"/>
  <c r="T292" i="2"/>
  <c r="S292" i="2"/>
  <c r="O292" i="2"/>
  <c r="K292" i="2"/>
  <c r="Y291" i="2"/>
  <c r="T291" i="2"/>
  <c r="S291" i="2"/>
  <c r="O291" i="2"/>
  <c r="K291" i="2"/>
  <c r="Y290" i="2"/>
  <c r="T290" i="2"/>
  <c r="S290" i="2"/>
  <c r="O290" i="2"/>
  <c r="K290" i="2"/>
  <c r="Y289" i="2"/>
  <c r="T289" i="2"/>
  <c r="S289" i="2"/>
  <c r="O289" i="2"/>
  <c r="K289" i="2"/>
  <c r="Y288" i="2"/>
  <c r="T288" i="2"/>
  <c r="S288" i="2"/>
  <c r="O288" i="2"/>
  <c r="K288" i="2"/>
  <c r="Y287" i="2"/>
  <c r="T287" i="2"/>
  <c r="S287" i="2"/>
  <c r="O287" i="2"/>
  <c r="K287" i="2"/>
  <c r="Y286" i="2"/>
  <c r="T286" i="2"/>
  <c r="S286" i="2"/>
  <c r="O286" i="2"/>
  <c r="K286" i="2"/>
  <c r="Y285" i="2"/>
  <c r="T285" i="2"/>
  <c r="S285" i="2"/>
  <c r="O285" i="2"/>
  <c r="K285" i="2"/>
  <c r="Y284" i="2"/>
  <c r="T284" i="2"/>
  <c r="S284" i="2"/>
  <c r="O284" i="2"/>
  <c r="K284" i="2"/>
  <c r="Y283" i="2"/>
  <c r="T283" i="2"/>
  <c r="S283" i="2"/>
  <c r="O283" i="2"/>
  <c r="K283" i="2"/>
  <c r="Y282" i="2"/>
  <c r="T282" i="2"/>
  <c r="S282" i="2"/>
  <c r="O282" i="2"/>
  <c r="K282" i="2"/>
  <c r="Y281" i="2"/>
  <c r="T281" i="2"/>
  <c r="S281" i="2"/>
  <c r="O281" i="2"/>
  <c r="K281" i="2"/>
  <c r="Y280" i="2"/>
  <c r="T280" i="2"/>
  <c r="S280" i="2"/>
  <c r="O280" i="2"/>
  <c r="K280" i="2"/>
  <c r="Y279" i="2"/>
  <c r="T279" i="2"/>
  <c r="S279" i="2"/>
  <c r="O279" i="2"/>
  <c r="K279" i="2"/>
  <c r="Y278" i="2"/>
  <c r="T278" i="2"/>
  <c r="S278" i="2"/>
  <c r="O278" i="2"/>
  <c r="K278" i="2"/>
  <c r="Y277" i="2"/>
  <c r="T277" i="2"/>
  <c r="S277" i="2"/>
  <c r="O277" i="2"/>
  <c r="K277" i="2"/>
  <c r="Y276" i="2"/>
  <c r="T276" i="2"/>
  <c r="S276" i="2"/>
  <c r="O276" i="2"/>
  <c r="K276" i="2"/>
  <c r="Y275" i="2"/>
  <c r="T275" i="2"/>
  <c r="S275" i="2"/>
  <c r="O275" i="2"/>
  <c r="K275" i="2"/>
  <c r="Y274" i="2"/>
  <c r="T274" i="2"/>
  <c r="S274" i="2"/>
  <c r="O274" i="2"/>
  <c r="K274" i="2"/>
  <c r="Y273" i="2"/>
  <c r="T273" i="2"/>
  <c r="S273" i="2"/>
  <c r="O273" i="2"/>
  <c r="K273" i="2"/>
  <c r="Y272" i="2"/>
  <c r="T272" i="2"/>
  <c r="S272" i="2"/>
  <c r="O272" i="2"/>
  <c r="K272" i="2"/>
  <c r="Y271" i="2"/>
  <c r="T271" i="2"/>
  <c r="S271" i="2"/>
  <c r="O271" i="2"/>
  <c r="K271" i="2"/>
  <c r="Y270" i="2"/>
  <c r="T270" i="2"/>
  <c r="S270" i="2"/>
  <c r="O270" i="2"/>
  <c r="K270" i="2"/>
  <c r="Y269" i="2"/>
  <c r="T269" i="2"/>
  <c r="S269" i="2"/>
  <c r="O269" i="2"/>
  <c r="K269" i="2"/>
  <c r="Y268" i="2"/>
  <c r="T268" i="2"/>
  <c r="S268" i="2"/>
  <c r="O268" i="2"/>
  <c r="K268" i="2"/>
  <c r="Y267" i="2"/>
  <c r="T267" i="2"/>
  <c r="S267" i="2"/>
  <c r="O267" i="2"/>
  <c r="K267" i="2"/>
  <c r="Y266" i="2"/>
  <c r="T266" i="2"/>
  <c r="S266" i="2"/>
  <c r="O266" i="2"/>
  <c r="K266" i="2"/>
  <c r="Y265" i="2"/>
  <c r="T265" i="2"/>
  <c r="S265" i="2"/>
  <c r="O265" i="2"/>
  <c r="K265" i="2"/>
  <c r="Y264" i="2"/>
  <c r="T264" i="2"/>
  <c r="S264" i="2"/>
  <c r="O264" i="2"/>
  <c r="K264" i="2"/>
  <c r="Y263" i="2"/>
  <c r="T263" i="2"/>
  <c r="S263" i="2"/>
  <c r="O263" i="2"/>
  <c r="K263" i="2"/>
  <c r="Y262" i="2"/>
  <c r="T262" i="2"/>
  <c r="S262" i="2"/>
  <c r="O262" i="2"/>
  <c r="K262" i="2"/>
  <c r="Y261" i="2"/>
  <c r="T261" i="2"/>
  <c r="S261" i="2"/>
  <c r="O261" i="2"/>
  <c r="K261" i="2"/>
  <c r="Y260" i="2"/>
  <c r="T260" i="2"/>
  <c r="S260" i="2"/>
  <c r="O260" i="2"/>
  <c r="K260" i="2"/>
  <c r="Y259" i="2"/>
  <c r="T259" i="2"/>
  <c r="S259" i="2"/>
  <c r="O259" i="2"/>
  <c r="K259" i="2"/>
  <c r="Y258" i="2"/>
  <c r="T258" i="2"/>
  <c r="S258" i="2"/>
  <c r="O258" i="2"/>
  <c r="K258" i="2"/>
  <c r="Y257" i="2"/>
  <c r="T257" i="2"/>
  <c r="S257" i="2"/>
  <c r="O257" i="2"/>
  <c r="K257" i="2"/>
  <c r="Y256" i="2"/>
  <c r="T256" i="2"/>
  <c r="S256" i="2"/>
  <c r="O256" i="2"/>
  <c r="K256" i="2"/>
  <c r="Y255" i="2"/>
  <c r="T255" i="2"/>
  <c r="S255" i="2"/>
  <c r="O255" i="2"/>
  <c r="K255" i="2"/>
  <c r="Y254" i="2"/>
  <c r="T254" i="2"/>
  <c r="S254" i="2"/>
  <c r="O254" i="2"/>
  <c r="K254" i="2"/>
  <c r="Y253" i="2"/>
  <c r="T253" i="2"/>
  <c r="S253" i="2"/>
  <c r="O253" i="2"/>
  <c r="K253" i="2"/>
  <c r="Y252" i="2"/>
  <c r="T252" i="2"/>
  <c r="S252" i="2"/>
  <c r="O252" i="2"/>
  <c r="K252" i="2"/>
  <c r="Y251" i="2"/>
  <c r="T251" i="2"/>
  <c r="S251" i="2"/>
  <c r="O251" i="2"/>
  <c r="K251" i="2"/>
  <c r="Y250" i="2"/>
  <c r="T250" i="2"/>
  <c r="S250" i="2"/>
  <c r="O250" i="2"/>
  <c r="K250" i="2"/>
  <c r="Y249" i="2"/>
  <c r="T249" i="2"/>
  <c r="S249" i="2"/>
  <c r="O249" i="2"/>
  <c r="K249" i="2"/>
  <c r="Y248" i="2"/>
  <c r="T248" i="2"/>
  <c r="S248" i="2"/>
  <c r="O248" i="2"/>
  <c r="K248" i="2"/>
  <c r="Y247" i="2"/>
  <c r="T247" i="2"/>
  <c r="S247" i="2"/>
  <c r="O247" i="2"/>
  <c r="K247" i="2"/>
  <c r="Y246" i="2"/>
  <c r="T246" i="2"/>
  <c r="S246" i="2"/>
  <c r="O246" i="2"/>
  <c r="K246" i="2"/>
  <c r="Y245" i="2"/>
  <c r="T245" i="2"/>
  <c r="S245" i="2"/>
  <c r="O245" i="2"/>
  <c r="K245" i="2"/>
  <c r="Y244" i="2"/>
  <c r="T244" i="2"/>
  <c r="S244" i="2"/>
  <c r="O244" i="2"/>
  <c r="K244" i="2"/>
  <c r="Y243" i="2"/>
  <c r="T243" i="2"/>
  <c r="S243" i="2"/>
  <c r="O243" i="2"/>
  <c r="K243" i="2"/>
  <c r="Y242" i="2"/>
  <c r="T242" i="2"/>
  <c r="S242" i="2"/>
  <c r="O242" i="2"/>
  <c r="K242" i="2"/>
  <c r="Y241" i="2"/>
  <c r="T241" i="2"/>
  <c r="S241" i="2"/>
  <c r="O241" i="2"/>
  <c r="K241" i="2"/>
  <c r="Y240" i="2"/>
  <c r="T240" i="2"/>
  <c r="S240" i="2"/>
  <c r="O240" i="2"/>
  <c r="K240" i="2"/>
  <c r="Y239" i="2"/>
  <c r="T239" i="2"/>
  <c r="S239" i="2"/>
  <c r="O239" i="2"/>
  <c r="K239" i="2"/>
  <c r="Y238" i="2"/>
  <c r="T238" i="2"/>
  <c r="S238" i="2"/>
  <c r="O238" i="2"/>
  <c r="K238" i="2"/>
  <c r="Y237" i="2"/>
  <c r="T237" i="2"/>
  <c r="S237" i="2"/>
  <c r="O237" i="2"/>
  <c r="K237" i="2"/>
  <c r="Y236" i="2"/>
  <c r="T236" i="2"/>
  <c r="S236" i="2"/>
  <c r="O236" i="2"/>
  <c r="K236" i="2"/>
  <c r="Y235" i="2"/>
  <c r="T235" i="2"/>
  <c r="S235" i="2"/>
  <c r="O235" i="2"/>
  <c r="K235" i="2"/>
  <c r="Y234" i="2"/>
  <c r="T234" i="2"/>
  <c r="S234" i="2"/>
  <c r="O234" i="2"/>
  <c r="K234" i="2"/>
  <c r="Y233" i="2"/>
  <c r="T233" i="2"/>
  <c r="S233" i="2"/>
  <c r="O233" i="2"/>
  <c r="K233" i="2"/>
  <c r="Y232" i="2"/>
  <c r="T232" i="2"/>
  <c r="S232" i="2"/>
  <c r="O232" i="2"/>
  <c r="K232" i="2"/>
  <c r="Y231" i="2"/>
  <c r="T231" i="2"/>
  <c r="S231" i="2"/>
  <c r="O231" i="2"/>
  <c r="K231" i="2"/>
  <c r="Y230" i="2"/>
  <c r="T230" i="2"/>
  <c r="S230" i="2"/>
  <c r="O230" i="2"/>
  <c r="K230" i="2"/>
  <c r="Y229" i="2"/>
  <c r="T229" i="2"/>
  <c r="S229" i="2"/>
  <c r="O229" i="2"/>
  <c r="K229" i="2"/>
  <c r="Y228" i="2"/>
  <c r="T228" i="2"/>
  <c r="S228" i="2"/>
  <c r="O228" i="2"/>
  <c r="K228" i="2"/>
  <c r="Y227" i="2"/>
  <c r="T227" i="2"/>
  <c r="S227" i="2"/>
  <c r="O227" i="2"/>
  <c r="K227" i="2"/>
  <c r="Y226" i="2"/>
  <c r="T226" i="2"/>
  <c r="S226" i="2"/>
  <c r="O226" i="2"/>
  <c r="K226" i="2"/>
  <c r="Y225" i="2"/>
  <c r="T225" i="2"/>
  <c r="S225" i="2"/>
  <c r="O225" i="2"/>
  <c r="K225" i="2"/>
  <c r="Y224" i="2"/>
  <c r="T224" i="2"/>
  <c r="S224" i="2"/>
  <c r="O224" i="2"/>
  <c r="K224" i="2"/>
  <c r="Y223" i="2"/>
  <c r="T223" i="2"/>
  <c r="S223" i="2"/>
  <c r="O223" i="2"/>
  <c r="K223" i="2"/>
  <c r="Y222" i="2"/>
  <c r="T222" i="2"/>
  <c r="S222" i="2"/>
  <c r="O222" i="2"/>
  <c r="K222" i="2"/>
  <c r="Y221" i="2"/>
  <c r="T221" i="2"/>
  <c r="S221" i="2"/>
  <c r="O221" i="2"/>
  <c r="K221" i="2"/>
  <c r="Y220" i="2"/>
  <c r="T220" i="2"/>
  <c r="S220" i="2"/>
  <c r="O220" i="2"/>
  <c r="K220" i="2"/>
  <c r="Y219" i="2"/>
  <c r="T219" i="2"/>
  <c r="S219" i="2"/>
  <c r="O219" i="2"/>
  <c r="K219" i="2"/>
  <c r="Y218" i="2"/>
  <c r="T218" i="2"/>
  <c r="S218" i="2"/>
  <c r="O218" i="2"/>
  <c r="K218" i="2"/>
  <c r="Y217" i="2"/>
  <c r="T217" i="2"/>
  <c r="S217" i="2"/>
  <c r="O217" i="2"/>
  <c r="K217" i="2"/>
  <c r="Y216" i="2"/>
  <c r="T216" i="2"/>
  <c r="S216" i="2"/>
  <c r="O216" i="2"/>
  <c r="K216" i="2"/>
  <c r="Y215" i="2"/>
  <c r="T215" i="2"/>
  <c r="S215" i="2"/>
  <c r="O215" i="2"/>
  <c r="K215" i="2"/>
  <c r="Y214" i="2"/>
  <c r="T214" i="2"/>
  <c r="S214" i="2"/>
  <c r="O214" i="2"/>
  <c r="K214" i="2"/>
  <c r="Y213" i="2"/>
  <c r="T213" i="2"/>
  <c r="S213" i="2"/>
  <c r="O213" i="2"/>
  <c r="K213" i="2"/>
  <c r="Y212" i="2"/>
  <c r="T212" i="2"/>
  <c r="S212" i="2"/>
  <c r="O212" i="2"/>
  <c r="K212" i="2"/>
  <c r="Y211" i="2"/>
  <c r="T211" i="2"/>
  <c r="S211" i="2"/>
  <c r="O211" i="2"/>
  <c r="K211" i="2"/>
  <c r="Y210" i="2"/>
  <c r="T210" i="2"/>
  <c r="S210" i="2"/>
  <c r="O210" i="2"/>
  <c r="K210" i="2"/>
  <c r="Y209" i="2"/>
  <c r="T209" i="2"/>
  <c r="S209" i="2"/>
  <c r="O209" i="2"/>
  <c r="K209" i="2"/>
  <c r="Y208" i="2"/>
  <c r="T208" i="2"/>
  <c r="S208" i="2"/>
  <c r="O208" i="2"/>
  <c r="K208" i="2"/>
  <c r="Y207" i="2"/>
  <c r="T207" i="2"/>
  <c r="S207" i="2"/>
  <c r="O207" i="2"/>
  <c r="K207" i="2"/>
  <c r="Y206" i="2"/>
  <c r="T206" i="2"/>
  <c r="S206" i="2"/>
  <c r="O206" i="2"/>
  <c r="K206" i="2"/>
  <c r="Y205" i="2"/>
  <c r="T205" i="2"/>
  <c r="S205" i="2"/>
  <c r="O205" i="2"/>
  <c r="K205" i="2"/>
  <c r="Y204" i="2"/>
  <c r="T204" i="2"/>
  <c r="S204" i="2"/>
  <c r="O204" i="2"/>
  <c r="K204" i="2"/>
  <c r="Y203" i="2"/>
  <c r="T203" i="2"/>
  <c r="S203" i="2"/>
  <c r="O203" i="2"/>
  <c r="K203" i="2"/>
  <c r="Y202" i="2"/>
  <c r="T202" i="2"/>
  <c r="S202" i="2"/>
  <c r="O202" i="2"/>
  <c r="K202" i="2"/>
  <c r="Y201" i="2"/>
  <c r="T201" i="2"/>
  <c r="S201" i="2"/>
  <c r="O201" i="2"/>
  <c r="K201" i="2"/>
  <c r="Y200" i="2"/>
  <c r="T200" i="2"/>
  <c r="S200" i="2"/>
  <c r="O200" i="2"/>
  <c r="K200" i="2"/>
  <c r="Y199" i="2"/>
  <c r="T199" i="2"/>
  <c r="S199" i="2"/>
  <c r="O199" i="2"/>
  <c r="K199" i="2"/>
  <c r="Y198" i="2"/>
  <c r="T198" i="2"/>
  <c r="S198" i="2"/>
  <c r="O198" i="2"/>
  <c r="K198" i="2"/>
  <c r="Y197" i="2"/>
  <c r="T197" i="2"/>
  <c r="S197" i="2"/>
  <c r="O197" i="2"/>
  <c r="K197" i="2"/>
  <c r="Y196" i="2"/>
  <c r="T196" i="2"/>
  <c r="S196" i="2"/>
  <c r="O196" i="2"/>
  <c r="K196" i="2"/>
  <c r="Y195" i="2"/>
  <c r="T195" i="2"/>
  <c r="S195" i="2"/>
  <c r="O195" i="2"/>
  <c r="K195" i="2"/>
  <c r="Y194" i="2"/>
  <c r="T194" i="2"/>
  <c r="S194" i="2"/>
  <c r="O194" i="2"/>
  <c r="K194" i="2"/>
  <c r="Y193" i="2"/>
  <c r="T193" i="2"/>
  <c r="S193" i="2"/>
  <c r="O193" i="2"/>
  <c r="K193" i="2"/>
  <c r="Y192" i="2"/>
  <c r="T192" i="2"/>
  <c r="S192" i="2"/>
  <c r="O192" i="2"/>
  <c r="K192" i="2"/>
  <c r="Y191" i="2"/>
  <c r="T191" i="2"/>
  <c r="S191" i="2"/>
  <c r="O191" i="2"/>
  <c r="K191" i="2"/>
  <c r="Y190" i="2"/>
  <c r="T190" i="2"/>
  <c r="S190" i="2"/>
  <c r="O190" i="2"/>
  <c r="K190" i="2"/>
  <c r="Y189" i="2"/>
  <c r="T189" i="2"/>
  <c r="S189" i="2"/>
  <c r="O189" i="2"/>
  <c r="K189" i="2"/>
  <c r="Y188" i="2"/>
  <c r="T188" i="2"/>
  <c r="S188" i="2"/>
  <c r="O188" i="2"/>
  <c r="K188" i="2"/>
  <c r="Y187" i="2"/>
  <c r="T187" i="2"/>
  <c r="S187" i="2"/>
  <c r="O187" i="2"/>
  <c r="K187" i="2"/>
  <c r="Y186" i="2"/>
  <c r="T186" i="2"/>
  <c r="S186" i="2"/>
  <c r="O186" i="2"/>
  <c r="K186" i="2"/>
  <c r="Y185" i="2"/>
  <c r="T185" i="2"/>
  <c r="S185" i="2"/>
  <c r="O185" i="2"/>
  <c r="K185" i="2"/>
  <c r="Y184" i="2"/>
  <c r="T184" i="2"/>
  <c r="S184" i="2"/>
  <c r="O184" i="2"/>
  <c r="K184" i="2"/>
  <c r="Y183" i="2"/>
  <c r="T183" i="2"/>
  <c r="S183" i="2"/>
  <c r="O183" i="2"/>
  <c r="K183" i="2"/>
  <c r="Y182" i="2"/>
  <c r="T182" i="2"/>
  <c r="S182" i="2"/>
  <c r="O182" i="2"/>
  <c r="K182" i="2"/>
  <c r="Y181" i="2"/>
  <c r="T181" i="2"/>
  <c r="S181" i="2"/>
  <c r="O181" i="2"/>
  <c r="K181" i="2"/>
  <c r="Y180" i="2"/>
  <c r="T180" i="2"/>
  <c r="S180" i="2"/>
  <c r="O180" i="2"/>
  <c r="K180" i="2"/>
  <c r="Y179" i="2"/>
  <c r="T179" i="2"/>
  <c r="S179" i="2"/>
  <c r="O179" i="2"/>
  <c r="K179" i="2"/>
  <c r="Y178" i="2"/>
  <c r="T178" i="2"/>
  <c r="S178" i="2"/>
  <c r="O178" i="2"/>
  <c r="K178" i="2"/>
  <c r="Y177" i="2"/>
  <c r="T177" i="2"/>
  <c r="S177" i="2"/>
  <c r="O177" i="2"/>
  <c r="K177" i="2"/>
  <c r="Y176" i="2"/>
  <c r="T176" i="2"/>
  <c r="S176" i="2"/>
  <c r="O176" i="2"/>
  <c r="K176" i="2"/>
  <c r="Y175" i="2"/>
  <c r="T175" i="2"/>
  <c r="S175" i="2"/>
  <c r="O175" i="2"/>
  <c r="K175" i="2"/>
  <c r="Y174" i="2"/>
  <c r="T174" i="2"/>
  <c r="S174" i="2"/>
  <c r="O174" i="2"/>
  <c r="K174" i="2"/>
  <c r="Y173" i="2"/>
  <c r="T173" i="2"/>
  <c r="S173" i="2"/>
  <c r="O173" i="2"/>
  <c r="K173" i="2"/>
  <c r="Y172" i="2"/>
  <c r="T172" i="2"/>
  <c r="S172" i="2"/>
  <c r="O172" i="2"/>
  <c r="K172" i="2"/>
  <c r="Y171" i="2"/>
  <c r="T171" i="2"/>
  <c r="S171" i="2"/>
  <c r="O171" i="2"/>
  <c r="K171" i="2"/>
  <c r="Y170" i="2"/>
  <c r="T170" i="2"/>
  <c r="S170" i="2"/>
  <c r="O170" i="2"/>
  <c r="K170" i="2"/>
  <c r="Y169" i="2"/>
  <c r="T169" i="2"/>
  <c r="S169" i="2"/>
  <c r="O169" i="2"/>
  <c r="K169" i="2"/>
  <c r="Y168" i="2"/>
  <c r="T168" i="2"/>
  <c r="S168" i="2"/>
  <c r="O168" i="2"/>
  <c r="K168" i="2"/>
  <c r="Y167" i="2"/>
  <c r="T167" i="2"/>
  <c r="S167" i="2"/>
  <c r="O167" i="2"/>
  <c r="K167" i="2"/>
  <c r="Y166" i="2"/>
  <c r="T166" i="2"/>
  <c r="S166" i="2"/>
  <c r="O166" i="2"/>
  <c r="K166" i="2"/>
  <c r="Y165" i="2"/>
  <c r="T165" i="2"/>
  <c r="S165" i="2"/>
  <c r="O165" i="2"/>
  <c r="K165" i="2"/>
  <c r="Y164" i="2"/>
  <c r="T164" i="2"/>
  <c r="S164" i="2"/>
  <c r="O164" i="2"/>
  <c r="K164" i="2"/>
  <c r="Y163" i="2"/>
  <c r="T163" i="2"/>
  <c r="S163" i="2"/>
  <c r="O163" i="2"/>
  <c r="K163" i="2"/>
  <c r="Y162" i="2"/>
  <c r="T162" i="2"/>
  <c r="S162" i="2"/>
  <c r="O162" i="2"/>
  <c r="K162" i="2"/>
  <c r="Y161" i="2"/>
  <c r="T161" i="2"/>
  <c r="S161" i="2"/>
  <c r="O161" i="2"/>
  <c r="K161" i="2"/>
  <c r="Y160" i="2"/>
  <c r="T160" i="2"/>
  <c r="S160" i="2"/>
  <c r="O160" i="2"/>
  <c r="K160" i="2"/>
  <c r="Y159" i="2"/>
  <c r="T159" i="2"/>
  <c r="S159" i="2"/>
  <c r="O159" i="2"/>
  <c r="K159" i="2"/>
  <c r="Y158" i="2"/>
  <c r="T158" i="2"/>
  <c r="S158" i="2"/>
  <c r="O158" i="2"/>
  <c r="K158" i="2"/>
  <c r="Y157" i="2"/>
  <c r="T157" i="2"/>
  <c r="S157" i="2"/>
  <c r="O157" i="2"/>
  <c r="K157" i="2"/>
  <c r="Y156" i="2"/>
  <c r="T156" i="2"/>
  <c r="S156" i="2"/>
  <c r="O156" i="2"/>
  <c r="K156" i="2"/>
  <c r="Y155" i="2"/>
  <c r="T155" i="2"/>
  <c r="S155" i="2"/>
  <c r="O155" i="2"/>
  <c r="K155" i="2"/>
  <c r="Y154" i="2"/>
  <c r="T154" i="2"/>
  <c r="S154" i="2"/>
  <c r="O154" i="2"/>
  <c r="K154" i="2"/>
  <c r="Y153" i="2"/>
  <c r="T153" i="2"/>
  <c r="S153" i="2"/>
  <c r="O153" i="2"/>
  <c r="K153" i="2"/>
  <c r="Y152" i="2"/>
  <c r="T152" i="2"/>
  <c r="S152" i="2"/>
  <c r="O152" i="2"/>
  <c r="K152" i="2"/>
  <c r="Y151" i="2"/>
  <c r="T151" i="2"/>
  <c r="S151" i="2"/>
  <c r="O151" i="2"/>
  <c r="K151" i="2"/>
  <c r="Y150" i="2"/>
  <c r="T150" i="2"/>
  <c r="S150" i="2"/>
  <c r="O150" i="2"/>
  <c r="K150" i="2"/>
  <c r="Y149" i="2"/>
  <c r="T149" i="2"/>
  <c r="S149" i="2"/>
  <c r="O149" i="2"/>
  <c r="K149" i="2"/>
  <c r="Y148" i="2"/>
  <c r="T148" i="2"/>
  <c r="S148" i="2"/>
  <c r="O148" i="2"/>
  <c r="K148" i="2"/>
  <c r="Y147" i="2"/>
  <c r="T147" i="2"/>
  <c r="S147" i="2"/>
  <c r="O147" i="2"/>
  <c r="K147" i="2"/>
  <c r="Y146" i="2"/>
  <c r="T146" i="2"/>
  <c r="S146" i="2"/>
  <c r="O146" i="2"/>
  <c r="K146" i="2"/>
  <c r="Y145" i="2"/>
  <c r="T145" i="2"/>
  <c r="S145" i="2"/>
  <c r="O145" i="2"/>
  <c r="K145" i="2"/>
  <c r="Y144" i="2"/>
  <c r="T144" i="2"/>
  <c r="S144" i="2"/>
  <c r="O144" i="2"/>
  <c r="K144" i="2"/>
  <c r="Y143" i="2"/>
  <c r="T143" i="2"/>
  <c r="S143" i="2"/>
  <c r="O143" i="2"/>
  <c r="K143" i="2"/>
  <c r="Y142" i="2"/>
  <c r="T142" i="2"/>
  <c r="S142" i="2"/>
  <c r="O142" i="2"/>
  <c r="K142" i="2"/>
  <c r="Y141" i="2"/>
  <c r="T141" i="2"/>
  <c r="S141" i="2"/>
  <c r="O141" i="2"/>
  <c r="K141" i="2"/>
  <c r="Y140" i="2"/>
  <c r="T140" i="2"/>
  <c r="S140" i="2"/>
  <c r="O140" i="2"/>
  <c r="K140" i="2"/>
  <c r="Y139" i="2"/>
  <c r="T139" i="2"/>
  <c r="S139" i="2"/>
  <c r="O139" i="2"/>
  <c r="K139" i="2"/>
  <c r="Y138" i="2"/>
  <c r="T138" i="2"/>
  <c r="S138" i="2"/>
  <c r="O138" i="2"/>
  <c r="K138" i="2"/>
  <c r="Y137" i="2"/>
  <c r="T137" i="2"/>
  <c r="S137" i="2"/>
  <c r="O137" i="2"/>
  <c r="K137" i="2"/>
  <c r="Y136" i="2"/>
  <c r="T136" i="2"/>
  <c r="S136" i="2"/>
  <c r="O136" i="2"/>
  <c r="K136" i="2"/>
  <c r="Y135" i="2"/>
  <c r="T135" i="2"/>
  <c r="S135" i="2"/>
  <c r="O135" i="2"/>
  <c r="K135" i="2"/>
  <c r="Y134" i="2"/>
  <c r="T134" i="2"/>
  <c r="S134" i="2"/>
  <c r="O134" i="2"/>
  <c r="K134" i="2"/>
  <c r="Y133" i="2"/>
  <c r="T133" i="2"/>
  <c r="S133" i="2"/>
  <c r="O133" i="2"/>
  <c r="K133" i="2"/>
  <c r="Y132" i="2"/>
  <c r="T132" i="2"/>
  <c r="S132" i="2"/>
  <c r="O132" i="2"/>
  <c r="K132" i="2"/>
  <c r="Y131" i="2"/>
  <c r="T131" i="2"/>
  <c r="S131" i="2"/>
  <c r="O131" i="2"/>
  <c r="K131" i="2"/>
  <c r="Y130" i="2"/>
  <c r="T130" i="2"/>
  <c r="S130" i="2"/>
  <c r="O130" i="2"/>
  <c r="K130" i="2"/>
  <c r="Y129" i="2"/>
  <c r="T129" i="2"/>
  <c r="S129" i="2"/>
  <c r="O129" i="2"/>
  <c r="K129" i="2"/>
  <c r="Y128" i="2"/>
  <c r="T128" i="2"/>
  <c r="S128" i="2"/>
  <c r="O128" i="2"/>
  <c r="K128" i="2"/>
  <c r="Y127" i="2"/>
  <c r="T127" i="2"/>
  <c r="S127" i="2"/>
  <c r="O127" i="2"/>
  <c r="K127" i="2"/>
  <c r="Y126" i="2"/>
  <c r="T126" i="2"/>
  <c r="S126" i="2"/>
  <c r="O126" i="2"/>
  <c r="K126" i="2"/>
  <c r="Y125" i="2"/>
  <c r="T125" i="2"/>
  <c r="S125" i="2"/>
  <c r="O125" i="2"/>
  <c r="K125" i="2"/>
  <c r="Y124" i="2"/>
  <c r="T124" i="2"/>
  <c r="S124" i="2"/>
  <c r="O124" i="2"/>
  <c r="K124" i="2"/>
  <c r="Y123" i="2"/>
  <c r="T123" i="2"/>
  <c r="S123" i="2"/>
  <c r="O123" i="2"/>
  <c r="K123" i="2"/>
  <c r="Y122" i="2"/>
  <c r="T122" i="2"/>
  <c r="S122" i="2"/>
  <c r="O122" i="2"/>
  <c r="K122" i="2"/>
  <c r="Y121" i="2"/>
  <c r="T121" i="2"/>
  <c r="S121" i="2"/>
  <c r="O121" i="2"/>
  <c r="K121" i="2"/>
  <c r="Y120" i="2"/>
  <c r="T120" i="2"/>
  <c r="S120" i="2"/>
  <c r="O120" i="2"/>
  <c r="K120" i="2"/>
  <c r="Y119" i="2"/>
  <c r="T119" i="2"/>
  <c r="S119" i="2"/>
  <c r="O119" i="2"/>
  <c r="K119" i="2"/>
  <c r="Y118" i="2"/>
  <c r="T118" i="2"/>
  <c r="S118" i="2"/>
  <c r="O118" i="2"/>
  <c r="K118" i="2"/>
  <c r="Y117" i="2"/>
  <c r="T117" i="2"/>
  <c r="S117" i="2"/>
  <c r="O117" i="2"/>
  <c r="K117" i="2"/>
  <c r="Y116" i="2"/>
  <c r="T116" i="2"/>
  <c r="S116" i="2"/>
  <c r="O116" i="2"/>
  <c r="K116" i="2"/>
  <c r="Y115" i="2"/>
  <c r="T115" i="2"/>
  <c r="S115" i="2"/>
  <c r="O115" i="2"/>
  <c r="K115" i="2"/>
  <c r="Y114" i="2"/>
  <c r="T114" i="2"/>
  <c r="S114" i="2"/>
  <c r="O114" i="2"/>
  <c r="K114" i="2"/>
  <c r="Y113" i="2"/>
  <c r="T113" i="2"/>
  <c r="S113" i="2"/>
  <c r="O113" i="2"/>
  <c r="K113" i="2"/>
  <c r="Y112" i="2"/>
  <c r="T112" i="2"/>
  <c r="S112" i="2"/>
  <c r="O112" i="2"/>
  <c r="K112" i="2"/>
  <c r="Y111" i="2"/>
  <c r="T111" i="2"/>
  <c r="S111" i="2"/>
  <c r="O111" i="2"/>
  <c r="K111" i="2"/>
  <c r="Y110" i="2"/>
  <c r="T110" i="2"/>
  <c r="S110" i="2"/>
  <c r="O110" i="2"/>
  <c r="K110" i="2"/>
  <c r="Y109" i="2"/>
  <c r="T109" i="2"/>
  <c r="S109" i="2"/>
  <c r="O109" i="2"/>
  <c r="K109" i="2"/>
  <c r="Y108" i="2"/>
  <c r="T108" i="2"/>
  <c r="S108" i="2"/>
  <c r="O108" i="2"/>
  <c r="K108" i="2"/>
  <c r="Y107" i="2"/>
  <c r="T107" i="2"/>
  <c r="S107" i="2"/>
  <c r="O107" i="2"/>
  <c r="K107" i="2"/>
  <c r="Y106" i="2"/>
  <c r="T106" i="2"/>
  <c r="S106" i="2"/>
  <c r="O106" i="2"/>
  <c r="K106" i="2"/>
  <c r="Y105" i="2"/>
  <c r="T105" i="2"/>
  <c r="S105" i="2"/>
  <c r="O105" i="2"/>
  <c r="K105" i="2"/>
  <c r="Y104" i="2"/>
  <c r="T104" i="2"/>
  <c r="S104" i="2"/>
  <c r="O104" i="2"/>
  <c r="K104" i="2"/>
  <c r="Y103" i="2"/>
  <c r="T103" i="2"/>
  <c r="S103" i="2"/>
  <c r="O103" i="2"/>
  <c r="K103" i="2"/>
  <c r="Y102" i="2"/>
  <c r="T102" i="2"/>
  <c r="S102" i="2"/>
  <c r="O102" i="2"/>
  <c r="K102" i="2"/>
  <c r="Y101" i="2"/>
  <c r="T101" i="2"/>
  <c r="S101" i="2"/>
  <c r="O101" i="2"/>
  <c r="K101" i="2"/>
  <c r="Y100" i="2"/>
  <c r="T100" i="2"/>
  <c r="S100" i="2"/>
  <c r="O100" i="2"/>
  <c r="K100" i="2"/>
  <c r="Y99" i="2"/>
  <c r="T99" i="2"/>
  <c r="S99" i="2"/>
  <c r="O99" i="2"/>
  <c r="K99" i="2"/>
  <c r="Y98" i="2"/>
  <c r="T98" i="2"/>
  <c r="S98" i="2"/>
  <c r="O98" i="2"/>
  <c r="K98" i="2"/>
  <c r="Y97" i="2"/>
  <c r="T97" i="2"/>
  <c r="S97" i="2"/>
  <c r="O97" i="2"/>
  <c r="K97" i="2"/>
  <c r="Y96" i="2"/>
  <c r="T96" i="2"/>
  <c r="S96" i="2"/>
  <c r="O96" i="2"/>
  <c r="K96" i="2"/>
  <c r="Y95" i="2"/>
  <c r="T95" i="2"/>
  <c r="S95" i="2"/>
  <c r="O95" i="2"/>
  <c r="K95" i="2"/>
  <c r="Y94" i="2"/>
  <c r="T94" i="2"/>
  <c r="S94" i="2"/>
  <c r="O94" i="2"/>
  <c r="K94" i="2"/>
  <c r="Y93" i="2"/>
  <c r="T93" i="2"/>
  <c r="S93" i="2"/>
  <c r="O93" i="2"/>
  <c r="K93" i="2"/>
  <c r="Y92" i="2"/>
  <c r="T92" i="2"/>
  <c r="S92" i="2"/>
  <c r="O92" i="2"/>
  <c r="K92" i="2"/>
  <c r="Y91" i="2"/>
  <c r="T91" i="2"/>
  <c r="S91" i="2"/>
  <c r="O91" i="2"/>
  <c r="K91" i="2"/>
  <c r="Y90" i="2"/>
  <c r="T90" i="2"/>
  <c r="S90" i="2"/>
  <c r="O90" i="2"/>
  <c r="K90" i="2"/>
  <c r="Y89" i="2"/>
  <c r="T89" i="2"/>
  <c r="S89" i="2"/>
  <c r="O89" i="2"/>
  <c r="K89" i="2"/>
  <c r="Y88" i="2"/>
  <c r="T88" i="2"/>
  <c r="S88" i="2"/>
  <c r="O88" i="2"/>
  <c r="K88" i="2"/>
  <c r="Y87" i="2"/>
  <c r="T87" i="2"/>
  <c r="S87" i="2"/>
  <c r="O87" i="2"/>
  <c r="K87" i="2"/>
  <c r="Y86" i="2"/>
  <c r="T86" i="2"/>
  <c r="S86" i="2"/>
  <c r="O86" i="2"/>
  <c r="K86" i="2"/>
  <c r="Y85" i="2"/>
  <c r="T85" i="2"/>
  <c r="S85" i="2"/>
  <c r="O85" i="2"/>
  <c r="K85" i="2"/>
  <c r="Y84" i="2"/>
  <c r="T84" i="2"/>
  <c r="S84" i="2"/>
  <c r="O84" i="2"/>
  <c r="K84" i="2"/>
  <c r="Y83" i="2"/>
  <c r="T83" i="2"/>
  <c r="S83" i="2"/>
  <c r="O83" i="2"/>
  <c r="K83" i="2"/>
  <c r="Y82" i="2"/>
  <c r="T82" i="2"/>
  <c r="S82" i="2"/>
  <c r="O82" i="2"/>
  <c r="K82" i="2"/>
  <c r="Y81" i="2"/>
  <c r="T81" i="2"/>
  <c r="S81" i="2"/>
  <c r="O81" i="2"/>
  <c r="K81" i="2"/>
  <c r="Y80" i="2"/>
  <c r="T80" i="2"/>
  <c r="S80" i="2"/>
  <c r="O80" i="2"/>
  <c r="K80" i="2"/>
  <c r="Y79" i="2"/>
  <c r="T79" i="2"/>
  <c r="S79" i="2"/>
  <c r="O79" i="2"/>
  <c r="K79" i="2"/>
  <c r="Y78" i="2"/>
  <c r="T78" i="2"/>
  <c r="S78" i="2"/>
  <c r="O78" i="2"/>
  <c r="K78" i="2"/>
  <c r="Y77" i="2"/>
  <c r="T77" i="2"/>
  <c r="S77" i="2"/>
  <c r="O77" i="2"/>
  <c r="K77" i="2"/>
  <c r="Y76" i="2"/>
  <c r="T76" i="2"/>
  <c r="S76" i="2"/>
  <c r="O76" i="2"/>
  <c r="K76" i="2"/>
  <c r="Y75" i="2"/>
  <c r="T75" i="2"/>
  <c r="S75" i="2"/>
  <c r="O75" i="2"/>
  <c r="K75" i="2"/>
  <c r="Y74" i="2"/>
  <c r="T74" i="2"/>
  <c r="S74" i="2"/>
  <c r="O74" i="2"/>
  <c r="K74" i="2"/>
  <c r="Y73" i="2"/>
  <c r="T73" i="2"/>
  <c r="S73" i="2"/>
  <c r="O73" i="2"/>
  <c r="K73" i="2"/>
  <c r="Y72" i="2"/>
  <c r="T72" i="2"/>
  <c r="S72" i="2"/>
  <c r="O72" i="2"/>
  <c r="K72" i="2"/>
  <c r="Y71" i="2"/>
  <c r="T71" i="2"/>
  <c r="S71" i="2"/>
  <c r="O71" i="2"/>
  <c r="K71" i="2"/>
  <c r="Y70" i="2"/>
  <c r="T70" i="2"/>
  <c r="S70" i="2"/>
  <c r="O70" i="2"/>
  <c r="K70" i="2"/>
  <c r="Y69" i="2"/>
  <c r="T69" i="2"/>
  <c r="S69" i="2"/>
  <c r="O69" i="2"/>
  <c r="K69" i="2"/>
  <c r="Y68" i="2"/>
  <c r="T68" i="2"/>
  <c r="S68" i="2"/>
  <c r="O68" i="2"/>
  <c r="K68" i="2"/>
  <c r="Y67" i="2"/>
  <c r="T67" i="2"/>
  <c r="S67" i="2"/>
  <c r="O67" i="2"/>
  <c r="K67" i="2"/>
  <c r="Y66" i="2"/>
  <c r="T66" i="2"/>
  <c r="S66" i="2"/>
  <c r="O66" i="2"/>
  <c r="K66" i="2"/>
  <c r="Y65" i="2"/>
  <c r="T65" i="2"/>
  <c r="S65" i="2"/>
  <c r="O65" i="2"/>
  <c r="K65" i="2"/>
  <c r="Y64" i="2"/>
  <c r="T64" i="2"/>
  <c r="S64" i="2"/>
  <c r="O64" i="2"/>
  <c r="K64" i="2"/>
  <c r="Y63" i="2"/>
  <c r="T63" i="2"/>
  <c r="S63" i="2"/>
  <c r="O63" i="2"/>
  <c r="K63" i="2"/>
  <c r="Y62" i="2"/>
  <c r="T62" i="2"/>
  <c r="S62" i="2"/>
  <c r="O62" i="2"/>
  <c r="K62" i="2"/>
  <c r="Y61" i="2"/>
  <c r="T61" i="2"/>
  <c r="S61" i="2"/>
  <c r="O61" i="2"/>
  <c r="K61" i="2"/>
  <c r="Y60" i="2"/>
  <c r="T60" i="2"/>
  <c r="S60" i="2"/>
  <c r="O60" i="2"/>
  <c r="K60" i="2"/>
  <c r="Y59" i="2"/>
  <c r="T59" i="2"/>
  <c r="S59" i="2"/>
  <c r="O59" i="2"/>
  <c r="K59" i="2"/>
  <c r="Y58" i="2"/>
  <c r="T58" i="2"/>
  <c r="S58" i="2"/>
  <c r="O58" i="2"/>
  <c r="K58" i="2"/>
  <c r="Y57" i="2"/>
  <c r="T57" i="2"/>
  <c r="S57" i="2"/>
  <c r="O57" i="2"/>
  <c r="K57" i="2"/>
  <c r="Y56" i="2"/>
  <c r="T56" i="2"/>
  <c r="S56" i="2"/>
  <c r="O56" i="2"/>
  <c r="K56" i="2"/>
  <c r="Y55" i="2"/>
  <c r="T55" i="2"/>
  <c r="S55" i="2"/>
  <c r="O55" i="2"/>
  <c r="K55" i="2"/>
  <c r="Y54" i="2"/>
  <c r="T54" i="2"/>
  <c r="S54" i="2"/>
  <c r="O54" i="2"/>
  <c r="K54" i="2"/>
  <c r="Y53" i="2"/>
  <c r="T53" i="2"/>
  <c r="S53" i="2"/>
  <c r="O53" i="2"/>
  <c r="K53" i="2"/>
  <c r="Y52" i="2"/>
  <c r="T52" i="2"/>
  <c r="S52" i="2"/>
  <c r="O52" i="2"/>
  <c r="K52" i="2"/>
  <c r="Y51" i="2"/>
  <c r="T51" i="2"/>
  <c r="S51" i="2"/>
  <c r="O51" i="2"/>
  <c r="K51" i="2"/>
  <c r="Y50" i="2"/>
  <c r="T50" i="2"/>
  <c r="S50" i="2"/>
  <c r="O50" i="2"/>
  <c r="K50" i="2"/>
  <c r="Y49" i="2"/>
  <c r="T49" i="2"/>
  <c r="S49" i="2"/>
  <c r="O49" i="2"/>
  <c r="K49" i="2"/>
  <c r="Y48" i="2"/>
  <c r="T48" i="2"/>
  <c r="S48" i="2"/>
  <c r="O48" i="2"/>
  <c r="K48" i="2"/>
  <c r="Y47" i="2"/>
  <c r="T47" i="2"/>
  <c r="S47" i="2"/>
  <c r="O47" i="2"/>
  <c r="K47" i="2"/>
  <c r="Y46" i="2"/>
  <c r="T46" i="2"/>
  <c r="S46" i="2"/>
  <c r="O46" i="2"/>
  <c r="K46" i="2"/>
  <c r="Y45" i="2"/>
  <c r="T45" i="2"/>
  <c r="S45" i="2"/>
  <c r="O45" i="2"/>
  <c r="K45" i="2"/>
  <c r="Y44" i="2"/>
  <c r="T44" i="2"/>
  <c r="S44" i="2"/>
  <c r="O44" i="2"/>
  <c r="K44" i="2"/>
  <c r="Y43" i="2"/>
  <c r="T43" i="2"/>
  <c r="S43" i="2"/>
  <c r="O43" i="2"/>
  <c r="K43" i="2"/>
  <c r="Y42" i="2"/>
  <c r="T42" i="2"/>
  <c r="S42" i="2"/>
  <c r="O42" i="2"/>
  <c r="K42" i="2"/>
  <c r="Y41" i="2"/>
  <c r="T41" i="2"/>
  <c r="S41" i="2"/>
  <c r="O41" i="2"/>
  <c r="K41" i="2"/>
  <c r="Y40" i="2"/>
  <c r="T40" i="2"/>
  <c r="S40" i="2"/>
  <c r="O40" i="2"/>
  <c r="K40" i="2"/>
  <c r="Y39" i="2"/>
  <c r="T39" i="2"/>
  <c r="S39" i="2"/>
  <c r="O39" i="2"/>
  <c r="K39" i="2"/>
  <c r="Y38" i="2"/>
  <c r="T38" i="2"/>
  <c r="S38" i="2"/>
  <c r="O38" i="2"/>
  <c r="K38" i="2"/>
  <c r="Y37" i="2"/>
  <c r="T37" i="2"/>
  <c r="S37" i="2"/>
  <c r="O37" i="2"/>
  <c r="K37" i="2"/>
  <c r="Y36" i="2"/>
  <c r="T36" i="2"/>
  <c r="S36" i="2"/>
  <c r="O36" i="2"/>
  <c r="K36" i="2"/>
  <c r="Y35" i="2"/>
  <c r="T35" i="2"/>
  <c r="S35" i="2"/>
  <c r="O35" i="2"/>
  <c r="K35" i="2"/>
  <c r="Y34" i="2"/>
  <c r="T34" i="2"/>
  <c r="S34" i="2"/>
  <c r="O34" i="2"/>
  <c r="K34" i="2"/>
  <c r="Y33" i="2"/>
  <c r="O33" i="2"/>
  <c r="A33" i="5" s="1"/>
  <c r="Y32" i="2"/>
  <c r="O32" i="2"/>
  <c r="A32" i="5" s="1"/>
  <c r="Y31" i="2"/>
  <c r="O31" i="2"/>
  <c r="A31" i="5" s="1"/>
  <c r="Y30" i="2"/>
  <c r="O30" i="2"/>
  <c r="A30" i="5" s="1"/>
  <c r="Y29" i="2"/>
  <c r="O29" i="2"/>
  <c r="A29" i="5" s="1"/>
  <c r="Y28" i="2"/>
  <c r="O28" i="2"/>
  <c r="A28" i="5" s="1"/>
  <c r="Y27" i="2"/>
  <c r="O27" i="2"/>
  <c r="A27" i="5" s="1"/>
  <c r="Y26" i="2"/>
  <c r="O26" i="2"/>
  <c r="A26" i="5" s="1"/>
  <c r="Y25" i="2"/>
  <c r="O25" i="2"/>
  <c r="A25" i="5" s="1"/>
  <c r="Y24" i="2"/>
  <c r="O24" i="2"/>
  <c r="A24" i="5" s="1"/>
  <c r="Y23" i="2"/>
  <c r="O23" i="2"/>
  <c r="A23" i="5" s="1"/>
  <c r="AE23" i="5" s="1"/>
  <c r="Y22" i="2"/>
  <c r="O22" i="2"/>
  <c r="A22" i="5" s="1"/>
  <c r="Y21" i="2"/>
  <c r="O21" i="2"/>
  <c r="A21" i="5" s="1"/>
  <c r="Y20" i="2"/>
  <c r="O20" i="2"/>
  <c r="A20" i="5" s="1"/>
  <c r="Y19" i="2"/>
  <c r="O19" i="2"/>
  <c r="A19" i="5" s="1"/>
  <c r="Y18" i="2"/>
  <c r="O18" i="2"/>
  <c r="Y17" i="2"/>
  <c r="O17" i="2"/>
  <c r="A17" i="5" s="1"/>
  <c r="Y16" i="2"/>
  <c r="O16" i="2"/>
  <c r="A16" i="5" s="1"/>
  <c r="Y15" i="2"/>
  <c r="O15" i="2"/>
  <c r="A15" i="5" s="1"/>
  <c r="AY15" i="5" s="1"/>
  <c r="Y14" i="2"/>
  <c r="O14" i="2"/>
  <c r="A14" i="5" s="1"/>
  <c r="Y13" i="2"/>
  <c r="O13" i="2"/>
  <c r="A13" i="5" s="1"/>
  <c r="Z13" i="5" s="1"/>
  <c r="Y12" i="2"/>
  <c r="O12" i="2"/>
  <c r="A12" i="5" s="1"/>
  <c r="Y11" i="2"/>
  <c r="O11" i="2"/>
  <c r="A11" i="5" s="1"/>
  <c r="Y10" i="2"/>
  <c r="O10" i="2"/>
  <c r="A10" i="5" s="1"/>
  <c r="Y9" i="2"/>
  <c r="O9" i="2"/>
  <c r="A9" i="5" s="1"/>
  <c r="A61" i="1"/>
  <c r="D61" i="1" s="1"/>
  <c r="A60" i="1"/>
  <c r="A59" i="1"/>
  <c r="D59" i="1" s="1"/>
  <c r="A58" i="1"/>
  <c r="D58" i="1" s="1"/>
  <c r="A57" i="1"/>
  <c r="D57" i="1" s="1"/>
  <c r="A56" i="1"/>
  <c r="D56" i="1" s="1"/>
  <c r="A55" i="1"/>
  <c r="A54" i="1"/>
  <c r="D54" i="1" s="1"/>
  <c r="F53" i="1"/>
  <c r="A53" i="1"/>
  <c r="A52" i="1"/>
  <c r="D52" i="1" s="1"/>
  <c r="A51" i="1"/>
  <c r="D51" i="1" s="1"/>
  <c r="A50" i="1"/>
  <c r="D50" i="1" s="1"/>
  <c r="A23" i="1"/>
  <c r="A10" i="1"/>
  <c r="K6" i="1"/>
  <c r="F6" i="1"/>
  <c r="A6" i="1"/>
  <c r="AD186" i="5" l="1"/>
  <c r="AB186" i="5"/>
  <c r="W186" i="5"/>
  <c r="AW306" i="5"/>
  <c r="V306" i="5"/>
  <c r="AL292" i="5"/>
  <c r="AK292" i="5"/>
  <c r="AF292" i="5"/>
  <c r="AS292" i="5"/>
  <c r="AR292" i="5"/>
  <c r="AS34" i="5"/>
  <c r="AR34" i="5"/>
  <c r="AD34" i="5"/>
  <c r="AL315" i="5"/>
  <c r="V507" i="5"/>
  <c r="R507" i="5"/>
  <c r="S175" i="5"/>
  <c r="R175" i="5"/>
  <c r="U175" i="5"/>
  <c r="AS35" i="5"/>
  <c r="AG35" i="5"/>
  <c r="R35" i="5"/>
  <c r="AD35" i="5"/>
  <c r="V414" i="5"/>
  <c r="AI414" i="5"/>
  <c r="AE414" i="5"/>
  <c r="AD428" i="5"/>
  <c r="W428" i="5"/>
  <c r="V428" i="5"/>
  <c r="S428" i="5"/>
  <c r="AH428" i="5"/>
  <c r="AF428" i="5"/>
  <c r="AY304" i="5"/>
  <c r="Y304" i="5"/>
  <c r="AB319" i="5"/>
  <c r="AS319" i="5"/>
  <c r="AJ319" i="5"/>
  <c r="AE319" i="5"/>
  <c r="AT319" i="5"/>
  <c r="AR413" i="5"/>
  <c r="AQ413" i="5"/>
  <c r="AE291" i="5"/>
  <c r="AL291" i="5"/>
  <c r="AF291" i="5"/>
  <c r="AB291" i="5"/>
  <c r="AP291" i="5"/>
  <c r="X503" i="5"/>
  <c r="W503" i="5"/>
  <c r="AS503" i="5"/>
  <c r="AG503" i="5"/>
  <c r="V344" i="5"/>
  <c r="S344" i="5"/>
  <c r="AS383" i="5"/>
  <c r="AF383" i="5"/>
  <c r="AE383" i="5"/>
  <c r="AD383" i="5"/>
  <c r="AM315" i="5"/>
  <c r="X315" i="5"/>
  <c r="S315" i="5"/>
  <c r="R315" i="5"/>
  <c r="AD319" i="5"/>
  <c r="AW370" i="5"/>
  <c r="AA370" i="5"/>
  <c r="X370" i="5"/>
  <c r="V370" i="5"/>
  <c r="U427" i="5"/>
  <c r="T427" i="5"/>
  <c r="S427" i="5"/>
  <c r="AD203" i="5"/>
  <c r="AW203" i="5"/>
  <c r="AT203" i="5"/>
  <c r="AS203" i="5"/>
  <c r="W203" i="5"/>
  <c r="V203" i="5"/>
  <c r="U203" i="5"/>
  <c r="X314" i="5"/>
  <c r="U314" i="5"/>
  <c r="T314" i="5"/>
  <c r="AU314" i="5" s="1"/>
  <c r="S314" i="5"/>
  <c r="AH154" i="5"/>
  <c r="Z412" i="5"/>
  <c r="AJ412" i="5"/>
  <c r="AB412" i="5"/>
  <c r="AH503" i="5"/>
  <c r="AI154" i="5"/>
  <c r="AK215" i="5"/>
  <c r="AN215" i="5"/>
  <c r="AL215" i="5"/>
  <c r="AJ215" i="5"/>
  <c r="AQ215" i="5"/>
  <c r="AL503" i="5"/>
  <c r="AJ154" i="5"/>
  <c r="AJ313" i="5"/>
  <c r="Z313" i="5"/>
  <c r="W313" i="5"/>
  <c r="U313" i="5"/>
  <c r="AS134" i="5"/>
  <c r="AR503" i="5"/>
  <c r="AR365" i="5"/>
  <c r="T365" i="5"/>
  <c r="AU365" i="5" s="1"/>
  <c r="AP365" i="5"/>
  <c r="U365" i="5"/>
  <c r="AN401" i="5"/>
  <c r="AG312" i="5"/>
  <c r="AF312" i="5"/>
  <c r="AD312" i="5"/>
  <c r="U434" i="5"/>
  <c r="T434" i="5"/>
  <c r="AU434" i="5" s="1"/>
  <c r="AA60" i="5"/>
  <c r="S60" i="5"/>
  <c r="R60" i="5"/>
  <c r="AK60" i="5"/>
  <c r="R240" i="5"/>
  <c r="S240" i="5"/>
  <c r="AO452" i="5"/>
  <c r="Y452" i="5"/>
  <c r="X452" i="5"/>
  <c r="W452" i="5"/>
  <c r="AP464" i="5"/>
  <c r="AO464" i="5"/>
  <c r="Z464" i="5"/>
  <c r="AD469" i="5"/>
  <c r="AM469" i="5"/>
  <c r="AK469" i="5"/>
  <c r="AJ469" i="5"/>
  <c r="AI469" i="5"/>
  <c r="AT61" i="5"/>
  <c r="AD239" i="5"/>
  <c r="AB239" i="5"/>
  <c r="AL240" i="5"/>
  <c r="AN364" i="5"/>
  <c r="S364" i="5"/>
  <c r="Z364" i="5"/>
  <c r="Y364" i="5"/>
  <c r="AD473" i="5"/>
  <c r="Y473" i="5"/>
  <c r="AI473" i="5"/>
  <c r="AW61" i="5"/>
  <c r="AO69" i="5"/>
  <c r="AD235" i="5"/>
  <c r="AM240" i="5"/>
  <c r="AY246" i="5"/>
  <c r="AC311" i="5"/>
  <c r="X311" i="5"/>
  <c r="AY311" i="5"/>
  <c r="AS311" i="5"/>
  <c r="AE311" i="5"/>
  <c r="AD44" i="5"/>
  <c r="AO44" i="5"/>
  <c r="AN44" i="5"/>
  <c r="AM44" i="5"/>
  <c r="AL44" i="5"/>
  <c r="U44" i="5"/>
  <c r="R44" i="5"/>
  <c r="AC72" i="5"/>
  <c r="AL81" i="5"/>
  <c r="AY81" i="5"/>
  <c r="AW81" i="5"/>
  <c r="AT81" i="5"/>
  <c r="AS81" i="5"/>
  <c r="AR81" i="5"/>
  <c r="AQ81" i="5"/>
  <c r="AI72" i="5"/>
  <c r="AC77" i="5"/>
  <c r="AF235" i="5"/>
  <c r="AT450" i="5"/>
  <c r="V450" i="5"/>
  <c r="S450" i="5"/>
  <c r="V43" i="5"/>
  <c r="U43" i="5"/>
  <c r="AK44" i="5"/>
  <c r="AM72" i="5"/>
  <c r="AQ176" i="5"/>
  <c r="V176" i="5"/>
  <c r="R176" i="5"/>
  <c r="Y176" i="5"/>
  <c r="AG235" i="5"/>
  <c r="W306" i="5"/>
  <c r="AB344" i="5"/>
  <c r="AB268" i="5"/>
  <c r="X268" i="5"/>
  <c r="W268" i="5"/>
  <c r="T305" i="5"/>
  <c r="X306" i="5"/>
  <c r="AD308" i="5"/>
  <c r="W308" i="5"/>
  <c r="Z308" i="5"/>
  <c r="AB357" i="5"/>
  <c r="Z357" i="5"/>
  <c r="AS357" i="5"/>
  <c r="AJ428" i="5"/>
  <c r="AR430" i="5"/>
  <c r="S430" i="5"/>
  <c r="V430" i="5"/>
  <c r="T430" i="5"/>
  <c r="AU430" i="5" s="1"/>
  <c r="Z441" i="5"/>
  <c r="V441" i="5"/>
  <c r="AG442" i="5"/>
  <c r="AT442" i="5"/>
  <c r="AP442" i="5"/>
  <c r="AM442" i="5"/>
  <c r="AL442" i="5"/>
  <c r="AK442" i="5"/>
  <c r="AS442" i="5"/>
  <c r="AJ442" i="5"/>
  <c r="AI442" i="5"/>
  <c r="Z449" i="5"/>
  <c r="AF449" i="5"/>
  <c r="AA449" i="5"/>
  <c r="V154" i="5"/>
  <c r="AW154" i="5"/>
  <c r="AB152" i="5"/>
  <c r="V152" i="5"/>
  <c r="AI215" i="5"/>
  <c r="AG369" i="5"/>
  <c r="AF369" i="5"/>
  <c r="T369" i="5"/>
  <c r="AU369" i="5" s="1"/>
  <c r="AF502" i="5"/>
  <c r="AI502" i="5"/>
  <c r="AD502" i="5"/>
  <c r="AW410" i="5"/>
  <c r="AP454" i="5"/>
  <c r="AO454" i="5"/>
  <c r="AI454" i="5"/>
  <c r="AH454" i="5"/>
  <c r="AQ503" i="5"/>
  <c r="AY92" i="5"/>
  <c r="AW92" i="5"/>
  <c r="AT92" i="5"/>
  <c r="T156" i="5"/>
  <c r="AU156" i="5" s="1"/>
  <c r="W465" i="5"/>
  <c r="S465" i="5"/>
  <c r="R465" i="5"/>
  <c r="Z501" i="5"/>
  <c r="V501" i="5"/>
  <c r="AS92" i="5"/>
  <c r="AT134" i="5"/>
  <c r="AS154" i="5"/>
  <c r="Z401" i="5"/>
  <c r="Y401" i="5"/>
  <c r="AW401" i="5"/>
  <c r="AY401" i="5"/>
  <c r="AJ240" i="5"/>
  <c r="AC235" i="5"/>
  <c r="AY235" i="5"/>
  <c r="AW235" i="5"/>
  <c r="AB235" i="5"/>
  <c r="AP433" i="5"/>
  <c r="AO433" i="5"/>
  <c r="Z433" i="5"/>
  <c r="AC493" i="5"/>
  <c r="AT493" i="5"/>
  <c r="AQ493" i="5"/>
  <c r="AP493" i="5"/>
  <c r="AL493" i="5"/>
  <c r="AK59" i="5"/>
  <c r="AJ59" i="5"/>
  <c r="AH44" i="5"/>
  <c r="AQ69" i="5"/>
  <c r="AN81" i="5"/>
  <c r="AE235" i="5"/>
  <c r="AP240" i="5"/>
  <c r="U363" i="5"/>
  <c r="V363" i="5"/>
  <c r="AJ44" i="5"/>
  <c r="AB58" i="5"/>
  <c r="AA58" i="5"/>
  <c r="AR69" i="5"/>
  <c r="AK77" i="5"/>
  <c r="AQ77" i="5"/>
  <c r="AW77" i="5"/>
  <c r="AS42" i="5"/>
  <c r="T42" i="5"/>
  <c r="S42" i="5"/>
  <c r="R42" i="5"/>
  <c r="AK223" i="5"/>
  <c r="S225" i="5"/>
  <c r="AJ235" i="5"/>
  <c r="T262" i="5"/>
  <c r="AU262" i="5" s="1"/>
  <c r="AX262" i="5" s="1"/>
  <c r="AA304" i="5"/>
  <c r="V305" i="5"/>
  <c r="AF307" i="5"/>
  <c r="S307" i="5"/>
  <c r="AF315" i="5"/>
  <c r="X319" i="5"/>
  <c r="AK428" i="5"/>
  <c r="AB337" i="5"/>
  <c r="AM340" i="5"/>
  <c r="T340" i="5"/>
  <c r="S340" i="5"/>
  <c r="R340" i="5"/>
  <c r="AY441" i="5"/>
  <c r="AM491" i="5"/>
  <c r="R491" i="5"/>
  <c r="AO57" i="5"/>
  <c r="AA57" i="5"/>
  <c r="AG202" i="5"/>
  <c r="X202" i="5"/>
  <c r="W202" i="5"/>
  <c r="V202" i="5"/>
  <c r="AC337" i="5"/>
  <c r="AM395" i="5"/>
  <c r="AN395" i="5"/>
  <c r="Y395" i="5"/>
  <c r="R395" i="5"/>
  <c r="AS395" i="5"/>
  <c r="AR395" i="5"/>
  <c r="T440" i="5"/>
  <c r="AU440" i="5" s="1"/>
  <c r="AX440" i="5" s="1"/>
  <c r="AO125" i="5"/>
  <c r="U125" i="5"/>
  <c r="S125" i="5"/>
  <c r="R438" i="5"/>
  <c r="T438" i="5"/>
  <c r="AU438" i="5" s="1"/>
  <c r="S438" i="5"/>
  <c r="AP52" i="5"/>
  <c r="V458" i="5"/>
  <c r="R458" i="5"/>
  <c r="AD326" i="5"/>
  <c r="W330" i="5"/>
  <c r="AR330" i="5"/>
  <c r="AM325" i="5"/>
  <c r="S325" i="5"/>
  <c r="AT326" i="5"/>
  <c r="AW437" i="5"/>
  <c r="R437" i="5"/>
  <c r="Z437" i="5"/>
  <c r="T437" i="5"/>
  <c r="AU437" i="5" s="1"/>
  <c r="S445" i="5"/>
  <c r="R445" i="5"/>
  <c r="AI446" i="5"/>
  <c r="AH446" i="5"/>
  <c r="AG446" i="5"/>
  <c r="AW446" i="5"/>
  <c r="AT446" i="5"/>
  <c r="AQ446" i="5"/>
  <c r="AP446" i="5"/>
  <c r="AO446" i="5"/>
  <c r="AN446" i="5"/>
  <c r="AL446" i="5"/>
  <c r="AF446" i="5"/>
  <c r="AE446" i="5"/>
  <c r="AD446" i="5"/>
  <c r="AC446" i="5"/>
  <c r="AT52" i="5"/>
  <c r="R119" i="5"/>
  <c r="AS119" i="5"/>
  <c r="AW119" i="5"/>
  <c r="AT119" i="5"/>
  <c r="AJ119" i="5"/>
  <c r="AE119" i="5"/>
  <c r="AP252" i="5"/>
  <c r="AF252" i="5"/>
  <c r="AE252" i="5"/>
  <c r="AD252" i="5"/>
  <c r="AS252" i="5"/>
  <c r="AK324" i="5"/>
  <c r="S324" i="5"/>
  <c r="AO368" i="5"/>
  <c r="AA368" i="5"/>
  <c r="W368" i="5"/>
  <c r="AR368" i="5"/>
  <c r="U384" i="5"/>
  <c r="T384" i="5"/>
  <c r="AU384" i="5" s="1"/>
  <c r="S384" i="5"/>
  <c r="AP444" i="5"/>
  <c r="AO444" i="5"/>
  <c r="V447" i="5"/>
  <c r="AM447" i="5"/>
  <c r="AL447" i="5"/>
  <c r="AE447" i="5"/>
  <c r="W447" i="5"/>
  <c r="U447" i="5"/>
  <c r="AP447" i="5"/>
  <c r="AY52" i="5"/>
  <c r="AH119" i="5"/>
  <c r="AT252" i="5"/>
  <c r="Z255" i="5"/>
  <c r="AY266" i="5"/>
  <c r="AS266" i="5"/>
  <c r="AR266" i="5"/>
  <c r="AQ266" i="5"/>
  <c r="AP266" i="5"/>
  <c r="AE266" i="5"/>
  <c r="AE269" i="5"/>
  <c r="Y269" i="5"/>
  <c r="S269" i="5"/>
  <c r="R269" i="5"/>
  <c r="AS269" i="5"/>
  <c r="AM327" i="5"/>
  <c r="T327" i="5"/>
  <c r="AU327" i="5" s="1"/>
  <c r="AS368" i="5"/>
  <c r="AY393" i="5"/>
  <c r="AI431" i="5"/>
  <c r="AI436" i="5"/>
  <c r="V436" i="5"/>
  <c r="W436" i="5"/>
  <c r="AQ447" i="5"/>
  <c r="AG448" i="5"/>
  <c r="AN228" i="5"/>
  <c r="AM228" i="5"/>
  <c r="AO274" i="5"/>
  <c r="AA274" i="5"/>
  <c r="Y274" i="5"/>
  <c r="AJ337" i="5"/>
  <c r="AQ337" i="5"/>
  <c r="AL337" i="5"/>
  <c r="AK337" i="5"/>
  <c r="AI337" i="5"/>
  <c r="AW337" i="5"/>
  <c r="AS337" i="5"/>
  <c r="AR337" i="5"/>
  <c r="AP337" i="5"/>
  <c r="W343" i="5"/>
  <c r="X343" i="5"/>
  <c r="AY353" i="5"/>
  <c r="AW353" i="5"/>
  <c r="AM353" i="5"/>
  <c r="AL353" i="5"/>
  <c r="AK353" i="5"/>
  <c r="AJ353" i="5"/>
  <c r="AI353" i="5"/>
  <c r="AS356" i="5"/>
  <c r="AJ356" i="5"/>
  <c r="Y356" i="5"/>
  <c r="W356" i="5"/>
  <c r="AW356" i="5"/>
  <c r="AT356" i="5"/>
  <c r="AK440" i="5"/>
  <c r="S440" i="5"/>
  <c r="R440" i="5"/>
  <c r="AA290" i="5"/>
  <c r="AB290" i="5"/>
  <c r="Y290" i="5"/>
  <c r="V331" i="5"/>
  <c r="S331" i="5"/>
  <c r="R331" i="5"/>
  <c r="AW331" i="5"/>
  <c r="AS331" i="5"/>
  <c r="AR331" i="5"/>
  <c r="AY337" i="5"/>
  <c r="AG337" i="5"/>
  <c r="AH337" i="5"/>
  <c r="AB373" i="5"/>
  <c r="AF373" i="5"/>
  <c r="AC373" i="5"/>
  <c r="AS496" i="5"/>
  <c r="AQ496" i="5"/>
  <c r="AP496" i="5"/>
  <c r="AO496" i="5"/>
  <c r="AK496" i="5"/>
  <c r="AJ496" i="5"/>
  <c r="AH496" i="5"/>
  <c r="AQ52" i="5"/>
  <c r="AS124" i="5"/>
  <c r="T124" i="5"/>
  <c r="AU124" i="5" s="1"/>
  <c r="S124" i="5"/>
  <c r="AR326" i="5"/>
  <c r="AG326" i="5"/>
  <c r="AE326" i="5"/>
  <c r="R326" i="5"/>
  <c r="AI394" i="5"/>
  <c r="AE394" i="5"/>
  <c r="AD394" i="5"/>
  <c r="AG457" i="5"/>
  <c r="AD457" i="5"/>
  <c r="AM457" i="5"/>
  <c r="R457" i="5"/>
  <c r="AI496" i="5"/>
  <c r="AS52" i="5"/>
  <c r="AN216" i="5"/>
  <c r="AW216" i="5"/>
  <c r="AT216" i="5"/>
  <c r="AS216" i="5"/>
  <c r="AQ216" i="5"/>
  <c r="AW36" i="5"/>
  <c r="V36" i="5"/>
  <c r="T36" i="5"/>
  <c r="AU36" i="5" s="1"/>
  <c r="R36" i="5"/>
  <c r="AE257" i="5"/>
  <c r="AS257" i="5"/>
  <c r="AF257" i="5"/>
  <c r="AW322" i="5"/>
  <c r="AK322" i="5"/>
  <c r="AT368" i="5"/>
  <c r="AN431" i="5"/>
  <c r="AB484" i="5"/>
  <c r="AY90" i="5"/>
  <c r="AO123" i="5"/>
  <c r="X123" i="5"/>
  <c r="V123" i="5"/>
  <c r="Z142" i="5"/>
  <c r="W142" i="5"/>
  <c r="Y185" i="5"/>
  <c r="X185" i="5"/>
  <c r="S185" i="5"/>
  <c r="AY216" i="5"/>
  <c r="AT220" i="5"/>
  <c r="AM382" i="5"/>
  <c r="AF382" i="5"/>
  <c r="AB382" i="5"/>
  <c r="AA382" i="5"/>
  <c r="AG426" i="5"/>
  <c r="AF426" i="5"/>
  <c r="T426" i="5"/>
  <c r="AU426" i="5" s="1"/>
  <c r="S426" i="5"/>
  <c r="AC484" i="5"/>
  <c r="AB47" i="5"/>
  <c r="AW220" i="5"/>
  <c r="AW339" i="5"/>
  <c r="AN339" i="5"/>
  <c r="AC339" i="5"/>
  <c r="AK480" i="5"/>
  <c r="AD484" i="5"/>
  <c r="AM498" i="5"/>
  <c r="AF498" i="5"/>
  <c r="AD498" i="5"/>
  <c r="U499" i="5"/>
  <c r="X499" i="5"/>
  <c r="AY103" i="5"/>
  <c r="AF112" i="5"/>
  <c r="AQ112" i="5"/>
  <c r="AR112" i="5"/>
  <c r="AP112" i="5"/>
  <c r="AL112" i="5"/>
  <c r="V122" i="5"/>
  <c r="R122" i="5"/>
  <c r="X267" i="5"/>
  <c r="W267" i="5"/>
  <c r="V267" i="5"/>
  <c r="AL297" i="5"/>
  <c r="AK297" i="5"/>
  <c r="AY480" i="5"/>
  <c r="AE484" i="5"/>
  <c r="AN97" i="5"/>
  <c r="AR107" i="5"/>
  <c r="AM112" i="5"/>
  <c r="Z355" i="5"/>
  <c r="S355" i="5"/>
  <c r="AW355" i="5"/>
  <c r="AT355" i="5"/>
  <c r="AS355" i="5"/>
  <c r="AC355" i="5"/>
  <c r="Z376" i="5"/>
  <c r="X376" i="5"/>
  <c r="W376" i="5"/>
  <c r="AY390" i="5"/>
  <c r="AO425" i="5"/>
  <c r="AN425" i="5"/>
  <c r="AL425" i="5"/>
  <c r="AG484" i="5"/>
  <c r="AO497" i="5"/>
  <c r="AI497" i="5"/>
  <c r="AS163" i="5"/>
  <c r="AR163" i="5"/>
  <c r="AQ163" i="5"/>
  <c r="AP163" i="5"/>
  <c r="AD183" i="5"/>
  <c r="W183" i="5"/>
  <c r="AO296" i="5"/>
  <c r="AM296" i="5"/>
  <c r="AD355" i="5"/>
  <c r="AK484" i="5"/>
  <c r="AJ486" i="5"/>
  <c r="AT163" i="5"/>
  <c r="AI336" i="5"/>
  <c r="R336" i="5"/>
  <c r="AJ336" i="5"/>
  <c r="AA354" i="5"/>
  <c r="Z354" i="5"/>
  <c r="AE355" i="5"/>
  <c r="AC359" i="5"/>
  <c r="AN359" i="5"/>
  <c r="AJ359" i="5"/>
  <c r="V359" i="5"/>
  <c r="U359" i="5"/>
  <c r="AG359" i="5"/>
  <c r="AC375" i="5"/>
  <c r="AB375" i="5"/>
  <c r="AK486" i="5"/>
  <c r="AY163" i="5"/>
  <c r="AS335" i="5"/>
  <c r="R335" i="5"/>
  <c r="AL336" i="5"/>
  <c r="AF355" i="5"/>
  <c r="AH359" i="5"/>
  <c r="AK463" i="5"/>
  <c r="Y463" i="5"/>
  <c r="X463" i="5"/>
  <c r="AQ463" i="5"/>
  <c r="AT486" i="5"/>
  <c r="T295" i="5"/>
  <c r="AU295" i="5" s="1"/>
  <c r="AB334" i="5"/>
  <c r="T334" i="5"/>
  <c r="AU334" i="5" s="1"/>
  <c r="AM336" i="5"/>
  <c r="AM355" i="5"/>
  <c r="AJ358" i="5"/>
  <c r="W358" i="5"/>
  <c r="AI359" i="5"/>
  <c r="AW397" i="5"/>
  <c r="R397" i="5"/>
  <c r="AE397" i="5"/>
  <c r="AR463" i="5"/>
  <c r="AH467" i="5"/>
  <c r="AR195" i="5"/>
  <c r="AP201" i="5"/>
  <c r="AT333" i="5"/>
  <c r="S333" i="5"/>
  <c r="AN336" i="5"/>
  <c r="AN355" i="5"/>
  <c r="AO359" i="5"/>
  <c r="T366" i="5"/>
  <c r="AU366" i="5" s="1"/>
  <c r="AX366" i="5" s="1"/>
  <c r="AQ366" i="5"/>
  <c r="AS396" i="5"/>
  <c r="R396" i="5"/>
  <c r="AF397" i="5"/>
  <c r="AQ422" i="5"/>
  <c r="AQ439" i="5"/>
  <c r="AS463" i="5"/>
  <c r="AD490" i="5"/>
  <c r="AN490" i="5"/>
  <c r="AJ490" i="5"/>
  <c r="AS490" i="5"/>
  <c r="AQ490" i="5"/>
  <c r="AP490" i="5"/>
  <c r="AO490" i="5"/>
  <c r="AE490" i="5"/>
  <c r="AM121" i="5"/>
  <c r="R121" i="5"/>
  <c r="AR121" i="5"/>
  <c r="AT128" i="5"/>
  <c r="T319" i="5"/>
  <c r="AU319" i="5" s="1"/>
  <c r="AS347" i="5"/>
  <c r="AT347" i="5"/>
  <c r="AR386" i="5"/>
  <c r="AY386" i="5"/>
  <c r="AB41" i="5"/>
  <c r="AS120" i="5"/>
  <c r="R120" i="5"/>
  <c r="AS121" i="5"/>
  <c r="AN181" i="5"/>
  <c r="AE41" i="5"/>
  <c r="AT121" i="5"/>
  <c r="AM130" i="5"/>
  <c r="AY165" i="5"/>
  <c r="AT181" i="5"/>
  <c r="AY205" i="5"/>
  <c r="AF208" i="5"/>
  <c r="Z346" i="5"/>
  <c r="AG346" i="5"/>
  <c r="X377" i="5"/>
  <c r="W377" i="5"/>
  <c r="AJ377" i="5"/>
  <c r="AN462" i="5"/>
  <c r="AM462" i="5"/>
  <c r="AF462" i="5"/>
  <c r="AN472" i="5"/>
  <c r="T332" i="5"/>
  <c r="AU332" i="5" s="1"/>
  <c r="AF342" i="5"/>
  <c r="AP443" i="5"/>
  <c r="AY460" i="5"/>
  <c r="V56" i="5"/>
  <c r="S56" i="5"/>
  <c r="T190" i="5"/>
  <c r="AL115" i="5"/>
  <c r="T278" i="5"/>
  <c r="S278" i="5"/>
  <c r="AM190" i="5"/>
  <c r="AJ278" i="5"/>
  <c r="AW54" i="5"/>
  <c r="V54" i="5"/>
  <c r="AA54" i="5"/>
  <c r="AG137" i="5"/>
  <c r="V137" i="5"/>
  <c r="T137" i="5"/>
  <c r="AU137" i="5" s="1"/>
  <c r="U137" i="5"/>
  <c r="AI17" i="5"/>
  <c r="AY54" i="5"/>
  <c r="AR204" i="5"/>
  <c r="AS204" i="5"/>
  <c r="AN226" i="5"/>
  <c r="AM226" i="5"/>
  <c r="AW226" i="5"/>
  <c r="AY226" i="5"/>
  <c r="W226" i="5"/>
  <c r="V226" i="5"/>
  <c r="S226" i="5"/>
  <c r="AN57" i="5"/>
  <c r="AP54" i="5"/>
  <c r="AI115" i="5"/>
  <c r="AK115" i="5"/>
  <c r="AJ115" i="5"/>
  <c r="AF115" i="5"/>
  <c r="AD115" i="5"/>
  <c r="AE115" i="5"/>
  <c r="AQ115" i="5"/>
  <c r="AO115" i="5"/>
  <c r="AW115" i="5"/>
  <c r="AS115" i="5"/>
  <c r="AN115" i="5"/>
  <c r="AL57" i="5"/>
  <c r="AR190" i="5"/>
  <c r="Y190" i="5"/>
  <c r="S190" i="5"/>
  <c r="R190" i="5"/>
  <c r="Z138" i="5"/>
  <c r="Y138" i="5"/>
  <c r="X138" i="5"/>
  <c r="AW138" i="5"/>
  <c r="AT138" i="5"/>
  <c r="AD482" i="5"/>
  <c r="AA482" i="5"/>
  <c r="Z482" i="5"/>
  <c r="AQ54" i="5"/>
  <c r="AE57" i="5"/>
  <c r="W57" i="5"/>
  <c r="AG115" i="5"/>
  <c r="AS136" i="5"/>
  <c r="AQ136" i="5"/>
  <c r="AR136" i="5"/>
  <c r="Z136" i="5"/>
  <c r="Y136" i="5"/>
  <c r="R136" i="5"/>
  <c r="U259" i="5"/>
  <c r="T259" i="5"/>
  <c r="AW259" i="5"/>
  <c r="AS259" i="5"/>
  <c r="AR259" i="5"/>
  <c r="AY259" i="5"/>
  <c r="AQ259" i="5"/>
  <c r="AP259" i="5"/>
  <c r="AH385" i="5"/>
  <c r="AD385" i="5"/>
  <c r="AC385" i="5"/>
  <c r="AM57" i="5"/>
  <c r="AN190" i="5"/>
  <c r="Y508" i="5"/>
  <c r="W508" i="5"/>
  <c r="S508" i="5"/>
  <c r="AW183" i="5"/>
  <c r="AT183" i="5"/>
  <c r="AR183" i="5"/>
  <c r="AJ183" i="5"/>
  <c r="AI183" i="5"/>
  <c r="AK183" i="5"/>
  <c r="AH183" i="5"/>
  <c r="AG183" i="5"/>
  <c r="Z80" i="5"/>
  <c r="Y80" i="5"/>
  <c r="AM115" i="5"/>
  <c r="T119" i="5"/>
  <c r="AU119" i="5" s="1"/>
  <c r="AX119" i="5" s="1"/>
  <c r="AY119" i="5"/>
  <c r="AI168" i="5"/>
  <c r="AL168" i="5"/>
  <c r="AK168" i="5"/>
  <c r="AF168" i="5"/>
  <c r="AW168" i="5"/>
  <c r="AT168" i="5"/>
  <c r="AU168" i="5"/>
  <c r="AX168" i="5" s="1"/>
  <c r="S168" i="5"/>
  <c r="R168" i="5"/>
  <c r="AC168" i="5"/>
  <c r="S171" i="5"/>
  <c r="R171" i="5"/>
  <c r="AU171" i="5"/>
  <c r="AX171" i="5" s="1"/>
  <c r="AW171" i="5"/>
  <c r="AP171" i="5"/>
  <c r="AE183" i="5"/>
  <c r="AT190" i="5"/>
  <c r="S192" i="5"/>
  <c r="AQ192" i="5"/>
  <c r="AJ192" i="5"/>
  <c r="AK192" i="5"/>
  <c r="AR192" i="5"/>
  <c r="AH192" i="5"/>
  <c r="AG192" i="5"/>
  <c r="AY192" i="5"/>
  <c r="AW192" i="5"/>
  <c r="AT192" i="5"/>
  <c r="AE192" i="5"/>
  <c r="AQ230" i="5"/>
  <c r="AH230" i="5"/>
  <c r="AG230" i="5"/>
  <c r="AW230" i="5"/>
  <c r="AT230" i="5"/>
  <c r="AS230" i="5"/>
  <c r="R230" i="5"/>
  <c r="AY230" i="5"/>
  <c r="AR230" i="5"/>
  <c r="AK230" i="5"/>
  <c r="AJ230" i="5"/>
  <c r="AI230" i="5"/>
  <c r="AF230" i="5"/>
  <c r="AC230" i="5"/>
  <c r="AN230" i="5"/>
  <c r="AM230" i="5"/>
  <c r="AL230" i="5"/>
  <c r="AE230" i="5"/>
  <c r="AD230" i="5"/>
  <c r="AA230" i="5"/>
  <c r="AF279" i="5"/>
  <c r="AH328" i="5"/>
  <c r="AQ328" i="5"/>
  <c r="AP328" i="5"/>
  <c r="AO328" i="5"/>
  <c r="AL328" i="5"/>
  <c r="AJ328" i="5"/>
  <c r="AE328" i="5"/>
  <c r="AD328" i="5"/>
  <c r="AK328" i="5"/>
  <c r="AI328" i="5"/>
  <c r="AC328" i="5"/>
  <c r="T477" i="5"/>
  <c r="AU477" i="5" s="1"/>
  <c r="W477" i="5"/>
  <c r="U477" i="5"/>
  <c r="AD505" i="5"/>
  <c r="Z505" i="5"/>
  <c r="AD32" i="5"/>
  <c r="AN46" i="5"/>
  <c r="AM46" i="5"/>
  <c r="AL46" i="5"/>
  <c r="AK46" i="5"/>
  <c r="AD168" i="5"/>
  <c r="AQ171" i="5"/>
  <c r="AF183" i="5"/>
  <c r="AF192" i="5"/>
  <c r="AB230" i="5"/>
  <c r="AG302" i="5"/>
  <c r="AE302" i="5"/>
  <c r="AI302" i="5"/>
  <c r="AS279" i="5"/>
  <c r="AM417" i="5"/>
  <c r="AL417" i="5"/>
  <c r="AN417" i="5"/>
  <c r="AI417" i="5"/>
  <c r="AS417" i="5"/>
  <c r="AQ417" i="5"/>
  <c r="AA417" i="5"/>
  <c r="W417" i="5"/>
  <c r="R417" i="5"/>
  <c r="AH199" i="5"/>
  <c r="AG199" i="5"/>
  <c r="AF199" i="5"/>
  <c r="AM199" i="5"/>
  <c r="AK199" i="5"/>
  <c r="AL199" i="5"/>
  <c r="AA199" i="5"/>
  <c r="Z199" i="5"/>
  <c r="AQ333" i="5"/>
  <c r="AS369" i="5"/>
  <c r="AL369" i="5"/>
  <c r="S369" i="5"/>
  <c r="R369" i="5"/>
  <c r="AY369" i="5"/>
  <c r="AT369" i="5"/>
  <c r="AK369" i="5"/>
  <c r="AJ369" i="5"/>
  <c r="AI369" i="5"/>
  <c r="T241" i="5"/>
  <c r="AU241" i="5" s="1"/>
  <c r="AL241" i="5"/>
  <c r="S241" i="5"/>
  <c r="AS419" i="5"/>
  <c r="AP494" i="5"/>
  <c r="AN199" i="5"/>
  <c r="AK245" i="5"/>
  <c r="Z436" i="5"/>
  <c r="AT199" i="5"/>
  <c r="AR210" i="5"/>
  <c r="T245" i="5"/>
  <c r="AP267" i="5"/>
  <c r="AO267" i="5"/>
  <c r="AL267" i="5"/>
  <c r="AK267" i="5"/>
  <c r="AM267" i="5"/>
  <c r="S402" i="5"/>
  <c r="R402" i="5"/>
  <c r="AY433" i="5"/>
  <c r="AW433" i="5"/>
  <c r="Y433" i="5"/>
  <c r="S433" i="5"/>
  <c r="AH436" i="5"/>
  <c r="AP62" i="5"/>
  <c r="T359" i="5"/>
  <c r="AU359" i="5" s="1"/>
  <c r="AY359" i="5"/>
  <c r="AC152" i="5"/>
  <c r="AH212" i="5"/>
  <c r="R411" i="5"/>
  <c r="T411" i="5"/>
  <c r="S411" i="5"/>
  <c r="AJ432" i="5"/>
  <c r="AI432" i="5"/>
  <c r="T141" i="5"/>
  <c r="AU141" i="5" s="1"/>
  <c r="AX141" i="5" s="1"/>
  <c r="AQ141" i="5"/>
  <c r="AP141" i="5"/>
  <c r="W141" i="5"/>
  <c r="R141" i="5"/>
  <c r="S141" i="5"/>
  <c r="AY141" i="5"/>
  <c r="AJ348" i="5"/>
  <c r="U348" i="5"/>
  <c r="R348" i="5"/>
  <c r="AC351" i="5"/>
  <c r="AN351" i="5"/>
  <c r="T351" i="5"/>
  <c r="AO456" i="5"/>
  <c r="AN456" i="5"/>
  <c r="AM456" i="5"/>
  <c r="AP122" i="5"/>
  <c r="AL122" i="5"/>
  <c r="AR122" i="5"/>
  <c r="R344" i="5"/>
  <c r="AL344" i="5"/>
  <c r="AK344" i="5"/>
  <c r="AI344" i="5"/>
  <c r="AW344" i="5"/>
  <c r="AY344" i="5"/>
  <c r="AN344" i="5"/>
  <c r="AQ454" i="5"/>
  <c r="Z170" i="5"/>
  <c r="X170" i="5"/>
  <c r="Y170" i="5"/>
  <c r="AN168" i="5"/>
  <c r="AI199" i="5"/>
  <c r="AH369" i="5"/>
  <c r="AH494" i="5"/>
  <c r="AK99" i="5"/>
  <c r="AG99" i="5"/>
  <c r="AF99" i="5"/>
  <c r="AY99" i="5"/>
  <c r="AN99" i="5"/>
  <c r="AM99" i="5"/>
  <c r="AO99" i="5"/>
  <c r="AJ99" i="5"/>
  <c r="AI99" i="5"/>
  <c r="AO168" i="5"/>
  <c r="AW197" i="5"/>
  <c r="AM403" i="5"/>
  <c r="AC436" i="5"/>
  <c r="AB436" i="5"/>
  <c r="AM436" i="5"/>
  <c r="AK436" i="5"/>
  <c r="AG436" i="5"/>
  <c r="AE436" i="5"/>
  <c r="AD436" i="5"/>
  <c r="S436" i="5"/>
  <c r="AW436" i="5"/>
  <c r="AR436" i="5"/>
  <c r="AS436" i="5"/>
  <c r="AO436" i="5"/>
  <c r="Z444" i="5"/>
  <c r="Y444" i="5"/>
  <c r="AM62" i="5"/>
  <c r="AA212" i="5"/>
  <c r="Z212" i="5"/>
  <c r="S212" i="5"/>
  <c r="R212" i="5"/>
  <c r="AT212" i="5"/>
  <c r="AM212" i="5"/>
  <c r="AL212" i="5"/>
  <c r="AK212" i="5"/>
  <c r="AW212" i="5"/>
  <c r="AR212" i="5"/>
  <c r="AQ212" i="5"/>
  <c r="AP212" i="5"/>
  <c r="AJ212" i="5"/>
  <c r="AJ267" i="5"/>
  <c r="AY436" i="5"/>
  <c r="AH99" i="5"/>
  <c r="R110" i="5"/>
  <c r="AN110" i="5"/>
  <c r="AL110" i="5"/>
  <c r="AM110" i="5"/>
  <c r="AA110" i="5"/>
  <c r="AT110" i="5"/>
  <c r="AS110" i="5"/>
  <c r="AR110" i="5"/>
  <c r="X110" i="5"/>
  <c r="AQ245" i="5"/>
  <c r="AO403" i="5"/>
  <c r="AR433" i="5"/>
  <c r="S109" i="5"/>
  <c r="V109" i="5"/>
  <c r="U459" i="5"/>
  <c r="T459" i="5"/>
  <c r="AU459" i="5" s="1"/>
  <c r="W459" i="5"/>
  <c r="AK110" i="5"/>
  <c r="AA122" i="5"/>
  <c r="AF344" i="5"/>
  <c r="AR349" i="5"/>
  <c r="AN349" i="5"/>
  <c r="AM349" i="5"/>
  <c r="AO349" i="5"/>
  <c r="AL349" i="5"/>
  <c r="AY70" i="5"/>
  <c r="AM71" i="5"/>
  <c r="AB122" i="5"/>
  <c r="AB139" i="5"/>
  <c r="S139" i="5"/>
  <c r="T139" i="5"/>
  <c r="AU139" i="5" s="1"/>
  <c r="Y139" i="5"/>
  <c r="AT141" i="5"/>
  <c r="R204" i="5"/>
  <c r="AM258" i="5"/>
  <c r="Z263" i="5"/>
  <c r="Y263" i="5"/>
  <c r="AP263" i="5"/>
  <c r="AG344" i="5"/>
  <c r="AK349" i="5"/>
  <c r="AM386" i="5"/>
  <c r="AD390" i="5"/>
  <c r="X391" i="5"/>
  <c r="AA392" i="5"/>
  <c r="Z395" i="5"/>
  <c r="W455" i="5"/>
  <c r="U455" i="5"/>
  <c r="S491" i="5"/>
  <c r="AW190" i="5"/>
  <c r="W277" i="5"/>
  <c r="R277" i="5"/>
  <c r="R333" i="5"/>
  <c r="AY333" i="5"/>
  <c r="AE168" i="5"/>
  <c r="AR171" i="5"/>
  <c r="AS171" i="5"/>
  <c r="AH417" i="5"/>
  <c r="Z476" i="5"/>
  <c r="V476" i="5"/>
  <c r="T476" i="5"/>
  <c r="AU476" i="5" s="1"/>
  <c r="AF476" i="5"/>
  <c r="AE476" i="5"/>
  <c r="AD476" i="5"/>
  <c r="S494" i="5"/>
  <c r="R494" i="5"/>
  <c r="AJ494" i="5"/>
  <c r="AI494" i="5"/>
  <c r="AN494" i="5"/>
  <c r="AK494" i="5"/>
  <c r="AM494" i="5"/>
  <c r="AL494" i="5"/>
  <c r="AB494" i="5"/>
  <c r="AA494" i="5"/>
  <c r="T494" i="5"/>
  <c r="AT171" i="5"/>
  <c r="AJ199" i="5"/>
  <c r="AN419" i="5"/>
  <c r="AI419" i="5"/>
  <c r="AG419" i="5"/>
  <c r="X419" i="5"/>
  <c r="W419" i="5"/>
  <c r="V419" i="5"/>
  <c r="T95" i="5"/>
  <c r="AO97" i="5"/>
  <c r="AC99" i="5"/>
  <c r="X403" i="5"/>
  <c r="Z403" i="5"/>
  <c r="AW403" i="5"/>
  <c r="AQ403" i="5"/>
  <c r="AE212" i="5"/>
  <c r="Y358" i="5"/>
  <c r="AN358" i="5"/>
  <c r="AM358" i="5"/>
  <c r="AL358" i="5"/>
  <c r="AK358" i="5"/>
  <c r="U358" i="5"/>
  <c r="R358" i="5"/>
  <c r="AW199" i="5"/>
  <c r="AF212" i="5"/>
  <c r="AT248" i="5"/>
  <c r="AS248" i="5"/>
  <c r="AJ248" i="5"/>
  <c r="AF248" i="5"/>
  <c r="AE248" i="5"/>
  <c r="V248" i="5"/>
  <c r="U248" i="5"/>
  <c r="AW248" i="5"/>
  <c r="AQ248" i="5"/>
  <c r="AW429" i="5"/>
  <c r="AT429" i="5"/>
  <c r="AH110" i="5"/>
  <c r="T151" i="5"/>
  <c r="R151" i="5"/>
  <c r="AJ436" i="5"/>
  <c r="AA141" i="5"/>
  <c r="AP64" i="5"/>
  <c r="AN64" i="5"/>
  <c r="AJ110" i="5"/>
  <c r="AW348" i="5"/>
  <c r="T454" i="5"/>
  <c r="S454" i="5"/>
  <c r="AU454" i="5"/>
  <c r="AX454" i="5" s="1"/>
  <c r="AT454" i="5"/>
  <c r="R454" i="5"/>
  <c r="AN454" i="5"/>
  <c r="AJ454" i="5"/>
  <c r="AM454" i="5"/>
  <c r="AL454" i="5"/>
  <c r="AG454" i="5"/>
  <c r="AF454" i="5"/>
  <c r="AD454" i="5"/>
  <c r="AS141" i="5"/>
  <c r="AB54" i="5"/>
  <c r="AL72" i="5"/>
  <c r="AJ72" i="5"/>
  <c r="AH72" i="5"/>
  <c r="AD72" i="5"/>
  <c r="AG72" i="5"/>
  <c r="AT72" i="5"/>
  <c r="AS72" i="5"/>
  <c r="AR72" i="5"/>
  <c r="AW72" i="5"/>
  <c r="AQ72" i="5"/>
  <c r="AA72" i="5"/>
  <c r="R115" i="5"/>
  <c r="AH122" i="5"/>
  <c r="T130" i="5"/>
  <c r="AU130" i="5" s="1"/>
  <c r="AV130" i="5" s="1"/>
  <c r="AY130" i="5"/>
  <c r="AW141" i="5"/>
  <c r="S204" i="5"/>
  <c r="Y264" i="5"/>
  <c r="AJ264" i="5"/>
  <c r="AH264" i="5"/>
  <c r="AT264" i="5"/>
  <c r="AW264" i="5"/>
  <c r="AS264" i="5"/>
  <c r="AL264" i="5"/>
  <c r="AK264" i="5"/>
  <c r="AG264" i="5"/>
  <c r="AF264" i="5"/>
  <c r="AN264" i="5"/>
  <c r="AM264" i="5"/>
  <c r="AE264" i="5"/>
  <c r="AC264" i="5"/>
  <c r="Y292" i="5"/>
  <c r="W292" i="5"/>
  <c r="U292" i="5"/>
  <c r="AP292" i="5"/>
  <c r="AO292" i="5"/>
  <c r="AN292" i="5"/>
  <c r="AM292" i="5"/>
  <c r="W316" i="5"/>
  <c r="S316" i="5"/>
  <c r="R316" i="5"/>
  <c r="AF317" i="5"/>
  <c r="AR317" i="5"/>
  <c r="AL317" i="5"/>
  <c r="AK317" i="5"/>
  <c r="AJ317" i="5"/>
  <c r="AQ317" i="5"/>
  <c r="AP317" i="5"/>
  <c r="AI317" i="5"/>
  <c r="AG317" i="5"/>
  <c r="AD317" i="5"/>
  <c r="AC317" i="5"/>
  <c r="AH344" i="5"/>
  <c r="X389" i="5"/>
  <c r="W389" i="5"/>
  <c r="V389" i="5"/>
  <c r="AD389" i="5"/>
  <c r="Z389" i="5"/>
  <c r="AE389" i="5"/>
  <c r="AB391" i="5"/>
  <c r="AC392" i="5"/>
  <c r="R441" i="5"/>
  <c r="AW441" i="5"/>
  <c r="AL441" i="5"/>
  <c r="AK441" i="5"/>
  <c r="AM441" i="5"/>
  <c r="AJ441" i="5"/>
  <c r="AI441" i="5"/>
  <c r="AO441" i="5"/>
  <c r="AG441" i="5"/>
  <c r="AN441" i="5"/>
  <c r="AH441" i="5"/>
  <c r="AR441" i="5"/>
  <c r="AE441" i="5"/>
  <c r="AD441" i="5"/>
  <c r="AA441" i="5"/>
  <c r="AK491" i="5"/>
  <c r="AA12" i="5"/>
  <c r="AB12" i="5"/>
  <c r="Y12" i="5"/>
  <c r="AJ46" i="5"/>
  <c r="T230" i="5"/>
  <c r="AO333" i="5"/>
  <c r="Y167" i="5"/>
  <c r="X167" i="5"/>
  <c r="AW282" i="5"/>
  <c r="AP282" i="5"/>
  <c r="AN282" i="5"/>
  <c r="AO282" i="5"/>
  <c r="AP333" i="5"/>
  <c r="AP82" i="5"/>
  <c r="AT82" i="5"/>
  <c r="AQ82" i="5"/>
  <c r="AO82" i="5"/>
  <c r="AB99" i="5"/>
  <c r="T199" i="5"/>
  <c r="AU199" i="5" s="1"/>
  <c r="AA236" i="5"/>
  <c r="R236" i="5"/>
  <c r="X236" i="5"/>
  <c r="AT241" i="5"/>
  <c r="AI251" i="5"/>
  <c r="AF251" i="5"/>
  <c r="T97" i="5"/>
  <c r="AR245" i="5"/>
  <c r="AS245" i="5"/>
  <c r="V62" i="5"/>
  <c r="AK62" i="5"/>
  <c r="AJ62" i="5"/>
  <c r="U62" i="5"/>
  <c r="AJ152" i="5"/>
  <c r="AG152" i="5"/>
  <c r="AE152" i="5"/>
  <c r="S152" i="5"/>
  <c r="R152" i="5"/>
  <c r="AT152" i="5"/>
  <c r="AR152" i="5"/>
  <c r="AQ152" i="5"/>
  <c r="AM152" i="5"/>
  <c r="AK152" i="5"/>
  <c r="AI152" i="5"/>
  <c r="AS152" i="5"/>
  <c r="AL152" i="5"/>
  <c r="AH152" i="5"/>
  <c r="AD152" i="5"/>
  <c r="AW210" i="5"/>
  <c r="AU210" i="5"/>
  <c r="AX210" i="5" s="1"/>
  <c r="AS210" i="5"/>
  <c r="S210" i="5"/>
  <c r="AN403" i="5"/>
  <c r="AW494" i="5"/>
  <c r="AQ62" i="5"/>
  <c r="S211" i="5"/>
  <c r="R211" i="5"/>
  <c r="AM352" i="5"/>
  <c r="AL352" i="5"/>
  <c r="AI110" i="5"/>
  <c r="AO108" i="5"/>
  <c r="S108" i="5"/>
  <c r="R108" i="5"/>
  <c r="AM108" i="5"/>
  <c r="T108" i="5"/>
  <c r="AU108" i="5" s="1"/>
  <c r="AV108" i="5" s="1"/>
  <c r="AR141" i="5"/>
  <c r="AN54" i="5"/>
  <c r="U57" i="5"/>
  <c r="S115" i="5"/>
  <c r="AN136" i="5"/>
  <c r="AF137" i="5"/>
  <c r="AE190" i="5"/>
  <c r="U204" i="5"/>
  <c r="AR258" i="5"/>
  <c r="AQ258" i="5"/>
  <c r="Y258" i="5"/>
  <c r="S258" i="5"/>
  <c r="R258" i="5"/>
  <c r="AI258" i="5"/>
  <c r="AO258" i="5"/>
  <c r="X259" i="5"/>
  <c r="S262" i="5"/>
  <c r="R262" i="5"/>
  <c r="AM344" i="5"/>
  <c r="AQ386" i="5"/>
  <c r="AN386" i="5"/>
  <c r="AW386" i="5"/>
  <c r="AT386" i="5"/>
  <c r="AJ386" i="5"/>
  <c r="AI386" i="5"/>
  <c r="AH386" i="5"/>
  <c r="AL386" i="5"/>
  <c r="AE386" i="5"/>
  <c r="AG386" i="5"/>
  <c r="AF386" i="5"/>
  <c r="T386" i="5"/>
  <c r="AU386" i="5" s="1"/>
  <c r="S386" i="5"/>
  <c r="R386" i="5"/>
  <c r="AS386" i="5"/>
  <c r="T275" i="5"/>
  <c r="AU275" i="5" s="1"/>
  <c r="S275" i="5"/>
  <c r="W275" i="5"/>
  <c r="AH293" i="5"/>
  <c r="AM293" i="5"/>
  <c r="AL293" i="5"/>
  <c r="R293" i="5"/>
  <c r="AT293" i="5"/>
  <c r="AO293" i="5"/>
  <c r="AY293" i="5"/>
  <c r="AH396" i="5"/>
  <c r="Z420" i="5"/>
  <c r="AF420" i="5"/>
  <c r="AE420" i="5"/>
  <c r="AI420" i="5"/>
  <c r="AH420" i="5"/>
  <c r="AY420" i="5"/>
  <c r="AR420" i="5"/>
  <c r="AW420" i="5"/>
  <c r="V464" i="5"/>
  <c r="U464" i="5"/>
  <c r="AD492" i="5"/>
  <c r="AC492" i="5"/>
  <c r="AJ492" i="5"/>
  <c r="AI492" i="5"/>
  <c r="AW492" i="5"/>
  <c r="AG492" i="5"/>
  <c r="AA492" i="5"/>
  <c r="AE492" i="5"/>
  <c r="AB492" i="5"/>
  <c r="Z492" i="5"/>
  <c r="AM87" i="5"/>
  <c r="AE87" i="5"/>
  <c r="AS87" i="5"/>
  <c r="Y87" i="5"/>
  <c r="AC169" i="5"/>
  <c r="AA169" i="5"/>
  <c r="V169" i="5"/>
  <c r="AT304" i="5"/>
  <c r="AK335" i="5"/>
  <c r="AG382" i="5"/>
  <c r="AJ396" i="5"/>
  <c r="AO465" i="5"/>
  <c r="AN465" i="5"/>
  <c r="AT465" i="5"/>
  <c r="AS465" i="5"/>
  <c r="AR465" i="5"/>
  <c r="AG465" i="5"/>
  <c r="AA465" i="5"/>
  <c r="AF465" i="5"/>
  <c r="AC465" i="5"/>
  <c r="AH492" i="5"/>
  <c r="T87" i="5"/>
  <c r="X121" i="5"/>
  <c r="T142" i="5"/>
  <c r="AU142" i="5" s="1"/>
  <c r="AH146" i="5"/>
  <c r="U146" i="5"/>
  <c r="X249" i="5"/>
  <c r="U249" i="5"/>
  <c r="R249" i="5"/>
  <c r="AA255" i="5"/>
  <c r="AK396" i="5"/>
  <c r="AC420" i="5"/>
  <c r="AJ449" i="5"/>
  <c r="Z465" i="5"/>
  <c r="AN473" i="5"/>
  <c r="AM473" i="5"/>
  <c r="W473" i="5"/>
  <c r="AJ473" i="5"/>
  <c r="AF489" i="5"/>
  <c r="AL492" i="5"/>
  <c r="AA42" i="5"/>
  <c r="Y52" i="5"/>
  <c r="T65" i="5"/>
  <c r="AU65" i="5" s="1"/>
  <c r="AX65" i="5" s="1"/>
  <c r="V111" i="5"/>
  <c r="AR111" i="5"/>
  <c r="AS111" i="5"/>
  <c r="AO111" i="5"/>
  <c r="AJ128" i="5"/>
  <c r="AY128" i="5"/>
  <c r="V128" i="5"/>
  <c r="R128" i="5"/>
  <c r="T181" i="5"/>
  <c r="AU181" i="5" s="1"/>
  <c r="AV181" i="5" s="1"/>
  <c r="AE189" i="5"/>
  <c r="AC195" i="5"/>
  <c r="Z201" i="5"/>
  <c r="AO205" i="5"/>
  <c r="AA221" i="5"/>
  <c r="AC255" i="5"/>
  <c r="AQ396" i="5"/>
  <c r="AG420" i="5"/>
  <c r="AL449" i="5"/>
  <c r="AJ465" i="5"/>
  <c r="AQ473" i="5"/>
  <c r="AN492" i="5"/>
  <c r="AJ35" i="5"/>
  <c r="Z61" i="5"/>
  <c r="AD77" i="5"/>
  <c r="AD87" i="5"/>
  <c r="AM111" i="5"/>
  <c r="AD125" i="5"/>
  <c r="AN176" i="5"/>
  <c r="T195" i="5"/>
  <c r="AP372" i="5"/>
  <c r="AY372" i="5"/>
  <c r="AR372" i="5"/>
  <c r="AD408" i="5"/>
  <c r="AJ420" i="5"/>
  <c r="AD438" i="5"/>
  <c r="AL438" i="5"/>
  <c r="AK438" i="5"/>
  <c r="AW438" i="5"/>
  <c r="AR438" i="5"/>
  <c r="AQ438" i="5"/>
  <c r="AJ438" i="5"/>
  <c r="AF438" i="5"/>
  <c r="AI438" i="5"/>
  <c r="AH438" i="5"/>
  <c r="AM449" i="5"/>
  <c r="T35" i="5"/>
  <c r="AU35" i="5" s="1"/>
  <c r="AK35" i="5"/>
  <c r="AH42" i="5"/>
  <c r="AB52" i="5"/>
  <c r="AA61" i="5"/>
  <c r="AO87" i="5"/>
  <c r="AT111" i="5"/>
  <c r="AB116" i="5"/>
  <c r="AO176" i="5"/>
  <c r="AB181" i="5"/>
  <c r="AM189" i="5"/>
  <c r="AB201" i="5"/>
  <c r="Y207" i="5"/>
  <c r="V207" i="5"/>
  <c r="Y225" i="5"/>
  <c r="AH287" i="5"/>
  <c r="AG287" i="5"/>
  <c r="AJ293" i="5"/>
  <c r="U312" i="5"/>
  <c r="S312" i="5"/>
  <c r="AC312" i="5"/>
  <c r="AH312" i="5"/>
  <c r="AH325" i="5"/>
  <c r="AK364" i="5"/>
  <c r="AC370" i="5"/>
  <c r="AK420" i="5"/>
  <c r="AM438" i="5"/>
  <c r="AL35" i="5"/>
  <c r="AL42" i="5"/>
  <c r="AP66" i="5"/>
  <c r="S66" i="5"/>
  <c r="R66" i="5"/>
  <c r="AE69" i="5"/>
  <c r="AG77" i="5"/>
  <c r="AP87" i="5"/>
  <c r="AW111" i="5"/>
  <c r="AY116" i="5"/>
  <c r="AO118" i="5"/>
  <c r="AY118" i="5"/>
  <c r="AW118" i="5"/>
  <c r="AL118" i="5"/>
  <c r="AM118" i="5"/>
  <c r="AC121" i="5"/>
  <c r="AH128" i="5"/>
  <c r="AR133" i="5"/>
  <c r="Y163" i="5"/>
  <c r="W163" i="5"/>
  <c r="AA163" i="5"/>
  <c r="U163" i="5"/>
  <c r="V163" i="5"/>
  <c r="AC163" i="5"/>
  <c r="AB163" i="5"/>
  <c r="AC181" i="5"/>
  <c r="AO189" i="5"/>
  <c r="AH195" i="5"/>
  <c r="AC201" i="5"/>
  <c r="AI206" i="5"/>
  <c r="T206" i="5"/>
  <c r="AU206" i="5" s="1"/>
  <c r="AB225" i="5"/>
  <c r="AK312" i="5"/>
  <c r="AP331" i="5"/>
  <c r="AN331" i="5"/>
  <c r="AF331" i="5"/>
  <c r="AE331" i="5"/>
  <c r="AJ331" i="5"/>
  <c r="AI331" i="5"/>
  <c r="AH331" i="5"/>
  <c r="AG331" i="5"/>
  <c r="AC331" i="5"/>
  <c r="AD331" i="5"/>
  <c r="AB331" i="5"/>
  <c r="AL364" i="5"/>
  <c r="Z407" i="5"/>
  <c r="Y407" i="5"/>
  <c r="X407" i="5"/>
  <c r="AF408" i="5"/>
  <c r="AY425" i="5"/>
  <c r="AF425" i="5"/>
  <c r="U425" i="5"/>
  <c r="AQ35" i="5"/>
  <c r="AF47" i="5"/>
  <c r="AF52" i="5"/>
  <c r="AI69" i="5"/>
  <c r="AH92" i="5"/>
  <c r="AK92" i="5"/>
  <c r="AI92" i="5"/>
  <c r="AJ92" i="5"/>
  <c r="AC118" i="5"/>
  <c r="AE121" i="5"/>
  <c r="AI128" i="5"/>
  <c r="AD160" i="5"/>
  <c r="AI160" i="5"/>
  <c r="AH163" i="5"/>
  <c r="AI195" i="5"/>
  <c r="AD201" i="5"/>
  <c r="W222" i="5"/>
  <c r="U222" i="5"/>
  <c r="V222" i="5"/>
  <c r="AR35" i="5"/>
  <c r="AJ69" i="5"/>
  <c r="AD112" i="5"/>
  <c r="AJ134" i="5"/>
  <c r="AI163" i="5"/>
  <c r="AH181" i="5"/>
  <c r="AK195" i="5"/>
  <c r="AD225" i="5"/>
  <c r="AT239" i="5"/>
  <c r="AK331" i="5"/>
  <c r="AP339" i="5"/>
  <c r="AO42" i="5"/>
  <c r="AW49" i="5"/>
  <c r="V49" i="5"/>
  <c r="AT49" i="5"/>
  <c r="AN61" i="5"/>
  <c r="AM92" i="5"/>
  <c r="AE112" i="5"/>
  <c r="AM128" i="5"/>
  <c r="AP134" i="5"/>
  <c r="AR154" i="5"/>
  <c r="AQ154" i="5"/>
  <c r="AO154" i="5"/>
  <c r="AN154" i="5"/>
  <c r="AE154" i="5"/>
  <c r="AD154" i="5"/>
  <c r="AC154" i="5"/>
  <c r="AT189" i="5"/>
  <c r="AY312" i="5"/>
  <c r="AY319" i="5"/>
  <c r="AL325" i="5"/>
  <c r="AL331" i="5"/>
  <c r="AT339" i="5"/>
  <c r="AK408" i="5"/>
  <c r="AQ416" i="5"/>
  <c r="AP420" i="5"/>
  <c r="AW439" i="5"/>
  <c r="AC439" i="5"/>
  <c r="AB439" i="5"/>
  <c r="Y439" i="5"/>
  <c r="X439" i="5"/>
  <c r="S439" i="5"/>
  <c r="AI439" i="5"/>
  <c r="AJ452" i="5"/>
  <c r="AP499" i="5"/>
  <c r="AJ501" i="5"/>
  <c r="AD501" i="5"/>
  <c r="AT501" i="5"/>
  <c r="AS501" i="5"/>
  <c r="AL501" i="5"/>
  <c r="AN501" i="5"/>
  <c r="AM501" i="5"/>
  <c r="AB501" i="5"/>
  <c r="AM41" i="5"/>
  <c r="AL41" i="5"/>
  <c r="AK41" i="5"/>
  <c r="AI41" i="5"/>
  <c r="AJ41" i="5"/>
  <c r="Z41" i="5"/>
  <c r="AP42" i="5"/>
  <c r="T49" i="5"/>
  <c r="AU49" i="5" s="1"/>
  <c r="AP92" i="5"/>
  <c r="AF118" i="5"/>
  <c r="AN128" i="5"/>
  <c r="R140" i="5"/>
  <c r="T140" i="5"/>
  <c r="AU140" i="5" s="1"/>
  <c r="S140" i="5"/>
  <c r="AS140" i="5"/>
  <c r="AB154" i="5"/>
  <c r="AK163" i="5"/>
  <c r="AP215" i="5"/>
  <c r="AO215" i="5"/>
  <c r="AS215" i="5"/>
  <c r="AW215" i="5"/>
  <c r="S215" i="5"/>
  <c r="R215" i="5"/>
  <c r="AG215" i="5"/>
  <c r="AH225" i="5"/>
  <c r="AR315" i="5"/>
  <c r="AC315" i="5"/>
  <c r="AK315" i="5"/>
  <c r="AJ315" i="5"/>
  <c r="AE315" i="5"/>
  <c r="AD315" i="5"/>
  <c r="AB315" i="5"/>
  <c r="AW315" i="5"/>
  <c r="AO315" i="5"/>
  <c r="AT315" i="5"/>
  <c r="AN315" i="5"/>
  <c r="Z315" i="5"/>
  <c r="AM331" i="5"/>
  <c r="AS384" i="5"/>
  <c r="AR416" i="5"/>
  <c r="AJ439" i="5"/>
  <c r="AM443" i="5"/>
  <c r="AQ499" i="5"/>
  <c r="AC501" i="5"/>
  <c r="V250" i="5"/>
  <c r="S250" i="5"/>
  <c r="AG250" i="5"/>
  <c r="AA250" i="5"/>
  <c r="AC293" i="5"/>
  <c r="AM396" i="5"/>
  <c r="AL396" i="5"/>
  <c r="AT396" i="5"/>
  <c r="AA420" i="5"/>
  <c r="AQ464" i="5"/>
  <c r="X142" i="5"/>
  <c r="AD176" i="5"/>
  <c r="AH176" i="5"/>
  <c r="AG176" i="5"/>
  <c r="AF176" i="5"/>
  <c r="AS176" i="5"/>
  <c r="AC176" i="5"/>
  <c r="AP188" i="5"/>
  <c r="AA200" i="5"/>
  <c r="AL200" i="5"/>
  <c r="AI200" i="5"/>
  <c r="AN247" i="5"/>
  <c r="V247" i="5"/>
  <c r="S247" i="5"/>
  <c r="AA261" i="5"/>
  <c r="U261" i="5"/>
  <c r="T261" i="5"/>
  <c r="AU261" i="5" s="1"/>
  <c r="AD293" i="5"/>
  <c r="AO335" i="5"/>
  <c r="AN335" i="5"/>
  <c r="AT335" i="5"/>
  <c r="AY355" i="5"/>
  <c r="T355" i="5"/>
  <c r="AU355" i="5" s="1"/>
  <c r="AO382" i="5"/>
  <c r="AW382" i="5"/>
  <c r="R382" i="5"/>
  <c r="AQ382" i="5"/>
  <c r="AP382" i="5"/>
  <c r="AN382" i="5"/>
  <c r="AE382" i="5"/>
  <c r="AD382" i="5"/>
  <c r="AC382" i="5"/>
  <c r="W382" i="5"/>
  <c r="T382" i="5"/>
  <c r="AU382" i="5" s="1"/>
  <c r="S382" i="5"/>
  <c r="AB420" i="5"/>
  <c r="Z87" i="5"/>
  <c r="AO121" i="5"/>
  <c r="AD121" i="5"/>
  <c r="AI121" i="5"/>
  <c r="AH121" i="5"/>
  <c r="AK121" i="5"/>
  <c r="AG121" i="5"/>
  <c r="AJ121" i="5"/>
  <c r="S131" i="5"/>
  <c r="R131" i="5"/>
  <c r="AI133" i="5"/>
  <c r="Y142" i="5"/>
  <c r="AJ146" i="5"/>
  <c r="AI150" i="5"/>
  <c r="Z150" i="5"/>
  <c r="Y150" i="5"/>
  <c r="AE176" i="5"/>
  <c r="AO200" i="5"/>
  <c r="AN255" i="5"/>
  <c r="AK255" i="5"/>
  <c r="AY255" i="5"/>
  <c r="AW255" i="5"/>
  <c r="AE293" i="5"/>
  <c r="AW304" i="5"/>
  <c r="AM335" i="5"/>
  <c r="AH382" i="5"/>
  <c r="AJ406" i="5"/>
  <c r="AI406" i="5"/>
  <c r="AC406" i="5"/>
  <c r="AB406" i="5"/>
  <c r="AG406" i="5"/>
  <c r="AF406" i="5"/>
  <c r="AE406" i="5"/>
  <c r="AS406" i="5"/>
  <c r="AR406" i="5"/>
  <c r="AN406" i="5"/>
  <c r="AM406" i="5"/>
  <c r="AA406" i="5"/>
  <c r="AR489" i="5"/>
  <c r="AO489" i="5"/>
  <c r="AQ489" i="5"/>
  <c r="AP489" i="5"/>
  <c r="AG34" i="5"/>
  <c r="AF34" i="5"/>
  <c r="V34" i="5"/>
  <c r="T34" i="5"/>
  <c r="U34" i="5"/>
  <c r="Z42" i="5"/>
  <c r="Y65" i="5"/>
  <c r="AR65" i="5"/>
  <c r="AW65" i="5"/>
  <c r="AT65" i="5"/>
  <c r="AS65" i="5"/>
  <c r="AG65" i="5"/>
  <c r="AA87" i="5"/>
  <c r="Y121" i="5"/>
  <c r="AI123" i="5"/>
  <c r="W123" i="5"/>
  <c r="AK123" i="5"/>
  <c r="AM133" i="5"/>
  <c r="Z147" i="5"/>
  <c r="AA147" i="5"/>
  <c r="AW147" i="5"/>
  <c r="AQ147" i="5"/>
  <c r="AR147" i="5"/>
  <c r="AM147" i="5"/>
  <c r="AG173" i="5"/>
  <c r="AM173" i="5"/>
  <c r="AR173" i="5"/>
  <c r="AY173" i="5"/>
  <c r="AK173" i="5"/>
  <c r="AL176" i="5"/>
  <c r="AL181" i="5"/>
  <c r="AS181" i="5"/>
  <c r="R181" i="5"/>
  <c r="AP181" i="5"/>
  <c r="AQ181" i="5"/>
  <c r="AG181" i="5"/>
  <c r="AF181" i="5"/>
  <c r="AE181" i="5"/>
  <c r="Y181" i="5"/>
  <c r="AB189" i="5"/>
  <c r="AL189" i="5"/>
  <c r="AJ189" i="5"/>
  <c r="AK189" i="5"/>
  <c r="AD189" i="5"/>
  <c r="AC189" i="5"/>
  <c r="AA189" i="5"/>
  <c r="Y189" i="5"/>
  <c r="AP200" i="5"/>
  <c r="AR205" i="5"/>
  <c r="AP205" i="5"/>
  <c r="AQ205" i="5"/>
  <c r="AN205" i="5"/>
  <c r="AI221" i="5"/>
  <c r="AB221" i="5"/>
  <c r="AW221" i="5"/>
  <c r="AT221" i="5"/>
  <c r="AS221" i="5"/>
  <c r="S221" i="5"/>
  <c r="Z221" i="5"/>
  <c r="T255" i="5"/>
  <c r="AU255" i="5" s="1"/>
  <c r="AB255" i="5"/>
  <c r="AY260" i="5"/>
  <c r="S260" i="5"/>
  <c r="R260" i="5"/>
  <c r="AK286" i="5"/>
  <c r="AS286" i="5"/>
  <c r="AM286" i="5"/>
  <c r="AW286" i="5"/>
  <c r="AT286" i="5"/>
  <c r="AJ286" i="5"/>
  <c r="AH286" i="5"/>
  <c r="AI288" i="5"/>
  <c r="AJ288" i="5"/>
  <c r="AS288" i="5"/>
  <c r="AO288" i="5"/>
  <c r="AF293" i="5"/>
  <c r="AR335" i="5"/>
  <c r="AI382" i="5"/>
  <c r="AN396" i="5"/>
  <c r="AD406" i="5"/>
  <c r="AD420" i="5"/>
  <c r="AK449" i="5"/>
  <c r="AI465" i="5"/>
  <c r="AL473" i="5"/>
  <c r="AH489" i="5"/>
  <c r="AM492" i="5"/>
  <c r="AT34" i="5"/>
  <c r="Z52" i="5"/>
  <c r="AD52" i="5"/>
  <c r="AC52" i="5"/>
  <c r="AM52" i="5"/>
  <c r="AL52" i="5"/>
  <c r="AK52" i="5"/>
  <c r="AH61" i="5"/>
  <c r="AG61" i="5"/>
  <c r="AF61" i="5"/>
  <c r="AE61" i="5"/>
  <c r="Y61" i="5"/>
  <c r="AP65" i="5"/>
  <c r="U77" i="5"/>
  <c r="AF77" i="5"/>
  <c r="AB87" i="5"/>
  <c r="Z121" i="5"/>
  <c r="AE128" i="5"/>
  <c r="AN133" i="5"/>
  <c r="AM176" i="5"/>
  <c r="Z181" i="5"/>
  <c r="AF195" i="5"/>
  <c r="AN195" i="5"/>
  <c r="AK201" i="5"/>
  <c r="AF201" i="5"/>
  <c r="AH201" i="5"/>
  <c r="AT201" i="5"/>
  <c r="AW201" i="5"/>
  <c r="AI286" i="5"/>
  <c r="AG293" i="5"/>
  <c r="AR306" i="5"/>
  <c r="U381" i="5"/>
  <c r="W381" i="5"/>
  <c r="V381" i="5"/>
  <c r="AJ382" i="5"/>
  <c r="AH406" i="5"/>
  <c r="AB42" i="5"/>
  <c r="AD47" i="5"/>
  <c r="AR47" i="5"/>
  <c r="AO47" i="5"/>
  <c r="AM47" i="5"/>
  <c r="AA52" i="5"/>
  <c r="AQ65" i="5"/>
  <c r="AT67" i="5"/>
  <c r="W67" i="5"/>
  <c r="V67" i="5"/>
  <c r="AA121" i="5"/>
  <c r="AN125" i="5"/>
  <c r="AE125" i="5"/>
  <c r="AW125" i="5"/>
  <c r="AT125" i="5"/>
  <c r="AR125" i="5"/>
  <c r="AF128" i="5"/>
  <c r="AO133" i="5"/>
  <c r="AO148" i="5"/>
  <c r="V148" i="5"/>
  <c r="U148" i="5"/>
  <c r="R148" i="5"/>
  <c r="AA181" i="5"/>
  <c r="AI189" i="5"/>
  <c r="AE195" i="5"/>
  <c r="AA201" i="5"/>
  <c r="AS205" i="5"/>
  <c r="AG223" i="5"/>
  <c r="AB223" i="5"/>
  <c r="AA223" i="5"/>
  <c r="Z223" i="5"/>
  <c r="AY286" i="5"/>
  <c r="AI293" i="5"/>
  <c r="AJ322" i="5"/>
  <c r="AH322" i="5"/>
  <c r="AD370" i="5"/>
  <c r="U370" i="5"/>
  <c r="AI370" i="5"/>
  <c r="AH370" i="5"/>
  <c r="AT370" i="5"/>
  <c r="AE370" i="5"/>
  <c r="AG370" i="5"/>
  <c r="AF370" i="5"/>
  <c r="AB370" i="5"/>
  <c r="AK382" i="5"/>
  <c r="AR396" i="5"/>
  <c r="AS408" i="5"/>
  <c r="AO408" i="5"/>
  <c r="AI408" i="5"/>
  <c r="AH408" i="5"/>
  <c r="AY408" i="5"/>
  <c r="AT408" i="5"/>
  <c r="X408" i="5"/>
  <c r="U408" i="5"/>
  <c r="AE438" i="5"/>
  <c r="AW452" i="5"/>
  <c r="S452" i="5"/>
  <c r="AT452" i="5"/>
  <c r="R452" i="5"/>
  <c r="AG452" i="5"/>
  <c r="AF452" i="5"/>
  <c r="AN452" i="5"/>
  <c r="AM452" i="5"/>
  <c r="AK452" i="5"/>
  <c r="Z452" i="5"/>
  <c r="AK465" i="5"/>
  <c r="AO492" i="5"/>
  <c r="AC47" i="5"/>
  <c r="AY65" i="5"/>
  <c r="AS67" i="5"/>
  <c r="AE77" i="5"/>
  <c r="AB121" i="5"/>
  <c r="V127" i="5"/>
  <c r="U127" i="5"/>
  <c r="AG128" i="5"/>
  <c r="AP133" i="5"/>
  <c r="AG195" i="5"/>
  <c r="AQ221" i="5"/>
  <c r="AQ255" i="5"/>
  <c r="AE325" i="5"/>
  <c r="AN325" i="5"/>
  <c r="AO325" i="5"/>
  <c r="AL382" i="5"/>
  <c r="AL406" i="5"/>
  <c r="AE408" i="5"/>
  <c r="T452" i="5"/>
  <c r="AB452" i="5"/>
  <c r="AL465" i="5"/>
  <c r="AR492" i="5"/>
  <c r="AE47" i="5"/>
  <c r="AE52" i="5"/>
  <c r="AB61" i="5"/>
  <c r="AP69" i="5"/>
  <c r="T69" i="5"/>
  <c r="AU69" i="5" s="1"/>
  <c r="S69" i="5"/>
  <c r="T104" i="5"/>
  <c r="AU104" i="5" s="1"/>
  <c r="S104" i="5"/>
  <c r="R104" i="5"/>
  <c r="AS104" i="5"/>
  <c r="AN116" i="5"/>
  <c r="AB118" i="5"/>
  <c r="AY125" i="5"/>
  <c r="AG163" i="5"/>
  <c r="AP176" i="5"/>
  <c r="AR221" i="5"/>
  <c r="V238" i="5"/>
  <c r="T238" i="5"/>
  <c r="AU238" i="5" s="1"/>
  <c r="U238" i="5"/>
  <c r="AK238" i="5"/>
  <c r="AR255" i="5"/>
  <c r="AK293" i="5"/>
  <c r="AI325" i="5"/>
  <c r="X331" i="5"/>
  <c r="AL420" i="5"/>
  <c r="AW425" i="5"/>
  <c r="AN438" i="5"/>
  <c r="AD451" i="5"/>
  <c r="W451" i="5"/>
  <c r="S451" i="5"/>
  <c r="AC452" i="5"/>
  <c r="AQ465" i="5"/>
  <c r="AM42" i="5"/>
  <c r="AD61" i="5"/>
  <c r="AH77" i="5"/>
  <c r="AQ87" i="5"/>
  <c r="V112" i="5"/>
  <c r="AY112" i="5"/>
  <c r="AC112" i="5"/>
  <c r="AP116" i="5"/>
  <c r="W126" i="5"/>
  <c r="T126" i="5"/>
  <c r="S126" i="5"/>
  <c r="AS133" i="5"/>
  <c r="AC160" i="5"/>
  <c r="AD181" i="5"/>
  <c r="AP189" i="5"/>
  <c r="AC225" i="5"/>
  <c r="AQ239" i="5"/>
  <c r="U270" i="5"/>
  <c r="T270" i="5"/>
  <c r="S270" i="5"/>
  <c r="AN293" i="5"/>
  <c r="AN312" i="5"/>
  <c r="AJ325" i="5"/>
  <c r="Y331" i="5"/>
  <c r="AA339" i="5"/>
  <c r="Y339" i="5"/>
  <c r="Z339" i="5"/>
  <c r="AO339" i="5"/>
  <c r="AM364" i="5"/>
  <c r="AB371" i="5"/>
  <c r="AJ371" i="5"/>
  <c r="AI371" i="5"/>
  <c r="AY382" i="5"/>
  <c r="AG408" i="5"/>
  <c r="AM420" i="5"/>
  <c r="AO438" i="5"/>
  <c r="AH452" i="5"/>
  <c r="AC11" i="5"/>
  <c r="AG11" i="5"/>
  <c r="AA11" i="5"/>
  <c r="AB11" i="5"/>
  <c r="AN42" i="5"/>
  <c r="AG47" i="5"/>
  <c r="AG52" i="5"/>
  <c r="AM61" i="5"/>
  <c r="AI77" i="5"/>
  <c r="AR87" i="5"/>
  <c r="AL92" i="5"/>
  <c r="AK106" i="5"/>
  <c r="AR116" i="5"/>
  <c r="AD118" i="5"/>
  <c r="AF121" i="5"/>
  <c r="AK128" i="5"/>
  <c r="AO134" i="5"/>
  <c r="AN134" i="5"/>
  <c r="AP162" i="5"/>
  <c r="AU162" i="5"/>
  <c r="AX162" i="5" s="1"/>
  <c r="AT162" i="5"/>
  <c r="AS162" i="5"/>
  <c r="AR162" i="5"/>
  <c r="T162" i="5"/>
  <c r="R162" i="5"/>
  <c r="S162" i="5"/>
  <c r="AR176" i="5"/>
  <c r="AQ189" i="5"/>
  <c r="AE201" i="5"/>
  <c r="Z232" i="5"/>
  <c r="V232" i="5"/>
  <c r="U232" i="5"/>
  <c r="AY239" i="5"/>
  <c r="AS312" i="5"/>
  <c r="AK325" i="5"/>
  <c r="Y383" i="5"/>
  <c r="X383" i="5"/>
  <c r="W383" i="5"/>
  <c r="AC383" i="5"/>
  <c r="AA383" i="5"/>
  <c r="AQ383" i="5"/>
  <c r="AJ408" i="5"/>
  <c r="AP416" i="5"/>
  <c r="AO420" i="5"/>
  <c r="AP438" i="5"/>
  <c r="AI452" i="5"/>
  <c r="AY9" i="5"/>
  <c r="AA29" i="5"/>
  <c r="AK47" i="5"/>
  <c r="AH52" i="5"/>
  <c r="AK69" i="5"/>
  <c r="AJ77" i="5"/>
  <c r="AQ107" i="5"/>
  <c r="AP107" i="5"/>
  <c r="AL107" i="5"/>
  <c r="AE118" i="5"/>
  <c r="AL121" i="5"/>
  <c r="AA154" i="5"/>
  <c r="AJ163" i="5"/>
  <c r="AI181" i="5"/>
  <c r="AO195" i="5"/>
  <c r="AL201" i="5"/>
  <c r="AG225" i="5"/>
  <c r="AF237" i="5"/>
  <c r="W237" i="5"/>
  <c r="V237" i="5"/>
  <c r="U237" i="5"/>
  <c r="AA41" i="5"/>
  <c r="AQ42" i="5"/>
  <c r="AY47" i="5"/>
  <c r="AJ52" i="5"/>
  <c r="AS61" i="5"/>
  <c r="AN69" i="5"/>
  <c r="AN77" i="5"/>
  <c r="AQ92" i="5"/>
  <c r="AO107" i="5"/>
  <c r="AG112" i="5"/>
  <c r="AJ118" i="5"/>
  <c r="AN121" i="5"/>
  <c r="AO128" i="5"/>
  <c r="AR134" i="5"/>
  <c r="AT140" i="5"/>
  <c r="AF154" i="5"/>
  <c r="AO163" i="5"/>
  <c r="AM181" i="5"/>
  <c r="AY189" i="5"/>
  <c r="AQ195" i="5"/>
  <c r="AN201" i="5"/>
  <c r="AH215" i="5"/>
  <c r="W303" i="5"/>
  <c r="AE303" i="5"/>
  <c r="AR303" i="5"/>
  <c r="AQ303" i="5"/>
  <c r="S303" i="5"/>
  <c r="R303" i="5"/>
  <c r="AC303" i="5"/>
  <c r="AY315" i="5"/>
  <c r="AA315" i="5"/>
  <c r="AO331" i="5"/>
  <c r="AS416" i="5"/>
  <c r="AN439" i="5"/>
  <c r="AQ452" i="5"/>
  <c r="X460" i="5"/>
  <c r="V460" i="5"/>
  <c r="AM460" i="5"/>
  <c r="AJ460" i="5"/>
  <c r="Y460" i="5"/>
  <c r="S481" i="5"/>
  <c r="AH481" i="5"/>
  <c r="U481" i="5"/>
  <c r="T481" i="5"/>
  <c r="AO481" i="5"/>
  <c r="AY484" i="5"/>
  <c r="AW484" i="5"/>
  <c r="AP484" i="5"/>
  <c r="AO484" i="5"/>
  <c r="AT484" i="5"/>
  <c r="AR484" i="5"/>
  <c r="Y484" i="5"/>
  <c r="AK501" i="5"/>
  <c r="AD311" i="5"/>
  <c r="AR311" i="5"/>
  <c r="AQ311" i="5"/>
  <c r="W311" i="5"/>
  <c r="V311" i="5"/>
  <c r="AI366" i="5"/>
  <c r="AH366" i="5"/>
  <c r="AT366" i="5"/>
  <c r="T48" i="5"/>
  <c r="AU48" i="5" s="1"/>
  <c r="U48" i="5"/>
  <c r="S48" i="5"/>
  <c r="AK81" i="5"/>
  <c r="AG214" i="5"/>
  <c r="V214" i="5"/>
  <c r="AI214" i="5"/>
  <c r="U214" i="5"/>
  <c r="AH214" i="5"/>
  <c r="AW217" i="5"/>
  <c r="AP220" i="5"/>
  <c r="AL311" i="5"/>
  <c r="W326" i="5"/>
  <c r="AK326" i="5"/>
  <c r="AJ326" i="5"/>
  <c r="AM326" i="5"/>
  <c r="AL326" i="5"/>
  <c r="AI326" i="5"/>
  <c r="AF366" i="5"/>
  <c r="AS470" i="5"/>
  <c r="AY479" i="5"/>
  <c r="V479" i="5"/>
  <c r="S479" i="5"/>
  <c r="AW479" i="5"/>
  <c r="T79" i="5"/>
  <c r="AK79" i="5"/>
  <c r="AJ79" i="5"/>
  <c r="AI79" i="5"/>
  <c r="T214" i="5"/>
  <c r="AU214" i="5" s="1"/>
  <c r="AV214" i="5" s="1"/>
  <c r="AR214" i="5"/>
  <c r="AY217" i="5"/>
  <c r="AQ220" i="5"/>
  <c r="AJ228" i="5"/>
  <c r="AI228" i="5"/>
  <c r="AH228" i="5"/>
  <c r="AG228" i="5"/>
  <c r="AR246" i="5"/>
  <c r="AT266" i="5"/>
  <c r="AL266" i="5"/>
  <c r="AK266" i="5"/>
  <c r="AB266" i="5"/>
  <c r="Z266" i="5"/>
  <c r="AA266" i="5"/>
  <c r="Y266" i="5"/>
  <c r="AY272" i="5"/>
  <c r="V272" i="5"/>
  <c r="AM272" i="5"/>
  <c r="AN274" i="5"/>
  <c r="AR274" i="5"/>
  <c r="AQ274" i="5"/>
  <c r="AP274" i="5"/>
  <c r="Z276" i="5"/>
  <c r="Y276" i="5"/>
  <c r="AJ276" i="5"/>
  <c r="X310" i="5"/>
  <c r="W310" i="5"/>
  <c r="AM311" i="5"/>
  <c r="AB326" i="5"/>
  <c r="AG350" i="5"/>
  <c r="AD350" i="5"/>
  <c r="AC350" i="5"/>
  <c r="AG366" i="5"/>
  <c r="AK418" i="5"/>
  <c r="T431" i="5"/>
  <c r="AU431" i="5" s="1"/>
  <c r="AV431" i="5" s="1"/>
  <c r="S431" i="5"/>
  <c r="AG431" i="5"/>
  <c r="T448" i="5"/>
  <c r="AU448" i="5" s="1"/>
  <c r="R448" i="5"/>
  <c r="AH448" i="5"/>
  <c r="S462" i="5"/>
  <c r="AW462" i="5"/>
  <c r="R462" i="5"/>
  <c r="Z462" i="5"/>
  <c r="W462" i="5"/>
  <c r="AT462" i="5"/>
  <c r="AR462" i="5"/>
  <c r="AQ462" i="5"/>
  <c r="AD462" i="5"/>
  <c r="AT470" i="5"/>
  <c r="AY213" i="5"/>
  <c r="AT213" i="5"/>
  <c r="AS213" i="5"/>
  <c r="AR213" i="5"/>
  <c r="AN213" i="5"/>
  <c r="AO220" i="5"/>
  <c r="AF311" i="5"/>
  <c r="AY358" i="5"/>
  <c r="AE366" i="5"/>
  <c r="AK424" i="5"/>
  <c r="V424" i="5"/>
  <c r="R424" i="5"/>
  <c r="AE453" i="5"/>
  <c r="W453" i="5"/>
  <c r="AY492" i="5"/>
  <c r="AP81" i="5"/>
  <c r="T81" i="5"/>
  <c r="AU81" i="5" s="1"/>
  <c r="AV81" i="5" s="1"/>
  <c r="S81" i="5"/>
  <c r="AQ214" i="5"/>
  <c r="X231" i="5"/>
  <c r="V231" i="5"/>
  <c r="AM79" i="5"/>
  <c r="AM81" i="5"/>
  <c r="AS214" i="5"/>
  <c r="AK228" i="5"/>
  <c r="S252" i="5"/>
  <c r="AB252" i="5"/>
  <c r="T252" i="5"/>
  <c r="AU252" i="5" s="1"/>
  <c r="W252" i="5"/>
  <c r="AK252" i="5"/>
  <c r="AC266" i="5"/>
  <c r="AN272" i="5"/>
  <c r="AS274" i="5"/>
  <c r="AK276" i="5"/>
  <c r="AP311" i="5"/>
  <c r="AC326" i="5"/>
  <c r="AQ355" i="5"/>
  <c r="AG355" i="5"/>
  <c r="AK355" i="5"/>
  <c r="AJ355" i="5"/>
  <c r="AL355" i="5"/>
  <c r="AI355" i="5"/>
  <c r="AH355" i="5"/>
  <c r="Y355" i="5"/>
  <c r="AM366" i="5"/>
  <c r="AS401" i="5"/>
  <c r="AQ401" i="5"/>
  <c r="X401" i="5"/>
  <c r="AG401" i="5"/>
  <c r="AQ418" i="5"/>
  <c r="X423" i="5"/>
  <c r="AJ423" i="5"/>
  <c r="W423" i="5"/>
  <c r="AH431" i="5"/>
  <c r="AK448" i="5"/>
  <c r="AS457" i="5"/>
  <c r="AR457" i="5"/>
  <c r="T457" i="5"/>
  <c r="AU457" i="5" s="1"/>
  <c r="AX457" i="5" s="1"/>
  <c r="S457" i="5"/>
  <c r="AH457" i="5"/>
  <c r="AE462" i="5"/>
  <c r="V478" i="5"/>
  <c r="AE478" i="5"/>
  <c r="AN235" i="5"/>
  <c r="AM235" i="5"/>
  <c r="Y235" i="5"/>
  <c r="AW240" i="5"/>
  <c r="AR240" i="5"/>
  <c r="X240" i="5"/>
  <c r="AA336" i="5"/>
  <c r="AW336" i="5"/>
  <c r="X336" i="5"/>
  <c r="S467" i="5"/>
  <c r="R467" i="5"/>
  <c r="AG467" i="5"/>
  <c r="AE467" i="5"/>
  <c r="AB467" i="5"/>
  <c r="AH472" i="5"/>
  <c r="AG472" i="5"/>
  <c r="AF472" i="5"/>
  <c r="Y486" i="5"/>
  <c r="X486" i="5"/>
  <c r="V486" i="5"/>
  <c r="Z486" i="5"/>
  <c r="S486" i="5"/>
  <c r="AG486" i="5"/>
  <c r="AA495" i="5"/>
  <c r="AW495" i="5"/>
  <c r="AQ495" i="5"/>
  <c r="AD495" i="5"/>
  <c r="Z44" i="5"/>
  <c r="Z60" i="5"/>
  <c r="T62" i="5"/>
  <c r="AU62" i="5" s="1"/>
  <c r="Z235" i="5"/>
  <c r="AC240" i="5"/>
  <c r="AD269" i="5"/>
  <c r="AC308" i="5"/>
  <c r="Y336" i="5"/>
  <c r="AG410" i="5"/>
  <c r="T410" i="5"/>
  <c r="AU410" i="5" s="1"/>
  <c r="AN410" i="5"/>
  <c r="AN422" i="5"/>
  <c r="AC467" i="5"/>
  <c r="AL472" i="5"/>
  <c r="AH486" i="5"/>
  <c r="AS493" i="5"/>
  <c r="AR493" i="5"/>
  <c r="AI493" i="5"/>
  <c r="AE495" i="5"/>
  <c r="AW503" i="5"/>
  <c r="AO503" i="5"/>
  <c r="AM503" i="5"/>
  <c r="Z503" i="5"/>
  <c r="Y31" i="5"/>
  <c r="AA50" i="5"/>
  <c r="AD50" i="5"/>
  <c r="AC119" i="5"/>
  <c r="AA235" i="5"/>
  <c r="AD240" i="5"/>
  <c r="AY269" i="5"/>
  <c r="AF269" i="5"/>
  <c r="Z336" i="5"/>
  <c r="AM378" i="5"/>
  <c r="AG378" i="5"/>
  <c r="W378" i="5"/>
  <c r="T409" i="5"/>
  <c r="AU409" i="5" s="1"/>
  <c r="AO410" i="5"/>
  <c r="AJ446" i="5"/>
  <c r="U446" i="5"/>
  <c r="AY446" i="5"/>
  <c r="T446" i="5"/>
  <c r="AU446" i="5" s="1"/>
  <c r="AX446" i="5" s="1"/>
  <c r="S446" i="5"/>
  <c r="AB446" i="5"/>
  <c r="AD467" i="5"/>
  <c r="AM472" i="5"/>
  <c r="V485" i="5"/>
  <c r="U485" i="5"/>
  <c r="AI486" i="5"/>
  <c r="AJ493" i="5"/>
  <c r="T496" i="5"/>
  <c r="AU496" i="5" s="1"/>
  <c r="AX496" i="5" s="1"/>
  <c r="S496" i="5"/>
  <c r="AG496" i="5"/>
  <c r="AA503" i="5"/>
  <c r="AC203" i="5"/>
  <c r="AD208" i="5"/>
  <c r="AY212" i="5"/>
  <c r="T274" i="5"/>
  <c r="AU274" i="5" s="1"/>
  <c r="AX274" i="5" s="1"/>
  <c r="AM291" i="5"/>
  <c r="AD353" i="5"/>
  <c r="Z353" i="5"/>
  <c r="AF353" i="5"/>
  <c r="AI368" i="5"/>
  <c r="AS388" i="5"/>
  <c r="AA397" i="5"/>
  <c r="AY439" i="5"/>
  <c r="AS445" i="5"/>
  <c r="AR445" i="5"/>
  <c r="X445" i="5"/>
  <c r="AG498" i="5"/>
  <c r="T133" i="5"/>
  <c r="T200" i="5"/>
  <c r="AN291" i="5"/>
  <c r="Z337" i="5"/>
  <c r="AE342" i="5"/>
  <c r="AG353" i="5"/>
  <c r="AS377" i="5"/>
  <c r="AR377" i="5"/>
  <c r="AC377" i="5"/>
  <c r="AT388" i="5"/>
  <c r="AB397" i="5"/>
  <c r="Y445" i="5"/>
  <c r="AY466" i="5"/>
  <c r="T498" i="5"/>
  <c r="AU498" i="5" s="1"/>
  <c r="AX498" i="5" s="1"/>
  <c r="AO507" i="5"/>
  <c r="AN507" i="5"/>
  <c r="AF507" i="5"/>
  <c r="AR450" i="5"/>
  <c r="AG469" i="5"/>
  <c r="AC490" i="5"/>
  <c r="AG447" i="5"/>
  <c r="AH469" i="5"/>
  <c r="AI480" i="5"/>
  <c r="AJ91" i="5"/>
  <c r="AG84" i="5"/>
  <c r="S229" i="5"/>
  <c r="AB229" i="5"/>
  <c r="AC229" i="5"/>
  <c r="AA229" i="5"/>
  <c r="W229" i="5"/>
  <c r="R229" i="5"/>
  <c r="T229" i="5"/>
  <c r="AW229" i="5"/>
  <c r="AU229" i="5"/>
  <c r="AX229" i="5" s="1"/>
  <c r="AT229" i="5"/>
  <c r="AD229" i="5"/>
  <c r="Z229" i="5"/>
  <c r="AE229" i="5"/>
  <c r="AS229" i="5"/>
  <c r="AR229" i="5"/>
  <c r="AP283" i="5"/>
  <c r="AT283" i="5"/>
  <c r="AQ283" i="5"/>
  <c r="AO283" i="5"/>
  <c r="AS283" i="5"/>
  <c r="AR283" i="5"/>
  <c r="AN283" i="5"/>
  <c r="T283" i="5"/>
  <c r="AU283" i="5" s="1"/>
  <c r="AV283" i="5" s="1"/>
  <c r="S283" i="5"/>
  <c r="R283" i="5"/>
  <c r="V283" i="5"/>
  <c r="AK283" i="5"/>
  <c r="V85" i="5"/>
  <c r="AE85" i="5"/>
  <c r="AF85" i="5"/>
  <c r="AC85" i="5"/>
  <c r="AB9" i="5"/>
  <c r="AQ71" i="5"/>
  <c r="AY318" i="5"/>
  <c r="AS318" i="5"/>
  <c r="AH318" i="5"/>
  <c r="AL318" i="5"/>
  <c r="AE318" i="5"/>
  <c r="AB318" i="5"/>
  <c r="Y318" i="5"/>
  <c r="V318" i="5"/>
  <c r="U318" i="5"/>
  <c r="AT318" i="5"/>
  <c r="AR318" i="5"/>
  <c r="AQ318" i="5"/>
  <c r="AA318" i="5"/>
  <c r="Z318" i="5"/>
  <c r="AJ318" i="5"/>
  <c r="R352" i="5"/>
  <c r="T352" i="5"/>
  <c r="AF352" i="5"/>
  <c r="AE352" i="5"/>
  <c r="X352" i="5"/>
  <c r="S352" i="5"/>
  <c r="AU352" i="5"/>
  <c r="AV352" i="5" s="1"/>
  <c r="AT352" i="5"/>
  <c r="AS352" i="5"/>
  <c r="AR352" i="5"/>
  <c r="AQ352" i="5"/>
  <c r="AP352" i="5"/>
  <c r="AO352" i="5"/>
  <c r="AN352" i="5"/>
  <c r="AG352" i="5"/>
  <c r="AD352" i="5"/>
  <c r="AK352" i="5"/>
  <c r="AC352" i="5"/>
  <c r="T91" i="5"/>
  <c r="AU91" i="5" s="1"/>
  <c r="AI91" i="5"/>
  <c r="AT91" i="5"/>
  <c r="S91" i="5"/>
  <c r="R91" i="5"/>
  <c r="AW91" i="5"/>
  <c r="AS91" i="5"/>
  <c r="AP91" i="5"/>
  <c r="V91" i="5"/>
  <c r="AO91" i="5"/>
  <c r="AN91" i="5"/>
  <c r="AM91" i="5"/>
  <c r="AO297" i="5"/>
  <c r="AF297" i="5"/>
  <c r="AH297" i="5"/>
  <c r="Y297" i="5"/>
  <c r="AE297" i="5"/>
  <c r="AD297" i="5"/>
  <c r="AG297" i="5"/>
  <c r="AC297" i="5"/>
  <c r="AB297" i="5"/>
  <c r="AW297" i="5"/>
  <c r="AT297" i="5"/>
  <c r="AS297" i="5"/>
  <c r="AR297" i="5"/>
  <c r="W297" i="5"/>
  <c r="V297" i="5"/>
  <c r="R297" i="5"/>
  <c r="AA297" i="5"/>
  <c r="Z297" i="5"/>
  <c r="X297" i="5"/>
  <c r="W299" i="5"/>
  <c r="V299" i="5"/>
  <c r="U299" i="5"/>
  <c r="T299" i="5"/>
  <c r="AU299" i="5" s="1"/>
  <c r="AS84" i="5"/>
  <c r="AL91" i="5"/>
  <c r="AO229" i="5"/>
  <c r="AP297" i="5"/>
  <c r="AT84" i="5"/>
  <c r="AT185" i="5"/>
  <c r="AE185" i="5"/>
  <c r="AM185" i="5"/>
  <c r="AN185" i="5"/>
  <c r="AH185" i="5"/>
  <c r="AI185" i="5"/>
  <c r="AQ185" i="5"/>
  <c r="AP185" i="5"/>
  <c r="AO185" i="5"/>
  <c r="AG185" i="5"/>
  <c r="W185" i="5"/>
  <c r="T185" i="5"/>
  <c r="AU185" i="5" s="1"/>
  <c r="AW185" i="5"/>
  <c r="AS185" i="5"/>
  <c r="AR185" i="5"/>
  <c r="AF185" i="5"/>
  <c r="AC185" i="5"/>
  <c r="Z185" i="5"/>
  <c r="AI211" i="5"/>
  <c r="AW211" i="5"/>
  <c r="AT211" i="5"/>
  <c r="AS211" i="5"/>
  <c r="AR211" i="5"/>
  <c r="AQ211" i="5"/>
  <c r="AP211" i="5"/>
  <c r="AM211" i="5"/>
  <c r="AK211" i="5"/>
  <c r="AJ211" i="5"/>
  <c r="AC211" i="5"/>
  <c r="W211" i="5"/>
  <c r="AP229" i="5"/>
  <c r="AM283" i="5"/>
  <c r="AQ297" i="5"/>
  <c r="AY73" i="5"/>
  <c r="AN73" i="5"/>
  <c r="AM73" i="5"/>
  <c r="AJ73" i="5"/>
  <c r="AI73" i="5"/>
  <c r="AH73" i="5"/>
  <c r="AK73" i="5"/>
  <c r="AE73" i="5"/>
  <c r="R73" i="5"/>
  <c r="Z211" i="5"/>
  <c r="AQ229" i="5"/>
  <c r="AW283" i="5"/>
  <c r="AL15" i="5"/>
  <c r="AH15" i="5"/>
  <c r="AN66" i="5"/>
  <c r="AQ66" i="5"/>
  <c r="AY66" i="5"/>
  <c r="AR66" i="5"/>
  <c r="Y71" i="5"/>
  <c r="AP71" i="5"/>
  <c r="S71" i="5"/>
  <c r="R71" i="5"/>
  <c r="AT71" i="5"/>
  <c r="AS71" i="5"/>
  <c r="AC71" i="5"/>
  <c r="T71" i="5"/>
  <c r="AU71" i="5" s="1"/>
  <c r="AO73" i="5"/>
  <c r="AR73" i="5"/>
  <c r="T256" i="5"/>
  <c r="AU256" i="5" s="1"/>
  <c r="AR256" i="5"/>
  <c r="AT256" i="5"/>
  <c r="AP256" i="5"/>
  <c r="AO256" i="5"/>
  <c r="AS256" i="5"/>
  <c r="AQ256" i="5"/>
  <c r="AB256" i="5"/>
  <c r="Z256" i="5"/>
  <c r="Y256" i="5"/>
  <c r="X256" i="5"/>
  <c r="W256" i="5"/>
  <c r="AK318" i="5"/>
  <c r="AS399" i="5"/>
  <c r="AC399" i="5"/>
  <c r="AB399" i="5"/>
  <c r="AT73" i="5"/>
  <c r="AQ75" i="5"/>
  <c r="T75" i="5"/>
  <c r="AU75" i="5" s="1"/>
  <c r="R75" i="5"/>
  <c r="AS174" i="5"/>
  <c r="AW174" i="5"/>
  <c r="AF398" i="5"/>
  <c r="X398" i="5"/>
  <c r="AR398" i="5"/>
  <c r="AI398" i="5"/>
  <c r="AH398" i="5"/>
  <c r="V398" i="5"/>
  <c r="AA398" i="5"/>
  <c r="Z398" i="5"/>
  <c r="W398" i="5"/>
  <c r="Z9" i="5"/>
  <c r="AW149" i="5"/>
  <c r="Z149" i="5"/>
  <c r="AN149" i="5"/>
  <c r="AQ149" i="5"/>
  <c r="AP149" i="5"/>
  <c r="R149" i="5"/>
  <c r="AT149" i="5"/>
  <c r="AS149" i="5"/>
  <c r="AR149" i="5"/>
  <c r="AO149" i="5"/>
  <c r="AM149" i="5"/>
  <c r="AL149" i="5"/>
  <c r="W149" i="5"/>
  <c r="V149" i="5"/>
  <c r="Y149" i="5"/>
  <c r="X149" i="5"/>
  <c r="S149" i="5"/>
  <c r="AH150" i="5"/>
  <c r="T191" i="5"/>
  <c r="AU191" i="5" s="1"/>
  <c r="AT191" i="5"/>
  <c r="AJ191" i="5"/>
  <c r="AN191" i="5"/>
  <c r="AM191" i="5"/>
  <c r="AL191" i="5"/>
  <c r="AS191" i="5"/>
  <c r="AR191" i="5"/>
  <c r="AQ191" i="5"/>
  <c r="AP191" i="5"/>
  <c r="AO191" i="5"/>
  <c r="AK191" i="5"/>
  <c r="AI191" i="5"/>
  <c r="V191" i="5"/>
  <c r="S191" i="5"/>
  <c r="R191" i="5"/>
  <c r="AO277" i="5"/>
  <c r="AS277" i="5"/>
  <c r="V277" i="5"/>
  <c r="AL277" i="5"/>
  <c r="AE277" i="5"/>
  <c r="AD277" i="5"/>
  <c r="AB277" i="5"/>
  <c r="Z277" i="5"/>
  <c r="AA277" i="5"/>
  <c r="AP277" i="5"/>
  <c r="AK277" i="5"/>
  <c r="AJ277" i="5"/>
  <c r="AI277" i="5"/>
  <c r="AW277" i="5"/>
  <c r="AT277" i="5"/>
  <c r="AR277" i="5"/>
  <c r="AQ277" i="5"/>
  <c r="AH277" i="5"/>
  <c r="AG277" i="5"/>
  <c r="AS497" i="5"/>
  <c r="U497" i="5"/>
  <c r="AG497" i="5"/>
  <c r="AW497" i="5"/>
  <c r="T497" i="5"/>
  <c r="AU497" i="5" s="1"/>
  <c r="AB497" i="5"/>
  <c r="AA497" i="5"/>
  <c r="AD497" i="5"/>
  <c r="AC497" i="5"/>
  <c r="AN497" i="5"/>
  <c r="AL497" i="5"/>
  <c r="AJ497" i="5"/>
  <c r="AY497" i="5"/>
  <c r="AT497" i="5"/>
  <c r="S497" i="5"/>
  <c r="AH497" i="5"/>
  <c r="AF497" i="5"/>
  <c r="AE497" i="5"/>
  <c r="Y497" i="5"/>
  <c r="X497" i="5"/>
  <c r="W497" i="5"/>
  <c r="AP497" i="5"/>
  <c r="U290" i="5"/>
  <c r="AH290" i="5"/>
  <c r="AM290" i="5"/>
  <c r="AT290" i="5"/>
  <c r="AG290" i="5"/>
  <c r="AF290" i="5"/>
  <c r="AE290" i="5"/>
  <c r="T290" i="5"/>
  <c r="S290" i="5"/>
  <c r="AC290" i="5"/>
  <c r="AP346" i="5"/>
  <c r="AI346" i="5"/>
  <c r="AE346" i="5"/>
  <c r="AF346" i="5"/>
  <c r="AD346" i="5"/>
  <c r="AW346" i="5"/>
  <c r="S346" i="5"/>
  <c r="AT346" i="5"/>
  <c r="R346" i="5"/>
  <c r="AC346" i="5"/>
  <c r="AB346" i="5"/>
  <c r="AA346" i="5"/>
  <c r="AR346" i="5"/>
  <c r="AQ346" i="5"/>
  <c r="AN346" i="5"/>
  <c r="AM346" i="5"/>
  <c r="W346" i="5"/>
  <c r="T346" i="5"/>
  <c r="AU346" i="5" s="1"/>
  <c r="AV346" i="5" s="1"/>
  <c r="AS346" i="5"/>
  <c r="AL346" i="5"/>
  <c r="Y346" i="5"/>
  <c r="X346" i="5"/>
  <c r="AO132" i="5"/>
  <c r="AR132" i="5"/>
  <c r="V132" i="5"/>
  <c r="AJ132" i="5"/>
  <c r="AC132" i="5"/>
  <c r="AB132" i="5"/>
  <c r="AL132" i="5"/>
  <c r="AK132" i="5"/>
  <c r="AI132" i="5"/>
  <c r="AY132" i="5"/>
  <c r="AW132" i="5"/>
  <c r="AT132" i="5"/>
  <c r="AS132" i="5"/>
  <c r="AQ132" i="5"/>
  <c r="AG132" i="5"/>
  <c r="AF132" i="5"/>
  <c r="AP132" i="5"/>
  <c r="AM132" i="5"/>
  <c r="AH132" i="5"/>
  <c r="AE132" i="5"/>
  <c r="AD132" i="5"/>
  <c r="AA132" i="5"/>
  <c r="AD290" i="5"/>
  <c r="AK346" i="5"/>
  <c r="U109" i="5"/>
  <c r="AY109" i="5"/>
  <c r="AW109" i="5"/>
  <c r="AT109" i="5"/>
  <c r="AS109" i="5"/>
  <c r="AR109" i="5"/>
  <c r="AP109" i="5"/>
  <c r="AM109" i="5"/>
  <c r="AL109" i="5"/>
  <c r="AK109" i="5"/>
  <c r="AJ109" i="5"/>
  <c r="AI109" i="5"/>
  <c r="AE109" i="5"/>
  <c r="AD109" i="5"/>
  <c r="AT288" i="5"/>
  <c r="AY346" i="5"/>
  <c r="AB411" i="5"/>
  <c r="Z411" i="5"/>
  <c r="AJ411" i="5"/>
  <c r="AR411" i="5"/>
  <c r="AQ411" i="5"/>
  <c r="AF411" i="5"/>
  <c r="AE411" i="5"/>
  <c r="AP411" i="5"/>
  <c r="AO411" i="5"/>
  <c r="AN411" i="5"/>
  <c r="AD411" i="5"/>
  <c r="AC411" i="5"/>
  <c r="AA411" i="5"/>
  <c r="X411" i="5"/>
  <c r="AW411" i="5"/>
  <c r="AU411" i="5"/>
  <c r="AV411" i="5" s="1"/>
  <c r="AM411" i="5"/>
  <c r="AL411" i="5"/>
  <c r="AK411" i="5"/>
  <c r="V411" i="5"/>
  <c r="Z50" i="5"/>
  <c r="T88" i="5"/>
  <c r="AU88" i="5" s="1"/>
  <c r="AX88" i="5" s="1"/>
  <c r="AA88" i="5"/>
  <c r="AJ88" i="5"/>
  <c r="AO88" i="5"/>
  <c r="V88" i="5"/>
  <c r="S88" i="5"/>
  <c r="R88" i="5"/>
  <c r="AW88" i="5"/>
  <c r="AM88" i="5"/>
  <c r="AL88" i="5"/>
  <c r="AK88" i="5"/>
  <c r="AI88" i="5"/>
  <c r="AH88" i="5"/>
  <c r="AG88" i="5"/>
  <c r="AH93" i="5"/>
  <c r="AR93" i="5"/>
  <c r="V93" i="5"/>
  <c r="U98" i="5"/>
  <c r="AA145" i="5"/>
  <c r="AC145" i="5"/>
  <c r="AD145" i="5"/>
  <c r="AB145" i="5"/>
  <c r="AR145" i="5"/>
  <c r="AQ145" i="5"/>
  <c r="AP145" i="5"/>
  <c r="AN145" i="5"/>
  <c r="AY145" i="5"/>
  <c r="AW145" i="5"/>
  <c r="T145" i="5"/>
  <c r="S145" i="5"/>
  <c r="AT145" i="5"/>
  <c r="AS145" i="5"/>
  <c r="AH145" i="5"/>
  <c r="AG145" i="5"/>
  <c r="Z145" i="5"/>
  <c r="AO159" i="5"/>
  <c r="T159" i="5"/>
  <c r="AU159" i="5" s="1"/>
  <c r="S159" i="5"/>
  <c r="U159" i="5"/>
  <c r="AO161" i="5"/>
  <c r="AL161" i="5"/>
  <c r="AE161" i="5"/>
  <c r="AN161" i="5"/>
  <c r="AK161" i="5"/>
  <c r="AM161" i="5"/>
  <c r="Z161" i="5"/>
  <c r="Y161" i="5"/>
  <c r="X161" i="5"/>
  <c r="AY161" i="5"/>
  <c r="W161" i="5"/>
  <c r="T161" i="5"/>
  <c r="AU161" i="5" s="1"/>
  <c r="S161" i="5"/>
  <c r="R161" i="5"/>
  <c r="AW161" i="5"/>
  <c r="AT161" i="5"/>
  <c r="AS161" i="5"/>
  <c r="AR161" i="5"/>
  <c r="AQ161" i="5"/>
  <c r="AP161" i="5"/>
  <c r="AJ161" i="5"/>
  <c r="AI161" i="5"/>
  <c r="AH161" i="5"/>
  <c r="AG161" i="5"/>
  <c r="AC161" i="5"/>
  <c r="T264" i="5"/>
  <c r="AY264" i="5"/>
  <c r="AA357" i="5"/>
  <c r="AM414" i="5"/>
  <c r="AQ414" i="5"/>
  <c r="AP414" i="5"/>
  <c r="U414" i="5"/>
  <c r="AO414" i="5"/>
  <c r="AN414" i="5"/>
  <c r="AL414" i="5"/>
  <c r="AK414" i="5"/>
  <c r="S458" i="5"/>
  <c r="AY49" i="5"/>
  <c r="AY88" i="5"/>
  <c r="W91" i="5"/>
  <c r="AE145" i="5"/>
  <c r="AD161" i="5"/>
  <c r="AT243" i="5"/>
  <c r="AD243" i="5"/>
  <c r="AB243" i="5"/>
  <c r="AC243" i="5"/>
  <c r="S243" i="5"/>
  <c r="AR243" i="5"/>
  <c r="AJ243" i="5"/>
  <c r="AA243" i="5"/>
  <c r="Z385" i="5"/>
  <c r="U385" i="5"/>
  <c r="AR385" i="5"/>
  <c r="S385" i="5"/>
  <c r="AB385" i="5"/>
  <c r="AR414" i="5"/>
  <c r="AI14" i="5"/>
  <c r="AD14" i="5"/>
  <c r="AW71" i="5"/>
  <c r="AQ150" i="5"/>
  <c r="AF150" i="5"/>
  <c r="AL150" i="5"/>
  <c r="AS150" i="5"/>
  <c r="AR150" i="5"/>
  <c r="AN150" i="5"/>
  <c r="AD150" i="5"/>
  <c r="AC150" i="5"/>
  <c r="AB150" i="5"/>
  <c r="AA150" i="5"/>
  <c r="T150" i="5"/>
  <c r="AU150" i="5" s="1"/>
  <c r="AX150" i="5" s="1"/>
  <c r="S150" i="5"/>
  <c r="R150" i="5"/>
  <c r="X150" i="5"/>
  <c r="AY150" i="5"/>
  <c r="AW150" i="5"/>
  <c r="AT150" i="5"/>
  <c r="AM150" i="5"/>
  <c r="AK150" i="5"/>
  <c r="AJ150" i="5"/>
  <c r="AG150" i="5"/>
  <c r="AJ247" i="5"/>
  <c r="AF247" i="5"/>
  <c r="R247" i="5"/>
  <c r="AT247" i="5"/>
  <c r="AS247" i="5"/>
  <c r="AI247" i="5"/>
  <c r="AH247" i="5"/>
  <c r="AG247" i="5"/>
  <c r="AA247" i="5"/>
  <c r="Z247" i="5"/>
  <c r="Y247" i="5"/>
  <c r="AR247" i="5"/>
  <c r="AQ247" i="5"/>
  <c r="AP247" i="5"/>
  <c r="X247" i="5"/>
  <c r="AV426" i="5"/>
  <c r="AX426" i="5"/>
  <c r="AY465" i="5"/>
  <c r="T465" i="5"/>
  <c r="AU465" i="5" s="1"/>
  <c r="AC21" i="5"/>
  <c r="AI21" i="5"/>
  <c r="AH21" i="5"/>
  <c r="AC9" i="5"/>
  <c r="Y277" i="5"/>
  <c r="AL9" i="5"/>
  <c r="AO247" i="5"/>
  <c r="AC277" i="5"/>
  <c r="AO426" i="5"/>
  <c r="AH426" i="5"/>
  <c r="R426" i="5"/>
  <c r="AQ426" i="5"/>
  <c r="AP426" i="5"/>
  <c r="AR426" i="5"/>
  <c r="AN426" i="5"/>
  <c r="AI426" i="5"/>
  <c r="AY426" i="5"/>
  <c r="AW426" i="5"/>
  <c r="AT426" i="5"/>
  <c r="AF277" i="5"/>
  <c r="AJ346" i="5"/>
  <c r="AG435" i="5"/>
  <c r="AQ435" i="5"/>
  <c r="AH435" i="5"/>
  <c r="AQ497" i="5"/>
  <c r="X132" i="5"/>
  <c r="AY61" i="5"/>
  <c r="V102" i="5"/>
  <c r="AT102" i="5"/>
  <c r="AF102" i="5"/>
  <c r="AB102" i="5"/>
  <c r="AS102" i="5"/>
  <c r="AR102" i="5"/>
  <c r="U102" i="5"/>
  <c r="S102" i="5"/>
  <c r="AL102" i="5"/>
  <c r="AA102" i="5"/>
  <c r="AB109" i="5"/>
  <c r="Y132" i="5"/>
  <c r="T451" i="5"/>
  <c r="AU451" i="5" s="1"/>
  <c r="AX451" i="5" s="1"/>
  <c r="AQ451" i="5"/>
  <c r="Y451" i="5"/>
  <c r="R451" i="5"/>
  <c r="AR451" i="5"/>
  <c r="AK451" i="5"/>
  <c r="AT451" i="5"/>
  <c r="AS451" i="5"/>
  <c r="AJ451" i="5"/>
  <c r="AI451" i="5"/>
  <c r="AH451" i="5"/>
  <c r="AG451" i="5"/>
  <c r="AC451" i="5"/>
  <c r="AG102" i="5"/>
  <c r="AC109" i="5"/>
  <c r="Z132" i="5"/>
  <c r="W287" i="5"/>
  <c r="X287" i="5"/>
  <c r="S287" i="5"/>
  <c r="AQ50" i="5"/>
  <c r="AS50" i="5"/>
  <c r="S50" i="5"/>
  <c r="AT50" i="5"/>
  <c r="R50" i="5"/>
  <c r="AM50" i="5"/>
  <c r="AL50" i="5"/>
  <c r="AY50" i="5"/>
  <c r="AW50" i="5"/>
  <c r="AR50" i="5"/>
  <c r="AK50" i="5"/>
  <c r="AJ50" i="5"/>
  <c r="AI50" i="5"/>
  <c r="AH50" i="5"/>
  <c r="AG50" i="5"/>
  <c r="AF50" i="5"/>
  <c r="X50" i="5"/>
  <c r="T50" i="5"/>
  <c r="AU50" i="5" s="1"/>
  <c r="AX50" i="5" s="1"/>
  <c r="AN50" i="5"/>
  <c r="AB50" i="5"/>
  <c r="U83" i="5"/>
  <c r="R84" i="5"/>
  <c r="X91" i="5"/>
  <c r="V98" i="5"/>
  <c r="AM98" i="5"/>
  <c r="AP98" i="5"/>
  <c r="AO98" i="5"/>
  <c r="AT98" i="5"/>
  <c r="AS98" i="5"/>
  <c r="AR98" i="5"/>
  <c r="AQ98" i="5"/>
  <c r="AN98" i="5"/>
  <c r="AL98" i="5"/>
  <c r="AF98" i="5"/>
  <c r="AD98" i="5"/>
  <c r="AB98" i="5"/>
  <c r="Y98" i="5"/>
  <c r="T158" i="5"/>
  <c r="AU158" i="5" s="1"/>
  <c r="AT158" i="5"/>
  <c r="V158" i="5"/>
  <c r="U158" i="5"/>
  <c r="AI297" i="5"/>
  <c r="AW300" i="5"/>
  <c r="X300" i="5"/>
  <c r="W300" i="5"/>
  <c r="V300" i="5"/>
  <c r="AO357" i="5"/>
  <c r="AM357" i="5"/>
  <c r="Y357" i="5"/>
  <c r="AF357" i="5"/>
  <c r="AE357" i="5"/>
  <c r="AH357" i="5"/>
  <c r="AG357" i="5"/>
  <c r="AL357" i="5"/>
  <c r="AK357" i="5"/>
  <c r="AJ357" i="5"/>
  <c r="AP357" i="5"/>
  <c r="AI357" i="5"/>
  <c r="AD357" i="5"/>
  <c r="AC357" i="5"/>
  <c r="S357" i="5"/>
  <c r="R357" i="5"/>
  <c r="X357" i="5"/>
  <c r="W357" i="5"/>
  <c r="V357" i="5"/>
  <c r="AW357" i="5"/>
  <c r="AT357" i="5"/>
  <c r="AQ357" i="5"/>
  <c r="AL458" i="5"/>
  <c r="AI458" i="5"/>
  <c r="AK458" i="5"/>
  <c r="AJ458" i="5"/>
  <c r="AH458" i="5"/>
  <c r="AT458" i="5"/>
  <c r="AQ458" i="5"/>
  <c r="AC458" i="5"/>
  <c r="Z458" i="5"/>
  <c r="X458" i="5"/>
  <c r="AN458" i="5"/>
  <c r="AM458" i="5"/>
  <c r="AG458" i="5"/>
  <c r="AF458" i="5"/>
  <c r="AP458" i="5"/>
  <c r="AO458" i="5"/>
  <c r="AE458" i="5"/>
  <c r="W458" i="5"/>
  <c r="AC50" i="5"/>
  <c r="S84" i="5"/>
  <c r="Z91" i="5"/>
  <c r="AI229" i="5"/>
  <c r="AR244" i="5"/>
  <c r="AD244" i="5"/>
  <c r="AW244" i="5"/>
  <c r="S244" i="5"/>
  <c r="AG244" i="5"/>
  <c r="AF244" i="5"/>
  <c r="AY244" i="5"/>
  <c r="AL244" i="5"/>
  <c r="AK244" i="5"/>
  <c r="AJ244" i="5"/>
  <c r="AI244" i="5"/>
  <c r="AT244" i="5"/>
  <c r="AS244" i="5"/>
  <c r="AN244" i="5"/>
  <c r="T244" i="5"/>
  <c r="AU244" i="5" s="1"/>
  <c r="R244" i="5"/>
  <c r="AM244" i="5"/>
  <c r="AH244" i="5"/>
  <c r="AE244" i="5"/>
  <c r="AC244" i="5"/>
  <c r="AB244" i="5"/>
  <c r="Y283" i="5"/>
  <c r="AJ297" i="5"/>
  <c r="AY357" i="5"/>
  <c r="AR357" i="5"/>
  <c r="AD458" i="5"/>
  <c r="AD89" i="5"/>
  <c r="AN89" i="5"/>
  <c r="AY89" i="5"/>
  <c r="R89" i="5"/>
  <c r="AW89" i="5"/>
  <c r="AK89" i="5"/>
  <c r="AJ89" i="5"/>
  <c r="AI89" i="5"/>
  <c r="T89" i="5"/>
  <c r="AU89" i="5" s="1"/>
  <c r="S89" i="5"/>
  <c r="AA89" i="5"/>
  <c r="AP113" i="5"/>
  <c r="AU113" i="5"/>
  <c r="AX113" i="5" s="1"/>
  <c r="AY113" i="5"/>
  <c r="AT113" i="5"/>
  <c r="S113" i="5"/>
  <c r="R113" i="5"/>
  <c r="AS113" i="5"/>
  <c r="AO113" i="5"/>
  <c r="AN113" i="5"/>
  <c r="AM113" i="5"/>
  <c r="AL113" i="5"/>
  <c r="AG113" i="5"/>
  <c r="Y219" i="5"/>
  <c r="R219" i="5"/>
  <c r="AS219" i="5"/>
  <c r="AO219" i="5"/>
  <c r="AE219" i="5"/>
  <c r="T219" i="5"/>
  <c r="AU219" i="5" s="1"/>
  <c r="S219" i="5"/>
  <c r="AT219" i="5"/>
  <c r="AR284" i="5"/>
  <c r="AY284" i="5"/>
  <c r="AL284" i="5"/>
  <c r="R284" i="5"/>
  <c r="AT284" i="5"/>
  <c r="AS284" i="5"/>
  <c r="AC284" i="5"/>
  <c r="AB284" i="5"/>
  <c r="AA284" i="5"/>
  <c r="T284" i="5"/>
  <c r="AU284" i="5" s="1"/>
  <c r="AX284" i="5" s="1"/>
  <c r="S284" i="5"/>
  <c r="AW284" i="5"/>
  <c r="AN284" i="5"/>
  <c r="AM284" i="5"/>
  <c r="AK284" i="5"/>
  <c r="AE284" i="5"/>
  <c r="AQ298" i="5"/>
  <c r="AT298" i="5"/>
  <c r="AS298" i="5"/>
  <c r="AR298" i="5"/>
  <c r="AQ310" i="5"/>
  <c r="AH310" i="5"/>
  <c r="T310" i="5"/>
  <c r="AU310" i="5" s="1"/>
  <c r="AT310" i="5"/>
  <c r="AF310" i="5"/>
  <c r="AE310" i="5"/>
  <c r="S310" i="5"/>
  <c r="AY310" i="5"/>
  <c r="AW310" i="5"/>
  <c r="AS310" i="5"/>
  <c r="AP310" i="5"/>
  <c r="AO310" i="5"/>
  <c r="AN310" i="5"/>
  <c r="AM310" i="5"/>
  <c r="AJ310" i="5"/>
  <c r="AI310" i="5"/>
  <c r="AG310" i="5"/>
  <c r="Z310" i="5"/>
  <c r="U347" i="5"/>
  <c r="T347" i="5"/>
  <c r="AU347" i="5" s="1"/>
  <c r="AX347" i="5" s="1"/>
  <c r="V347" i="5"/>
  <c r="AR347" i="5"/>
  <c r="AP347" i="5"/>
  <c r="AQ415" i="5"/>
  <c r="AD415" i="5"/>
  <c r="AF415" i="5"/>
  <c r="AP415" i="5"/>
  <c r="AB415" i="5"/>
  <c r="Z415" i="5"/>
  <c r="U415" i="5"/>
  <c r="S415" i="5"/>
  <c r="AK415" i="5"/>
  <c r="AJ415" i="5"/>
  <c r="AI415" i="5"/>
  <c r="AM415" i="5"/>
  <c r="AH415" i="5"/>
  <c r="AG415" i="5"/>
  <c r="AE415" i="5"/>
  <c r="AW415" i="5"/>
  <c r="X415" i="5"/>
  <c r="W415" i="5"/>
  <c r="AO415" i="5"/>
  <c r="AL12" i="5"/>
  <c r="AC12" i="5" s="1"/>
  <c r="Z12" i="5"/>
  <c r="R12" i="5" s="1"/>
  <c r="AC32" i="5"/>
  <c r="AB32" i="5"/>
  <c r="AA32" i="5"/>
  <c r="AO63" i="5"/>
  <c r="AA63" i="5"/>
  <c r="AH63" i="5"/>
  <c r="AG63" i="5"/>
  <c r="AE63" i="5"/>
  <c r="AD63" i="5"/>
  <c r="AC63" i="5"/>
  <c r="AY63" i="5"/>
  <c r="AT63" i="5"/>
  <c r="AI63" i="5"/>
  <c r="AF63" i="5"/>
  <c r="Y63" i="5"/>
  <c r="AR74" i="5"/>
  <c r="Y74" i="5"/>
  <c r="AB89" i="5"/>
  <c r="AC100" i="5"/>
  <c r="AQ100" i="5"/>
  <c r="U100" i="5"/>
  <c r="T100" i="5"/>
  <c r="AU100" i="5" s="1"/>
  <c r="AT100" i="5"/>
  <c r="AS100" i="5"/>
  <c r="AR100" i="5"/>
  <c r="AL100" i="5"/>
  <c r="AJ113" i="5"/>
  <c r="AY121" i="5"/>
  <c r="T121" i="5"/>
  <c r="AU121" i="5"/>
  <c r="AD184" i="5"/>
  <c r="Z184" i="5"/>
  <c r="AY201" i="5"/>
  <c r="AT227" i="5"/>
  <c r="AY227" i="5"/>
  <c r="AS227" i="5"/>
  <c r="AR227" i="5"/>
  <c r="AL227" i="5"/>
  <c r="AG227" i="5"/>
  <c r="AK227" i="5"/>
  <c r="AU227" i="5"/>
  <c r="AX227" i="5" s="1"/>
  <c r="AO227" i="5"/>
  <c r="AN227" i="5"/>
  <c r="W227" i="5"/>
  <c r="AF284" i="5"/>
  <c r="AA310" i="5"/>
  <c r="AX361" i="5"/>
  <c r="AQ375" i="5"/>
  <c r="AT375" i="5"/>
  <c r="T375" i="5"/>
  <c r="AU375" i="5" s="1"/>
  <c r="S375" i="5"/>
  <c r="AN375" i="5"/>
  <c r="AM375" i="5"/>
  <c r="AH375" i="5"/>
  <c r="AG375" i="5"/>
  <c r="Y375" i="5"/>
  <c r="X375" i="5"/>
  <c r="R375" i="5"/>
  <c r="Z375" i="5"/>
  <c r="AY375" i="5"/>
  <c r="AW375" i="5"/>
  <c r="AS375" i="5"/>
  <c r="AD375" i="5"/>
  <c r="AS415" i="5"/>
  <c r="AK455" i="5"/>
  <c r="AD455" i="5"/>
  <c r="AC455" i="5"/>
  <c r="Z455" i="5"/>
  <c r="Y455" i="5"/>
  <c r="AB455" i="5"/>
  <c r="AA455" i="5"/>
  <c r="AR455" i="5"/>
  <c r="AQ455" i="5"/>
  <c r="AP455" i="5"/>
  <c r="AW455" i="5"/>
  <c r="AT455" i="5"/>
  <c r="AO455" i="5"/>
  <c r="AY455" i="5"/>
  <c r="X455" i="5"/>
  <c r="AI12" i="5"/>
  <c r="AC55" i="5"/>
  <c r="R55" i="5"/>
  <c r="AY55" i="5"/>
  <c r="AB63" i="5"/>
  <c r="W86" i="5"/>
  <c r="U86" i="5"/>
  <c r="AE86" i="5"/>
  <c r="AH86" i="5"/>
  <c r="AG86" i="5"/>
  <c r="AO86" i="5"/>
  <c r="AN86" i="5"/>
  <c r="AM86" i="5"/>
  <c r="AY86" i="5"/>
  <c r="AW86" i="5"/>
  <c r="AR86" i="5"/>
  <c r="AL86" i="5"/>
  <c r="AK86" i="5"/>
  <c r="AD86" i="5"/>
  <c r="AC89" i="5"/>
  <c r="AN100" i="5"/>
  <c r="AF127" i="5"/>
  <c r="AY127" i="5"/>
  <c r="AT127" i="5"/>
  <c r="AR127" i="5"/>
  <c r="AQ127" i="5"/>
  <c r="AP127" i="5"/>
  <c r="AO127" i="5"/>
  <c r="AN127" i="5"/>
  <c r="AM127" i="5"/>
  <c r="AL127" i="5"/>
  <c r="Y127" i="5"/>
  <c r="X227" i="5"/>
  <c r="AW231" i="5"/>
  <c r="AC231" i="5"/>
  <c r="AE231" i="5"/>
  <c r="AD231" i="5"/>
  <c r="AI231" i="5"/>
  <c r="AA231" i="5"/>
  <c r="AB231" i="5"/>
  <c r="S231" i="5"/>
  <c r="R231" i="5"/>
  <c r="AR231" i="5"/>
  <c r="AQ231" i="5"/>
  <c r="AP231" i="5"/>
  <c r="AN231" i="5"/>
  <c r="AM231" i="5"/>
  <c r="AK231" i="5"/>
  <c r="AG284" i="5"/>
  <c r="AB310" i="5"/>
  <c r="AY371" i="5"/>
  <c r="AQ371" i="5"/>
  <c r="AD371" i="5"/>
  <c r="AC371" i="5"/>
  <c r="AP371" i="5"/>
  <c r="AL371" i="5"/>
  <c r="AK371" i="5"/>
  <c r="T371" i="5"/>
  <c r="AU371" i="5" s="1"/>
  <c r="S371" i="5"/>
  <c r="R371" i="5"/>
  <c r="W371" i="5"/>
  <c r="AR371" i="5"/>
  <c r="AE375" i="5"/>
  <c r="AS379" i="5"/>
  <c r="AB379" i="5"/>
  <c r="AE379" i="5"/>
  <c r="AF379" i="5"/>
  <c r="AD379" i="5"/>
  <c r="AC379" i="5"/>
  <c r="AA379" i="5"/>
  <c r="U379" i="5"/>
  <c r="T379" i="5"/>
  <c r="AU379" i="5" s="1"/>
  <c r="AP379" i="5"/>
  <c r="AO379" i="5"/>
  <c r="AN379" i="5"/>
  <c r="AJ379" i="5"/>
  <c r="AY379" i="5"/>
  <c r="AW379" i="5"/>
  <c r="AR379" i="5"/>
  <c r="AG379" i="5"/>
  <c r="AJ391" i="5"/>
  <c r="AK391" i="5"/>
  <c r="AI391" i="5"/>
  <c r="AW391" i="5"/>
  <c r="AR391" i="5"/>
  <c r="R391" i="5"/>
  <c r="T391" i="5"/>
  <c r="AU391" i="5" s="1"/>
  <c r="S391" i="5"/>
  <c r="AP391" i="5"/>
  <c r="AO391" i="5"/>
  <c r="AN391" i="5"/>
  <c r="AH391" i="5"/>
  <c r="AT415" i="5"/>
  <c r="AE455" i="5"/>
  <c r="AH33" i="5"/>
  <c r="Z33" i="5"/>
  <c r="AC20" i="5"/>
  <c r="Z20" i="5"/>
  <c r="AD20" i="5"/>
  <c r="Y23" i="5"/>
  <c r="R23" i="5" s="1"/>
  <c r="AJ63" i="5"/>
  <c r="AF86" i="5"/>
  <c r="AE89" i="5"/>
  <c r="AO100" i="5"/>
  <c r="T127" i="5"/>
  <c r="AU127" i="5" s="1"/>
  <c r="AB127" i="5"/>
  <c r="T179" i="5"/>
  <c r="AU179" i="5" s="1"/>
  <c r="AC179" i="5"/>
  <c r="U179" i="5"/>
  <c r="AI182" i="5"/>
  <c r="AP182" i="5"/>
  <c r="AT182" i="5"/>
  <c r="AQ182" i="5"/>
  <c r="AO182" i="5"/>
  <c r="AN182" i="5"/>
  <c r="AM182" i="5"/>
  <c r="AL182" i="5"/>
  <c r="AK182" i="5"/>
  <c r="T182" i="5"/>
  <c r="AU182" i="5" s="1"/>
  <c r="S182" i="5"/>
  <c r="Z182" i="5"/>
  <c r="Y227" i="5"/>
  <c r="AL231" i="5"/>
  <c r="U273" i="5"/>
  <c r="T273" i="5"/>
  <c r="AU273" i="5" s="1"/>
  <c r="Z273" i="5"/>
  <c r="AH284" i="5"/>
  <c r="AC310" i="5"/>
  <c r="AW371" i="5"/>
  <c r="AF375" i="5"/>
  <c r="AH379" i="5"/>
  <c r="AL391" i="5"/>
  <c r="T432" i="5"/>
  <c r="AU432" i="5" s="1"/>
  <c r="AG432" i="5"/>
  <c r="R432" i="5"/>
  <c r="V432" i="5"/>
  <c r="S432" i="5"/>
  <c r="AT432" i="5"/>
  <c r="AS432" i="5"/>
  <c r="AH432" i="5"/>
  <c r="AF432" i="5"/>
  <c r="Z432" i="5"/>
  <c r="AL432" i="5"/>
  <c r="AF455" i="5"/>
  <c r="AC23" i="5"/>
  <c r="AF43" i="5"/>
  <c r="W43" i="5"/>
  <c r="AR43" i="5"/>
  <c r="AQ43" i="5"/>
  <c r="AK43" i="5"/>
  <c r="AJ43" i="5"/>
  <c r="AI43" i="5"/>
  <c r="AW43" i="5"/>
  <c r="AT43" i="5"/>
  <c r="AS43" i="5"/>
  <c r="AP43" i="5"/>
  <c r="AO43" i="5"/>
  <c r="AH43" i="5"/>
  <c r="AG43" i="5"/>
  <c r="Z43" i="5"/>
  <c r="AK63" i="5"/>
  <c r="AI86" i="5"/>
  <c r="AL89" i="5"/>
  <c r="AP100" i="5"/>
  <c r="AD127" i="5"/>
  <c r="AA182" i="5"/>
  <c r="AF224" i="5"/>
  <c r="AD224" i="5"/>
  <c r="AJ224" i="5"/>
  <c r="AH224" i="5"/>
  <c r="AI224" i="5"/>
  <c r="AO224" i="5"/>
  <c r="AL224" i="5"/>
  <c r="AG224" i="5"/>
  <c r="AE224" i="5"/>
  <c r="V224" i="5"/>
  <c r="S224" i="5"/>
  <c r="R224" i="5"/>
  <c r="AR224" i="5"/>
  <c r="AD227" i="5"/>
  <c r="AO231" i="5"/>
  <c r="AI284" i="5"/>
  <c r="AD310" i="5"/>
  <c r="AE323" i="5"/>
  <c r="AA323" i="5"/>
  <c r="AL323" i="5"/>
  <c r="AF323" i="5"/>
  <c r="AD323" i="5"/>
  <c r="AN323" i="5"/>
  <c r="AK323" i="5"/>
  <c r="AM323" i="5"/>
  <c r="AP323" i="5"/>
  <c r="AO323" i="5"/>
  <c r="AJ323" i="5"/>
  <c r="AG323" i="5"/>
  <c r="AY323" i="5"/>
  <c r="AW323" i="5"/>
  <c r="T323" i="5"/>
  <c r="AU323" i="5" s="1"/>
  <c r="S323" i="5"/>
  <c r="Y323" i="5"/>
  <c r="AJ343" i="5"/>
  <c r="AL343" i="5"/>
  <c r="AK343" i="5"/>
  <c r="AO343" i="5"/>
  <c r="AN343" i="5"/>
  <c r="AM343" i="5"/>
  <c r="AW343" i="5"/>
  <c r="V343" i="5"/>
  <c r="AP343" i="5"/>
  <c r="T372" i="5"/>
  <c r="R372" i="5"/>
  <c r="S372" i="5"/>
  <c r="AI375" i="5"/>
  <c r="AI379" i="5"/>
  <c r="AM391" i="5"/>
  <c r="AM432" i="5"/>
  <c r="AG455" i="5"/>
  <c r="T475" i="5"/>
  <c r="AW475" i="5"/>
  <c r="U475" i="5"/>
  <c r="R475" i="5"/>
  <c r="AY475" i="5"/>
  <c r="AP487" i="5"/>
  <c r="AG487" i="5"/>
  <c r="AE487" i="5"/>
  <c r="AD487" i="5"/>
  <c r="Z487" i="5"/>
  <c r="Y487" i="5"/>
  <c r="AR487" i="5"/>
  <c r="AO487" i="5"/>
  <c r="AJ487" i="5"/>
  <c r="AI487" i="5"/>
  <c r="AH487" i="5"/>
  <c r="S487" i="5"/>
  <c r="R487" i="5"/>
  <c r="AB487" i="5"/>
  <c r="AC18" i="5"/>
  <c r="AY18" i="5"/>
  <c r="AL18" i="5"/>
  <c r="AC43" i="5"/>
  <c r="AP63" i="5"/>
  <c r="AJ86" i="5"/>
  <c r="AM89" i="5"/>
  <c r="AW100" i="5"/>
  <c r="AO172" i="5"/>
  <c r="AG172" i="5"/>
  <c r="AH172" i="5"/>
  <c r="Z172" i="5"/>
  <c r="Y172" i="5"/>
  <c r="X172" i="5"/>
  <c r="AL172" i="5"/>
  <c r="AK172" i="5"/>
  <c r="AJ172" i="5"/>
  <c r="AI172" i="5"/>
  <c r="AM172" i="5"/>
  <c r="AF172" i="5"/>
  <c r="AE172" i="5"/>
  <c r="AD172" i="5"/>
  <c r="AC172" i="5"/>
  <c r="AB172" i="5"/>
  <c r="V172" i="5"/>
  <c r="S172" i="5"/>
  <c r="AP172" i="5"/>
  <c r="AB182" i="5"/>
  <c r="X186" i="5"/>
  <c r="AN186" i="5"/>
  <c r="AW186" i="5"/>
  <c r="AO186" i="5"/>
  <c r="AM186" i="5"/>
  <c r="AL186" i="5"/>
  <c r="AK186" i="5"/>
  <c r="AJ186" i="5"/>
  <c r="AG186" i="5"/>
  <c r="AS224" i="5"/>
  <c r="AM227" i="5"/>
  <c r="V233" i="5"/>
  <c r="AG233" i="5"/>
  <c r="AP233" i="5"/>
  <c r="AN233" i="5"/>
  <c r="AY233" i="5"/>
  <c r="AT233" i="5"/>
  <c r="AW233" i="5"/>
  <c r="AH233" i="5"/>
  <c r="AF233" i="5"/>
  <c r="AE233" i="5"/>
  <c r="AB233" i="5"/>
  <c r="T233" i="5"/>
  <c r="AU233" i="5" s="1"/>
  <c r="S233" i="5"/>
  <c r="AD233" i="5"/>
  <c r="AC233" i="5"/>
  <c r="AL261" i="5"/>
  <c r="AJ284" i="5"/>
  <c r="AT305" i="5"/>
  <c r="AI305" i="5"/>
  <c r="AN305" i="5"/>
  <c r="AC305" i="5"/>
  <c r="AR305" i="5"/>
  <c r="AQ305" i="5"/>
  <c r="AM305" i="5"/>
  <c r="AL305" i="5"/>
  <c r="AK305" i="5"/>
  <c r="AJ305" i="5"/>
  <c r="AH305" i="5"/>
  <c r="AB305" i="5"/>
  <c r="Z305" i="5"/>
  <c r="Z323" i="5"/>
  <c r="AQ343" i="5"/>
  <c r="AJ375" i="5"/>
  <c r="AQ379" i="5"/>
  <c r="AQ391" i="5"/>
  <c r="T394" i="5"/>
  <c r="AP394" i="5"/>
  <c r="AQ394" i="5"/>
  <c r="AO394" i="5"/>
  <c r="V394" i="5"/>
  <c r="R394" i="5"/>
  <c r="AJ394" i="5"/>
  <c r="X394" i="5"/>
  <c r="AN432" i="5"/>
  <c r="AH455" i="5"/>
  <c r="AR459" i="5"/>
  <c r="AP459" i="5"/>
  <c r="AT459" i="5"/>
  <c r="AS459" i="5"/>
  <c r="S459" i="5"/>
  <c r="AW459" i="5"/>
  <c r="AQ459" i="5"/>
  <c r="AO459" i="5"/>
  <c r="AY459" i="5"/>
  <c r="AI459" i="5"/>
  <c r="AC459" i="5"/>
  <c r="AB459" i="5"/>
  <c r="AA459" i="5"/>
  <c r="Z459" i="5"/>
  <c r="X459" i="5"/>
  <c r="AY487" i="5"/>
  <c r="AC487" i="5"/>
  <c r="AP505" i="5"/>
  <c r="AJ505" i="5"/>
  <c r="AG505" i="5"/>
  <c r="AB505" i="5"/>
  <c r="AA505" i="5"/>
  <c r="R505" i="5"/>
  <c r="AS505" i="5"/>
  <c r="AO505" i="5"/>
  <c r="AI505" i="5"/>
  <c r="AH505" i="5"/>
  <c r="AF505" i="5"/>
  <c r="X505" i="5"/>
  <c r="V505" i="5"/>
  <c r="S505" i="5"/>
  <c r="AT505" i="5"/>
  <c r="AE505" i="5"/>
  <c r="AY35" i="5"/>
  <c r="AP38" i="5"/>
  <c r="AS38" i="5"/>
  <c r="AF38" i="5"/>
  <c r="AW38" i="5"/>
  <c r="AT38" i="5"/>
  <c r="AB38" i="5"/>
  <c r="AA38" i="5"/>
  <c r="Z38" i="5"/>
  <c r="V38" i="5"/>
  <c r="R38" i="5"/>
  <c r="AK38" i="5"/>
  <c r="AJ38" i="5"/>
  <c r="AC38" i="5"/>
  <c r="AE43" i="5"/>
  <c r="AQ63" i="5"/>
  <c r="AK68" i="5"/>
  <c r="T68" i="5"/>
  <c r="AU68" i="5" s="1"/>
  <c r="AV68" i="5" s="1"/>
  <c r="AP68" i="5"/>
  <c r="AO68" i="5"/>
  <c r="AY68" i="5"/>
  <c r="AW68" i="5"/>
  <c r="AT68" i="5"/>
  <c r="AB68" i="5"/>
  <c r="AO89" i="5"/>
  <c r="AO101" i="5"/>
  <c r="AS101" i="5"/>
  <c r="X101" i="5"/>
  <c r="AL101" i="5"/>
  <c r="AE101" i="5"/>
  <c r="AD101" i="5"/>
  <c r="AT101" i="5"/>
  <c r="S101" i="5"/>
  <c r="AR101" i="5"/>
  <c r="R101" i="5"/>
  <c r="AQ101" i="5"/>
  <c r="AI101" i="5"/>
  <c r="AH101" i="5"/>
  <c r="AG101" i="5"/>
  <c r="AF101" i="5"/>
  <c r="AC101" i="5"/>
  <c r="AB101" i="5"/>
  <c r="AM101" i="5"/>
  <c r="AK101" i="5"/>
  <c r="Y101" i="5"/>
  <c r="AH151" i="5"/>
  <c r="AR151" i="5"/>
  <c r="AW151" i="5"/>
  <c r="AL151" i="5"/>
  <c r="AK151" i="5"/>
  <c r="AJ151" i="5"/>
  <c r="AI151" i="5"/>
  <c r="AO151" i="5"/>
  <c r="AG151" i="5"/>
  <c r="AC151" i="5"/>
  <c r="AB151" i="5"/>
  <c r="AA151" i="5"/>
  <c r="Z151" i="5"/>
  <c r="W151" i="5"/>
  <c r="AP167" i="5"/>
  <c r="AN167" i="5"/>
  <c r="AG167" i="5"/>
  <c r="V167" i="5"/>
  <c r="AW167" i="5"/>
  <c r="T167" i="5"/>
  <c r="AU167" i="5" s="1"/>
  <c r="R167" i="5"/>
  <c r="AT167" i="5"/>
  <c r="AS167" i="5"/>
  <c r="AQ167" i="5"/>
  <c r="W167" i="5"/>
  <c r="AC167" i="5"/>
  <c r="AB167" i="5"/>
  <c r="AA167" i="5"/>
  <c r="AQ172" i="5"/>
  <c r="AA177" i="5"/>
  <c r="AD177" i="5"/>
  <c r="AB177" i="5"/>
  <c r="AF182" i="5"/>
  <c r="AH186" i="5"/>
  <c r="AY224" i="5"/>
  <c r="AP227" i="5"/>
  <c r="AL253" i="5"/>
  <c r="AK253" i="5"/>
  <c r="AT253" i="5"/>
  <c r="AN253" i="5"/>
  <c r="AM253" i="5"/>
  <c r="AH253" i="5"/>
  <c r="AM261" i="5"/>
  <c r="AP275" i="5"/>
  <c r="AJ275" i="5"/>
  <c r="AC275" i="5"/>
  <c r="AR275" i="5"/>
  <c r="R275" i="5"/>
  <c r="AQ275" i="5"/>
  <c r="AK275" i="5"/>
  <c r="AH275" i="5"/>
  <c r="AI275" i="5"/>
  <c r="AT275" i="5"/>
  <c r="AS275" i="5"/>
  <c r="AN275" i="5"/>
  <c r="AM275" i="5"/>
  <c r="AW275" i="5"/>
  <c r="AL275" i="5"/>
  <c r="AG275" i="5"/>
  <c r="AF275" i="5"/>
  <c r="AE275" i="5"/>
  <c r="AD275" i="5"/>
  <c r="X275" i="5"/>
  <c r="AA305" i="5"/>
  <c r="AB323" i="5"/>
  <c r="AK375" i="5"/>
  <c r="AM392" i="5"/>
  <c r="AB392" i="5"/>
  <c r="AQ392" i="5"/>
  <c r="AP392" i="5"/>
  <c r="U392" i="5"/>
  <c r="T392" i="5"/>
  <c r="AU392" i="5" s="1"/>
  <c r="AG392" i="5"/>
  <c r="AF392" i="5"/>
  <c r="AE392" i="5"/>
  <c r="AY392" i="5"/>
  <c r="AS392" i="5"/>
  <c r="AR392" i="5"/>
  <c r="AN392" i="5"/>
  <c r="AL392" i="5"/>
  <c r="Z392" i="5"/>
  <c r="S392" i="5"/>
  <c r="AK392" i="5"/>
  <c r="AO432" i="5"/>
  <c r="AM455" i="5"/>
  <c r="Y459" i="5"/>
  <c r="AK487" i="5"/>
  <c r="AW500" i="5"/>
  <c r="AA500" i="5"/>
  <c r="AB500" i="5"/>
  <c r="AK505" i="5"/>
  <c r="AD38" i="5"/>
  <c r="AR63" i="5"/>
  <c r="AC68" i="5"/>
  <c r="AQ70" i="5"/>
  <c r="AJ70" i="5"/>
  <c r="AD70" i="5"/>
  <c r="AW70" i="5"/>
  <c r="T70" i="5"/>
  <c r="AU70" i="5"/>
  <c r="AX70" i="5" s="1"/>
  <c r="S70" i="5"/>
  <c r="AH70" i="5"/>
  <c r="AG70" i="5"/>
  <c r="AF70" i="5"/>
  <c r="AR70" i="5"/>
  <c r="AN70" i="5"/>
  <c r="AM70" i="5"/>
  <c r="AL70" i="5"/>
  <c r="AK70" i="5"/>
  <c r="AI70" i="5"/>
  <c r="Z70" i="5"/>
  <c r="AP89" i="5"/>
  <c r="Z101" i="5"/>
  <c r="AQ151" i="5"/>
  <c r="AD167" i="5"/>
  <c r="AR172" i="5"/>
  <c r="AG182" i="5"/>
  <c r="AI186" i="5"/>
  <c r="Y194" i="5"/>
  <c r="AN194" i="5"/>
  <c r="AY194" i="5"/>
  <c r="AU194" i="5"/>
  <c r="AX194" i="5" s="1"/>
  <c r="AW194" i="5"/>
  <c r="AH194" i="5"/>
  <c r="AE194" i="5"/>
  <c r="AD194" i="5"/>
  <c r="AC194" i="5"/>
  <c r="AT194" i="5"/>
  <c r="AS194" i="5"/>
  <c r="AP194" i="5"/>
  <c r="AJ194" i="5"/>
  <c r="AB194" i="5"/>
  <c r="AA194" i="5"/>
  <c r="X194" i="5"/>
  <c r="AQ227" i="5"/>
  <c r="AN261" i="5"/>
  <c r="Y275" i="5"/>
  <c r="AY280" i="5"/>
  <c r="T280" i="5"/>
  <c r="AU280" i="5" s="1"/>
  <c r="S280" i="5"/>
  <c r="AO280" i="5"/>
  <c r="AN280" i="5"/>
  <c r="AR280" i="5"/>
  <c r="AI280" i="5"/>
  <c r="AH280" i="5"/>
  <c r="AG280" i="5"/>
  <c r="AF280" i="5"/>
  <c r="AQ280" i="5"/>
  <c r="AP280" i="5"/>
  <c r="AM280" i="5"/>
  <c r="AK280" i="5"/>
  <c r="AJ280" i="5"/>
  <c r="X280" i="5"/>
  <c r="AP295" i="5"/>
  <c r="Z295" i="5"/>
  <c r="X295" i="5"/>
  <c r="AI295" i="5"/>
  <c r="AN295" i="5"/>
  <c r="AM295" i="5"/>
  <c r="AK295" i="5"/>
  <c r="AH295" i="5"/>
  <c r="AJ295" i="5"/>
  <c r="AY295" i="5"/>
  <c r="AW295" i="5"/>
  <c r="AT295" i="5"/>
  <c r="AS295" i="5"/>
  <c r="AR295" i="5"/>
  <c r="AQ295" i="5"/>
  <c r="AL295" i="5"/>
  <c r="AB295" i="5"/>
  <c r="AA295" i="5"/>
  <c r="W295" i="5"/>
  <c r="AO305" i="5"/>
  <c r="AC320" i="5"/>
  <c r="AD320" i="5"/>
  <c r="AC323" i="5"/>
  <c r="AT354" i="5"/>
  <c r="AS354" i="5"/>
  <c r="AQ354" i="5"/>
  <c r="AN354" i="5"/>
  <c r="AC354" i="5"/>
  <c r="AL375" i="5"/>
  <c r="AP432" i="5"/>
  <c r="AN455" i="5"/>
  <c r="AL487" i="5"/>
  <c r="AL505" i="5"/>
  <c r="AP37" i="5"/>
  <c r="R37" i="5"/>
  <c r="U37" i="5"/>
  <c r="S37" i="5"/>
  <c r="AE38" i="5"/>
  <c r="AS58" i="5"/>
  <c r="T58" i="5"/>
  <c r="AU58" i="5" s="1"/>
  <c r="AP58" i="5"/>
  <c r="AO58" i="5"/>
  <c r="AM58" i="5"/>
  <c r="AY58" i="5"/>
  <c r="AW58" i="5"/>
  <c r="AT58" i="5"/>
  <c r="AR58" i="5"/>
  <c r="AQ58" i="5"/>
  <c r="AJ58" i="5"/>
  <c r="V58" i="5"/>
  <c r="U58" i="5"/>
  <c r="AH59" i="5"/>
  <c r="AL59" i="5"/>
  <c r="AS59" i="5"/>
  <c r="AO59" i="5"/>
  <c r="T59" i="5"/>
  <c r="AU59" i="5" s="1"/>
  <c r="AV59" i="5" s="1"/>
  <c r="S59" i="5"/>
  <c r="R59" i="5"/>
  <c r="AN59" i="5"/>
  <c r="AS63" i="5"/>
  <c r="AD68" i="5"/>
  <c r="AA70" i="5"/>
  <c r="AQ89" i="5"/>
  <c r="AA101" i="5"/>
  <c r="AP138" i="5"/>
  <c r="AD138" i="5"/>
  <c r="AA138" i="5"/>
  <c r="W138" i="5"/>
  <c r="V138" i="5"/>
  <c r="R138" i="5"/>
  <c r="AS138" i="5"/>
  <c r="AQ138" i="5"/>
  <c r="AO138" i="5"/>
  <c r="AN138" i="5"/>
  <c r="AM138" i="5"/>
  <c r="AL138" i="5"/>
  <c r="AB138" i="5"/>
  <c r="AS151" i="5"/>
  <c r="V153" i="5"/>
  <c r="R153" i="5"/>
  <c r="S153" i="5"/>
  <c r="AJ153" i="5"/>
  <c r="AQ153" i="5"/>
  <c r="AP153" i="5"/>
  <c r="AE167" i="5"/>
  <c r="AJ169" i="5"/>
  <c r="AI169" i="5"/>
  <c r="AE169" i="5"/>
  <c r="AR169" i="5"/>
  <c r="AP169" i="5"/>
  <c r="AM169" i="5"/>
  <c r="AK169" i="5"/>
  <c r="U169" i="5"/>
  <c r="R169" i="5"/>
  <c r="AD169" i="5"/>
  <c r="AS172" i="5"/>
  <c r="AH182" i="5"/>
  <c r="R187" i="5"/>
  <c r="V187" i="5"/>
  <c r="W187" i="5"/>
  <c r="Z194" i="5"/>
  <c r="W209" i="5"/>
  <c r="S209" i="5"/>
  <c r="AJ209" i="5"/>
  <c r="AS209" i="5"/>
  <c r="AA209" i="5"/>
  <c r="U209" i="5"/>
  <c r="AR209" i="5"/>
  <c r="AP209" i="5"/>
  <c r="AE209" i="5"/>
  <c r="AS261" i="5"/>
  <c r="Z275" i="5"/>
  <c r="AC280" i="5"/>
  <c r="Y295" i="5"/>
  <c r="AP305" i="5"/>
  <c r="AS323" i="5"/>
  <c r="V338" i="5"/>
  <c r="S338" i="5"/>
  <c r="U338" i="5"/>
  <c r="T338" i="5"/>
  <c r="AU338" i="5" s="1"/>
  <c r="AD354" i="5"/>
  <c r="AR375" i="5"/>
  <c r="AF404" i="5"/>
  <c r="AE404" i="5"/>
  <c r="AD404" i="5"/>
  <c r="AC404" i="5"/>
  <c r="AI404" i="5"/>
  <c r="AH404" i="5"/>
  <c r="AK404" i="5"/>
  <c r="AJ404" i="5"/>
  <c r="AG404" i="5"/>
  <c r="AY404" i="5"/>
  <c r="AA404" i="5"/>
  <c r="AQ407" i="5"/>
  <c r="AL407" i="5"/>
  <c r="AP407" i="5"/>
  <c r="R407" i="5"/>
  <c r="AB407" i="5"/>
  <c r="AA407" i="5"/>
  <c r="AJ407" i="5"/>
  <c r="AI407" i="5"/>
  <c r="AH407" i="5"/>
  <c r="V407" i="5"/>
  <c r="T407" i="5"/>
  <c r="S407" i="5"/>
  <c r="AG407" i="5"/>
  <c r="AQ432" i="5"/>
  <c r="AS485" i="5"/>
  <c r="AH485" i="5"/>
  <c r="AB485" i="5"/>
  <c r="AA485" i="5"/>
  <c r="AG485" i="5"/>
  <c r="AF485" i="5"/>
  <c r="AE485" i="5"/>
  <c r="X485" i="5"/>
  <c r="AM487" i="5"/>
  <c r="AM504" i="5"/>
  <c r="U504" i="5"/>
  <c r="Z504" i="5"/>
  <c r="V504" i="5"/>
  <c r="AM505" i="5"/>
  <c r="AL38" i="5"/>
  <c r="AT59" i="5"/>
  <c r="AE68" i="5"/>
  <c r="AB70" i="5"/>
  <c r="AT89" i="5"/>
  <c r="AJ101" i="5"/>
  <c r="AW131" i="5"/>
  <c r="X131" i="5"/>
  <c r="AM131" i="5"/>
  <c r="AB131" i="5"/>
  <c r="AA131" i="5"/>
  <c r="AK131" i="5"/>
  <c r="AJ131" i="5"/>
  <c r="AI131" i="5"/>
  <c r="AQ131" i="5"/>
  <c r="AP131" i="5"/>
  <c r="AO131" i="5"/>
  <c r="AN131" i="5"/>
  <c r="AL131" i="5"/>
  <c r="AH131" i="5"/>
  <c r="W131" i="5"/>
  <c r="AY138" i="5"/>
  <c r="AC138" i="5"/>
  <c r="AT151" i="5"/>
  <c r="AY153" i="5"/>
  <c r="T166" i="5"/>
  <c r="AU166" i="5" s="1"/>
  <c r="R166" i="5"/>
  <c r="AF167" i="5"/>
  <c r="AQ170" i="5"/>
  <c r="AD170" i="5"/>
  <c r="AB170" i="5"/>
  <c r="AR170" i="5"/>
  <c r="AN170" i="5"/>
  <c r="AM170" i="5"/>
  <c r="T170" i="5"/>
  <c r="AU170" i="5" s="1"/>
  <c r="AX170" i="5" s="1"/>
  <c r="S170" i="5"/>
  <c r="AY170" i="5"/>
  <c r="R170" i="5"/>
  <c r="AW170" i="5"/>
  <c r="AL170" i="5"/>
  <c r="AK170" i="5"/>
  <c r="AJ170" i="5"/>
  <c r="AI170" i="5"/>
  <c r="AH170" i="5"/>
  <c r="AG170" i="5"/>
  <c r="AA170" i="5"/>
  <c r="AT172" i="5"/>
  <c r="AJ182" i="5"/>
  <c r="AM209" i="5"/>
  <c r="AO246" i="5"/>
  <c r="AJ246" i="5"/>
  <c r="AE246" i="5"/>
  <c r="AT246" i="5"/>
  <c r="V246" i="5"/>
  <c r="AS246" i="5"/>
  <c r="S246" i="5"/>
  <c r="AP246" i="5"/>
  <c r="AM246" i="5"/>
  <c r="AL246" i="5"/>
  <c r="AK246" i="5"/>
  <c r="AI246" i="5"/>
  <c r="AH246" i="5"/>
  <c r="AG246" i="5"/>
  <c r="R246" i="5"/>
  <c r="AQ246" i="5"/>
  <c r="AF246" i="5"/>
  <c r="Z246" i="5"/>
  <c r="AH262" i="5"/>
  <c r="AN262" i="5"/>
  <c r="AP262" i="5"/>
  <c r="AO262" i="5"/>
  <c r="AK262" i="5"/>
  <c r="AI262" i="5"/>
  <c r="AJ262" i="5"/>
  <c r="AY262" i="5"/>
  <c r="AW262" i="5"/>
  <c r="AM262" i="5"/>
  <c r="AL262" i="5"/>
  <c r="AA262" i="5"/>
  <c r="AA275" i="5"/>
  <c r="AD280" i="5"/>
  <c r="AC295" i="5"/>
  <c r="AS305" i="5"/>
  <c r="AT323" i="5"/>
  <c r="AE354" i="5"/>
  <c r="AB404" i="5"/>
  <c r="AK407" i="5"/>
  <c r="AA421" i="5"/>
  <c r="AC421" i="5"/>
  <c r="R421" i="5"/>
  <c r="T421" i="5"/>
  <c r="AU421" i="5" s="1"/>
  <c r="S421" i="5"/>
  <c r="AH421" i="5"/>
  <c r="AQ430" i="5"/>
  <c r="AH430" i="5"/>
  <c r="AF430" i="5"/>
  <c r="AC430" i="5"/>
  <c r="AB430" i="5"/>
  <c r="AY430" i="5"/>
  <c r="AW430" i="5"/>
  <c r="R430" i="5"/>
  <c r="AO430" i="5"/>
  <c r="AN430" i="5"/>
  <c r="AM430" i="5"/>
  <c r="AA430" i="5"/>
  <c r="AR432" i="5"/>
  <c r="Y485" i="5"/>
  <c r="AN487" i="5"/>
  <c r="AN505" i="5"/>
  <c r="AM38" i="5"/>
  <c r="AF68" i="5"/>
  <c r="AC70" i="5"/>
  <c r="AQ90" i="5"/>
  <c r="AD90" i="5"/>
  <c r="AL90" i="5"/>
  <c r="AW90" i="5"/>
  <c r="T90" i="5"/>
  <c r="AU90" i="5" s="1"/>
  <c r="S90" i="5"/>
  <c r="AR90" i="5"/>
  <c r="AN90" i="5"/>
  <c r="AM90" i="5"/>
  <c r="AG90" i="5"/>
  <c r="AF90" i="5"/>
  <c r="AE90" i="5"/>
  <c r="AC90" i="5"/>
  <c r="AB90" i="5"/>
  <c r="AA90" i="5"/>
  <c r="AJ90" i="5"/>
  <c r="AI90" i="5"/>
  <c r="Z90" i="5"/>
  <c r="AN101" i="5"/>
  <c r="Y131" i="5"/>
  <c r="AE138" i="5"/>
  <c r="AK167" i="5"/>
  <c r="AC170" i="5"/>
  <c r="AW172" i="5"/>
  <c r="AT209" i="5"/>
  <c r="AA246" i="5"/>
  <c r="AF262" i="5"/>
  <c r="AB275" i="5"/>
  <c r="AE280" i="5"/>
  <c r="AD295" i="5"/>
  <c r="AO306" i="5"/>
  <c r="AF306" i="5"/>
  <c r="AL306" i="5"/>
  <c r="AG306" i="5"/>
  <c r="AT306" i="5"/>
  <c r="S306" i="5"/>
  <c r="AS306" i="5"/>
  <c r="R306" i="5"/>
  <c r="AB306" i="5"/>
  <c r="AA306" i="5"/>
  <c r="Z306" i="5"/>
  <c r="AY306" i="5"/>
  <c r="AP306" i="5"/>
  <c r="AM306" i="5"/>
  <c r="AK306" i="5"/>
  <c r="AJ306" i="5"/>
  <c r="AI306" i="5"/>
  <c r="AH306" i="5"/>
  <c r="AE306" i="5"/>
  <c r="Y306" i="5"/>
  <c r="AV336" i="5"/>
  <c r="AX336" i="5"/>
  <c r="AF350" i="5"/>
  <c r="AE350" i="5"/>
  <c r="AI350" i="5"/>
  <c r="AH350" i="5"/>
  <c r="W350" i="5"/>
  <c r="V350" i="5"/>
  <c r="AT350" i="5"/>
  <c r="AS350" i="5"/>
  <c r="AN350" i="5"/>
  <c r="AM350" i="5"/>
  <c r="X350" i="5"/>
  <c r="AW350" i="5"/>
  <c r="AM354" i="5"/>
  <c r="AS404" i="5"/>
  <c r="AM407" i="5"/>
  <c r="AN421" i="5"/>
  <c r="R429" i="5"/>
  <c r="AE429" i="5"/>
  <c r="AB429" i="5"/>
  <c r="U429" i="5"/>
  <c r="AS429" i="5"/>
  <c r="AD430" i="5"/>
  <c r="U461" i="5"/>
  <c r="V461" i="5"/>
  <c r="AQ461" i="5"/>
  <c r="AJ461" i="5"/>
  <c r="T461" i="5"/>
  <c r="AU461" i="5" s="1"/>
  <c r="AO461" i="5"/>
  <c r="AL461" i="5"/>
  <c r="AK461" i="5"/>
  <c r="Z485" i="5"/>
  <c r="AS487" i="5"/>
  <c r="AA17" i="5"/>
  <c r="AB17" i="5"/>
  <c r="AH17" i="5"/>
  <c r="AE17" i="5"/>
  <c r="Y17" i="5" s="1"/>
  <c r="AD17" i="5"/>
  <c r="AC17" i="5"/>
  <c r="AB27" i="5"/>
  <c r="AA27" i="5"/>
  <c r="Z27" i="5"/>
  <c r="AC27" i="5"/>
  <c r="AN38" i="5"/>
  <c r="AC48" i="5"/>
  <c r="AH48" i="5"/>
  <c r="AG48" i="5"/>
  <c r="AP48" i="5"/>
  <c r="AJ48" i="5"/>
  <c r="AF48" i="5"/>
  <c r="AE48" i="5"/>
  <c r="AY59" i="5"/>
  <c r="AI68" i="5"/>
  <c r="AE70" i="5"/>
  <c r="AH90" i="5"/>
  <c r="AP101" i="5"/>
  <c r="Z131" i="5"/>
  <c r="AF138" i="5"/>
  <c r="V164" i="5"/>
  <c r="U164" i="5"/>
  <c r="T164" i="5"/>
  <c r="AU164" i="5" s="1"/>
  <c r="S164" i="5"/>
  <c r="AL167" i="5"/>
  <c r="AE170" i="5"/>
  <c r="AW209" i="5"/>
  <c r="AB246" i="5"/>
  <c r="AG262" i="5"/>
  <c r="AY275" i="5"/>
  <c r="AL280" i="5"/>
  <c r="AE295" i="5"/>
  <c r="V301" i="5"/>
  <c r="U301" i="5"/>
  <c r="T301" i="5"/>
  <c r="AU301" i="5" s="1"/>
  <c r="R301" i="5"/>
  <c r="AC306" i="5"/>
  <c r="AY350" i="5"/>
  <c r="AT384" i="5"/>
  <c r="AO384" i="5"/>
  <c r="AN384" i="5"/>
  <c r="AM384" i="5"/>
  <c r="AI384" i="5"/>
  <c r="Z384" i="5"/>
  <c r="AW404" i="5"/>
  <c r="AN407" i="5"/>
  <c r="R409" i="5"/>
  <c r="AW409" i="5"/>
  <c r="S409" i="5"/>
  <c r="AB409" i="5"/>
  <c r="AW421" i="5"/>
  <c r="AE430" i="5"/>
  <c r="AL485" i="5"/>
  <c r="AT487" i="5"/>
  <c r="AD28" i="5"/>
  <c r="AI28" i="5"/>
  <c r="AO38" i="5"/>
  <c r="AT48" i="5"/>
  <c r="AD60" i="5"/>
  <c r="AN60" i="5"/>
  <c r="AW60" i="5"/>
  <c r="AT60" i="5"/>
  <c r="AI60" i="5"/>
  <c r="AH60" i="5"/>
  <c r="AC60" i="5"/>
  <c r="AQ60" i="5"/>
  <c r="AP60" i="5"/>
  <c r="AO60" i="5"/>
  <c r="AM60" i="5"/>
  <c r="AL60" i="5"/>
  <c r="W60" i="5"/>
  <c r="AL68" i="5"/>
  <c r="AS70" i="5"/>
  <c r="AM78" i="5"/>
  <c r="AL78" i="5"/>
  <c r="AK78" i="5"/>
  <c r="AF78" i="5"/>
  <c r="AN78" i="5"/>
  <c r="AC78" i="5"/>
  <c r="AB78" i="5"/>
  <c r="AY78" i="5"/>
  <c r="AA78" i="5"/>
  <c r="AK90" i="5"/>
  <c r="AU101" i="5"/>
  <c r="AV101" i="5" s="1"/>
  <c r="AC131" i="5"/>
  <c r="AJ138" i="5"/>
  <c r="AM167" i="5"/>
  <c r="AF170" i="5"/>
  <c r="AU190" i="5"/>
  <c r="AV190" i="5" s="1"/>
  <c r="Y216" i="5"/>
  <c r="AR216" i="5"/>
  <c r="AD216" i="5"/>
  <c r="AC216" i="5"/>
  <c r="AF216" i="5"/>
  <c r="AB216" i="5"/>
  <c r="AE216" i="5"/>
  <c r="T216" i="5"/>
  <c r="AU216" i="5" s="1"/>
  <c r="S216" i="5"/>
  <c r="W216" i="5"/>
  <c r="AG216" i="5"/>
  <c r="AC246" i="5"/>
  <c r="AF295" i="5"/>
  <c r="AD306" i="5"/>
  <c r="AD340" i="5"/>
  <c r="AR340" i="5"/>
  <c r="AP340" i="5"/>
  <c r="AC340" i="5"/>
  <c r="AR351" i="5"/>
  <c r="AW351" i="5"/>
  <c r="AQ351" i="5"/>
  <c r="AP351" i="5"/>
  <c r="AM351" i="5"/>
  <c r="AL351" i="5"/>
  <c r="AK351" i="5"/>
  <c r="R351" i="5"/>
  <c r="AY351" i="5"/>
  <c r="AO351" i="5"/>
  <c r="AE351" i="5"/>
  <c r="AC384" i="5"/>
  <c r="AO407" i="5"/>
  <c r="AL430" i="5"/>
  <c r="AG483" i="5"/>
  <c r="AQ483" i="5"/>
  <c r="AP483" i="5"/>
  <c r="AN483" i="5"/>
  <c r="AT485" i="5"/>
  <c r="AW487" i="5"/>
  <c r="AQ38" i="5"/>
  <c r="AY48" i="5"/>
  <c r="Y60" i="5"/>
  <c r="AM68" i="5"/>
  <c r="AT70" i="5"/>
  <c r="AO78" i="5"/>
  <c r="AS90" i="5"/>
  <c r="AW101" i="5"/>
  <c r="AG131" i="5"/>
  <c r="AK138" i="5"/>
  <c r="AH142" i="5"/>
  <c r="AJ142" i="5"/>
  <c r="AB142" i="5"/>
  <c r="AA142" i="5"/>
  <c r="AP142" i="5"/>
  <c r="AO142" i="5"/>
  <c r="AN142" i="5"/>
  <c r="AT142" i="5"/>
  <c r="AS142" i="5"/>
  <c r="AR142" i="5"/>
  <c r="AQ142" i="5"/>
  <c r="AM142" i="5"/>
  <c r="AL142" i="5"/>
  <c r="AK142" i="5"/>
  <c r="V142" i="5"/>
  <c r="AP160" i="5"/>
  <c r="AH160" i="5"/>
  <c r="AO160" i="5"/>
  <c r="AM160" i="5"/>
  <c r="AN160" i="5"/>
  <c r="S160" i="5"/>
  <c r="R160" i="5"/>
  <c r="AW160" i="5"/>
  <c r="AT160" i="5"/>
  <c r="AQ160" i="5"/>
  <c r="AL160" i="5"/>
  <c r="AK160" i="5"/>
  <c r="AJ160" i="5"/>
  <c r="W160" i="5"/>
  <c r="T160" i="5"/>
  <c r="AB160" i="5"/>
  <c r="AO167" i="5"/>
  <c r="AS170" i="5"/>
  <c r="AH216" i="5"/>
  <c r="AD246" i="5"/>
  <c r="AG295" i="5"/>
  <c r="AQ306" i="5"/>
  <c r="AF340" i="5"/>
  <c r="AF351" i="5"/>
  <c r="AH384" i="5"/>
  <c r="R387" i="5"/>
  <c r="T387" i="5"/>
  <c r="AU387" i="5" s="1"/>
  <c r="S387" i="5"/>
  <c r="AQ389" i="5"/>
  <c r="AT389" i="5"/>
  <c r="AF389" i="5"/>
  <c r="AN389" i="5"/>
  <c r="AM389" i="5"/>
  <c r="R389" i="5"/>
  <c r="AY389" i="5"/>
  <c r="AS389" i="5"/>
  <c r="AO389" i="5"/>
  <c r="AL389" i="5"/>
  <c r="AK389" i="5"/>
  <c r="AJ389" i="5"/>
  <c r="Y389" i="5"/>
  <c r="W400" i="5"/>
  <c r="V400" i="5"/>
  <c r="U400" i="5"/>
  <c r="AY406" i="5"/>
  <c r="T406" i="5"/>
  <c r="AU406" i="5"/>
  <c r="AR407" i="5"/>
  <c r="AP430" i="5"/>
  <c r="AO483" i="5"/>
  <c r="AK488" i="5"/>
  <c r="AO488" i="5"/>
  <c r="AP488" i="5"/>
  <c r="AE488" i="5"/>
  <c r="AA488" i="5"/>
  <c r="AY488" i="5"/>
  <c r="AW488" i="5"/>
  <c r="AT488" i="5"/>
  <c r="AS488" i="5"/>
  <c r="AR488" i="5"/>
  <c r="AI488" i="5"/>
  <c r="AU488" i="5"/>
  <c r="Z488" i="5"/>
  <c r="Y488" i="5"/>
  <c r="X488" i="5"/>
  <c r="W488" i="5"/>
  <c r="S413" i="5"/>
  <c r="U413" i="5"/>
  <c r="AP413" i="5"/>
  <c r="V413" i="5"/>
  <c r="AK468" i="5"/>
  <c r="AR468" i="5"/>
  <c r="AB468" i="5"/>
  <c r="AP468" i="5"/>
  <c r="AO468" i="5"/>
  <c r="AJ468" i="5"/>
  <c r="AE468" i="5"/>
  <c r="AL468" i="5"/>
  <c r="AD468" i="5"/>
  <c r="AC468" i="5"/>
  <c r="T468" i="5"/>
  <c r="AU468" i="5" s="1"/>
  <c r="AV468" i="5" s="1"/>
  <c r="S468" i="5"/>
  <c r="R468" i="5"/>
  <c r="AA468" i="5"/>
  <c r="V468" i="5"/>
  <c r="AS468" i="5"/>
  <c r="V107" i="5"/>
  <c r="AN107" i="5"/>
  <c r="AF107" i="5"/>
  <c r="U107" i="5"/>
  <c r="R107" i="5"/>
  <c r="AT107" i="5"/>
  <c r="AS107" i="5"/>
  <c r="AK107" i="5"/>
  <c r="Y144" i="5"/>
  <c r="X165" i="5"/>
  <c r="AN165" i="5"/>
  <c r="AI165" i="5"/>
  <c r="AC165" i="5"/>
  <c r="U165" i="5"/>
  <c r="T165" i="5"/>
  <c r="AU165" i="5" s="1"/>
  <c r="S165" i="5"/>
  <c r="AW165" i="5"/>
  <c r="AY167" i="5"/>
  <c r="AQ225" i="5"/>
  <c r="AF225" i="5"/>
  <c r="AE225" i="5"/>
  <c r="AA225" i="5"/>
  <c r="Z225" i="5"/>
  <c r="AR225" i="5"/>
  <c r="AO225" i="5"/>
  <c r="AP225" i="5"/>
  <c r="AW225" i="5"/>
  <c r="AT225" i="5"/>
  <c r="AN225" i="5"/>
  <c r="AM225" i="5"/>
  <c r="X225" i="5"/>
  <c r="W276" i="5"/>
  <c r="AL276" i="5"/>
  <c r="AB276" i="5"/>
  <c r="V276" i="5"/>
  <c r="U276" i="5"/>
  <c r="AG276" i="5"/>
  <c r="AP425" i="5"/>
  <c r="AR425" i="5"/>
  <c r="AQ425" i="5"/>
  <c r="T425" i="5"/>
  <c r="AU425" i="5" s="1"/>
  <c r="S425" i="5"/>
  <c r="AM425" i="5"/>
  <c r="T445" i="5"/>
  <c r="AU445" i="5" s="1"/>
  <c r="AX445" i="5" s="1"/>
  <c r="AI445" i="5"/>
  <c r="AH445" i="5"/>
  <c r="AO445" i="5"/>
  <c r="AJ445" i="5"/>
  <c r="AQ445" i="5"/>
  <c r="AP445" i="5"/>
  <c r="AG445" i="5"/>
  <c r="AT445" i="5"/>
  <c r="W445" i="5"/>
  <c r="AW449" i="5"/>
  <c r="AI449" i="5"/>
  <c r="AS449" i="5"/>
  <c r="AC449" i="5"/>
  <c r="AB449" i="5"/>
  <c r="U449" i="5"/>
  <c r="T449" i="5"/>
  <c r="AU449" i="5"/>
  <c r="AX449" i="5" s="1"/>
  <c r="AT449" i="5"/>
  <c r="AQ449" i="5"/>
  <c r="AG449" i="5"/>
  <c r="AT468" i="5"/>
  <c r="X506" i="5"/>
  <c r="W506" i="5"/>
  <c r="V506" i="5"/>
  <c r="AA20" i="5"/>
  <c r="AE79" i="5"/>
  <c r="AS79" i="5"/>
  <c r="AG79" i="5"/>
  <c r="AO141" i="5"/>
  <c r="AJ141" i="5"/>
  <c r="AI141" i="5"/>
  <c r="AG141" i="5"/>
  <c r="AF141" i="5"/>
  <c r="AM141" i="5"/>
  <c r="AL141" i="5"/>
  <c r="AK141" i="5"/>
  <c r="AN141" i="5"/>
  <c r="AH141" i="5"/>
  <c r="AE141" i="5"/>
  <c r="AD141" i="5"/>
  <c r="AC141" i="5"/>
  <c r="AB141" i="5"/>
  <c r="V141" i="5"/>
  <c r="AC143" i="5"/>
  <c r="Z143" i="5"/>
  <c r="Y143" i="5"/>
  <c r="AC207" i="5"/>
  <c r="AW207" i="5"/>
  <c r="T207" i="5"/>
  <c r="AU207" i="5" s="1"/>
  <c r="R207" i="5"/>
  <c r="S207" i="5"/>
  <c r="AY207" i="5"/>
  <c r="AM207" i="5"/>
  <c r="T221" i="5"/>
  <c r="AU221" i="5" s="1"/>
  <c r="AY221" i="5"/>
  <c r="Y239" i="5"/>
  <c r="AP239" i="5"/>
  <c r="X239" i="5"/>
  <c r="AF239" i="5"/>
  <c r="AE239" i="5"/>
  <c r="AW239" i="5"/>
  <c r="AA239" i="5"/>
  <c r="U239" i="5"/>
  <c r="AG239" i="5"/>
  <c r="AP321" i="5"/>
  <c r="AA321" i="5"/>
  <c r="AB321" i="5"/>
  <c r="AI321" i="5"/>
  <c r="Z469" i="5"/>
  <c r="AN469" i="5"/>
  <c r="T469" i="5"/>
  <c r="AU469" i="5" s="1"/>
  <c r="AL469" i="5"/>
  <c r="AY469" i="5"/>
  <c r="AW469" i="5"/>
  <c r="AE469" i="5"/>
  <c r="AN476" i="5"/>
  <c r="AA476" i="5"/>
  <c r="AO476" i="5"/>
  <c r="AM476" i="5"/>
  <c r="AR476" i="5"/>
  <c r="AQ476" i="5"/>
  <c r="S476" i="5"/>
  <c r="R476" i="5"/>
  <c r="AY476" i="5"/>
  <c r="AW476" i="5"/>
  <c r="AP476" i="5"/>
  <c r="AI476" i="5"/>
  <c r="AG476" i="5"/>
  <c r="AC476" i="5"/>
  <c r="X495" i="5"/>
  <c r="AO495" i="5"/>
  <c r="AF495" i="5"/>
  <c r="AP495" i="5"/>
  <c r="AI495" i="5"/>
  <c r="AH495" i="5"/>
  <c r="AG495" i="5"/>
  <c r="AY495" i="5"/>
  <c r="AB495" i="5"/>
  <c r="T502" i="5"/>
  <c r="AU502" i="5" s="1"/>
  <c r="AR502" i="5"/>
  <c r="AH502" i="5"/>
  <c r="AA502" i="5"/>
  <c r="AW502" i="5"/>
  <c r="AQ502" i="5"/>
  <c r="R502" i="5"/>
  <c r="AY502" i="5"/>
  <c r="AO502" i="5"/>
  <c r="AB502" i="5"/>
  <c r="S502" i="5"/>
  <c r="AN502" i="5"/>
  <c r="AM502" i="5"/>
  <c r="AG502" i="5"/>
  <c r="AK263" i="5"/>
  <c r="AR263" i="5"/>
  <c r="R263" i="5"/>
  <c r="AY263" i="5"/>
  <c r="AQ263" i="5"/>
  <c r="AW263" i="5"/>
  <c r="X263" i="5"/>
  <c r="T263" i="5"/>
  <c r="S263" i="5"/>
  <c r="AB263" i="5"/>
  <c r="Z270" i="5"/>
  <c r="AT270" i="5"/>
  <c r="AR270" i="5"/>
  <c r="AQ270" i="5"/>
  <c r="AP270" i="5"/>
  <c r="AC270" i="5"/>
  <c r="AT361" i="5"/>
  <c r="AQ361" i="5"/>
  <c r="AP361" i="5"/>
  <c r="AY361" i="5"/>
  <c r="W361" i="5"/>
  <c r="AO422" i="5"/>
  <c r="AJ422" i="5"/>
  <c r="AT422" i="5"/>
  <c r="X422" i="5"/>
  <c r="AM422" i="5"/>
  <c r="AF422" i="5"/>
  <c r="AE422" i="5"/>
  <c r="AL422" i="5"/>
  <c r="AK422" i="5"/>
  <c r="AH422" i="5"/>
  <c r="AG422" i="5"/>
  <c r="AD422" i="5"/>
  <c r="AW422" i="5"/>
  <c r="AS422" i="5"/>
  <c r="AR422" i="5"/>
  <c r="W422" i="5"/>
  <c r="AN427" i="5"/>
  <c r="AP427" i="5"/>
  <c r="AL427" i="5"/>
  <c r="S437" i="5"/>
  <c r="AL437" i="5"/>
  <c r="AK437" i="5"/>
  <c r="AO437" i="5"/>
  <c r="AN437" i="5"/>
  <c r="AE437" i="5"/>
  <c r="AT36" i="5"/>
  <c r="S36" i="5"/>
  <c r="AR36" i="5"/>
  <c r="AQ36" i="5"/>
  <c r="AG36" i="5"/>
  <c r="S39" i="5"/>
  <c r="R39" i="5"/>
  <c r="AO39" i="5"/>
  <c r="AP67" i="5"/>
  <c r="AD67" i="5"/>
  <c r="AW67" i="5"/>
  <c r="R67" i="5"/>
  <c r="AF67" i="5"/>
  <c r="AE67" i="5"/>
  <c r="AM67" i="5"/>
  <c r="AL67" i="5"/>
  <c r="AK67" i="5"/>
  <c r="Y67" i="5"/>
  <c r="AO81" i="5"/>
  <c r="AE81" i="5"/>
  <c r="AF81" i="5"/>
  <c r="AG81" i="5"/>
  <c r="AD81" i="5"/>
  <c r="AJ81" i="5"/>
  <c r="AI81" i="5"/>
  <c r="AH81" i="5"/>
  <c r="V81" i="5"/>
  <c r="Z82" i="5"/>
  <c r="AB82" i="5"/>
  <c r="AG82" i="5"/>
  <c r="AF82" i="5"/>
  <c r="AL82" i="5"/>
  <c r="AK82" i="5"/>
  <c r="AJ82" i="5"/>
  <c r="W82" i="5"/>
  <c r="AQ130" i="5"/>
  <c r="AA130" i="5"/>
  <c r="AL130" i="5"/>
  <c r="AC130" i="5"/>
  <c r="AB130" i="5"/>
  <c r="AG130" i="5"/>
  <c r="AF130" i="5"/>
  <c r="AE130" i="5"/>
  <c r="X130" i="5"/>
  <c r="AQ210" i="5"/>
  <c r="AD210" i="5"/>
  <c r="AL210" i="5"/>
  <c r="AT210" i="5"/>
  <c r="R210" i="5"/>
  <c r="AJ210" i="5"/>
  <c r="AI210" i="5"/>
  <c r="AH210" i="5"/>
  <c r="AK210" i="5"/>
  <c r="AG210" i="5"/>
  <c r="AF210" i="5"/>
  <c r="AE210" i="5"/>
  <c r="Y210" i="5"/>
  <c r="AC263" i="5"/>
  <c r="AW270" i="5"/>
  <c r="AB272" i="5"/>
  <c r="AR272" i="5"/>
  <c r="R272" i="5"/>
  <c r="AD272" i="5"/>
  <c r="AC272" i="5"/>
  <c r="T272" i="5"/>
  <c r="AU272" i="5" s="1"/>
  <c r="AW272" i="5"/>
  <c r="S272" i="5"/>
  <c r="AT272" i="5"/>
  <c r="AQ272" i="5"/>
  <c r="AP272" i="5"/>
  <c r="AO272" i="5"/>
  <c r="Y272" i="5"/>
  <c r="AR304" i="5"/>
  <c r="AD304" i="5"/>
  <c r="AH304" i="5"/>
  <c r="Z304" i="5"/>
  <c r="AJ304" i="5"/>
  <c r="AI304" i="5"/>
  <c r="AM304" i="5"/>
  <c r="AK304" i="5"/>
  <c r="AL304" i="5"/>
  <c r="T304" i="5"/>
  <c r="AU304" i="5" s="1"/>
  <c r="AX304" i="5" s="1"/>
  <c r="S304" i="5"/>
  <c r="R304" i="5"/>
  <c r="AC304" i="5"/>
  <c r="U329" i="5"/>
  <c r="AR329" i="5"/>
  <c r="AY329" i="5"/>
  <c r="Z329" i="5"/>
  <c r="AA329" i="5"/>
  <c r="Y329" i="5"/>
  <c r="AF329" i="5"/>
  <c r="AL361" i="5"/>
  <c r="V376" i="5"/>
  <c r="AS376" i="5"/>
  <c r="AR376" i="5"/>
  <c r="AL376" i="5"/>
  <c r="AT376" i="5"/>
  <c r="AJ376" i="5"/>
  <c r="AG376" i="5"/>
  <c r="V393" i="5"/>
  <c r="AW393" i="5"/>
  <c r="T393" i="5"/>
  <c r="AU393" i="5" s="1"/>
  <c r="S393" i="5"/>
  <c r="AQ395" i="5"/>
  <c r="AC395" i="5"/>
  <c r="AT395" i="5"/>
  <c r="S395" i="5"/>
  <c r="AI395" i="5"/>
  <c r="AH395" i="5"/>
  <c r="X395" i="5"/>
  <c r="T395" i="5"/>
  <c r="AU395" i="5" s="1"/>
  <c r="AX395" i="5" s="1"/>
  <c r="AL395" i="5"/>
  <c r="AK395" i="5"/>
  <c r="AJ395" i="5"/>
  <c r="AY395" i="5"/>
  <c r="AW395" i="5"/>
  <c r="AA395" i="5"/>
  <c r="AT405" i="5"/>
  <c r="AW405" i="5"/>
  <c r="AS405" i="5"/>
  <c r="AO405" i="5"/>
  <c r="AH405" i="5"/>
  <c r="AD405" i="5"/>
  <c r="AC405" i="5"/>
  <c r="Z405" i="5"/>
  <c r="Y422" i="5"/>
  <c r="AM427" i="5"/>
  <c r="AI437" i="5"/>
  <c r="AH456" i="5"/>
  <c r="AF456" i="5"/>
  <c r="AC456" i="5"/>
  <c r="AL474" i="5"/>
  <c r="AB474" i="5"/>
  <c r="AA474" i="5"/>
  <c r="AY474" i="5"/>
  <c r="AK474" i="5"/>
  <c r="AC474" i="5"/>
  <c r="AL36" i="5"/>
  <c r="AD40" i="5"/>
  <c r="AR54" i="5"/>
  <c r="AS54" i="5"/>
  <c r="X54" i="5"/>
  <c r="Z54" i="5"/>
  <c r="Y54" i="5"/>
  <c r="AH54" i="5"/>
  <c r="AG54" i="5"/>
  <c r="AF54" i="5"/>
  <c r="AC54" i="5"/>
  <c r="AY67" i="5"/>
  <c r="Z67" i="5"/>
  <c r="W81" i="5"/>
  <c r="Y82" i="5"/>
  <c r="Z94" i="5"/>
  <c r="AE94" i="5"/>
  <c r="AH94" i="5"/>
  <c r="AD94" i="5"/>
  <c r="AW94" i="5"/>
  <c r="AO94" i="5"/>
  <c r="AN94" i="5"/>
  <c r="AB94" i="5"/>
  <c r="AQ125" i="5"/>
  <c r="AP125" i="5"/>
  <c r="AA125" i="5"/>
  <c r="AM125" i="5"/>
  <c r="AI125" i="5"/>
  <c r="AH125" i="5"/>
  <c r="AG125" i="5"/>
  <c r="AF125" i="5"/>
  <c r="X125" i="5"/>
  <c r="Y130" i="5"/>
  <c r="AM136" i="5"/>
  <c r="AC136" i="5"/>
  <c r="V136" i="5"/>
  <c r="S136" i="5"/>
  <c r="AT136" i="5"/>
  <c r="AA136" i="5"/>
  <c r="AG157" i="5"/>
  <c r="AL157" i="5"/>
  <c r="AK157" i="5"/>
  <c r="AE157" i="5"/>
  <c r="AY204" i="5"/>
  <c r="AM204" i="5"/>
  <c r="AI204" i="5"/>
  <c r="AL204" i="5"/>
  <c r="AT204" i="5"/>
  <c r="Z204" i="5"/>
  <c r="Z210" i="5"/>
  <c r="AD263" i="5"/>
  <c r="AY270" i="5"/>
  <c r="Z272" i="5"/>
  <c r="AE304" i="5"/>
  <c r="Z324" i="5"/>
  <c r="AG329" i="5"/>
  <c r="T333" i="5"/>
  <c r="AU333" i="5" s="1"/>
  <c r="AH333" i="5"/>
  <c r="AM333" i="5"/>
  <c r="AL333" i="5"/>
  <c r="AK333" i="5"/>
  <c r="AE333" i="5"/>
  <c r="AS341" i="5"/>
  <c r="AI341" i="5"/>
  <c r="AF341" i="5"/>
  <c r="AO341" i="5"/>
  <c r="AN341" i="5"/>
  <c r="AP341" i="5"/>
  <c r="AM341" i="5"/>
  <c r="AL341" i="5"/>
  <c r="AR341" i="5"/>
  <c r="AQ341" i="5"/>
  <c r="AH341" i="5"/>
  <c r="AG341" i="5"/>
  <c r="AB341" i="5"/>
  <c r="AQ356" i="5"/>
  <c r="AP356" i="5"/>
  <c r="X356" i="5"/>
  <c r="AG356" i="5"/>
  <c r="AC356" i="5"/>
  <c r="AB356" i="5"/>
  <c r="AA356" i="5"/>
  <c r="AI356" i="5"/>
  <c r="AH356" i="5"/>
  <c r="Z356" i="5"/>
  <c r="V356" i="5"/>
  <c r="S356" i="5"/>
  <c r="R356" i="5"/>
  <c r="AK356" i="5"/>
  <c r="AN361" i="5"/>
  <c r="AL381" i="5"/>
  <c r="AN381" i="5"/>
  <c r="AM381" i="5"/>
  <c r="AH381" i="5"/>
  <c r="Y381" i="5"/>
  <c r="AB395" i="5"/>
  <c r="AQ402" i="5"/>
  <c r="AN402" i="5"/>
  <c r="AM402" i="5"/>
  <c r="AK402" i="5"/>
  <c r="AI402" i="5"/>
  <c r="AG402" i="5"/>
  <c r="AF402" i="5"/>
  <c r="AE402" i="5"/>
  <c r="AB402" i="5"/>
  <c r="AA405" i="5"/>
  <c r="AW416" i="5"/>
  <c r="AD416" i="5"/>
  <c r="AJ416" i="5"/>
  <c r="AF416" i="5"/>
  <c r="AE416" i="5"/>
  <c r="AB416" i="5"/>
  <c r="Z416" i="5"/>
  <c r="AT416" i="5"/>
  <c r="Y416" i="5"/>
  <c r="Z422" i="5"/>
  <c r="AO427" i="5"/>
  <c r="AM437" i="5"/>
  <c r="AD499" i="5"/>
  <c r="AS499" i="5"/>
  <c r="AH499" i="5"/>
  <c r="AT499" i="5"/>
  <c r="AR499" i="5"/>
  <c r="T499" i="5"/>
  <c r="AU499" i="5" s="1"/>
  <c r="R499" i="5"/>
  <c r="AM499" i="5"/>
  <c r="AL499" i="5"/>
  <c r="AK499" i="5"/>
  <c r="AC499" i="5"/>
  <c r="AM36" i="5"/>
  <c r="AH40" i="5"/>
  <c r="AD54" i="5"/>
  <c r="AD64" i="5"/>
  <c r="AT64" i="5"/>
  <c r="AS64" i="5"/>
  <c r="AY64" i="5"/>
  <c r="AR64" i="5"/>
  <c r="AQ64" i="5"/>
  <c r="X64" i="5"/>
  <c r="AA67" i="5"/>
  <c r="X81" i="5"/>
  <c r="AA82" i="5"/>
  <c r="AC94" i="5"/>
  <c r="AB103" i="5"/>
  <c r="AH103" i="5"/>
  <c r="W103" i="5"/>
  <c r="AE103" i="5"/>
  <c r="AT108" i="5"/>
  <c r="AN108" i="5"/>
  <c r="AK108" i="5"/>
  <c r="AJ108" i="5"/>
  <c r="AI108" i="5"/>
  <c r="AH108" i="5"/>
  <c r="AG108" i="5"/>
  <c r="AA108" i="5"/>
  <c r="Y125" i="5"/>
  <c r="Z130" i="5"/>
  <c r="AB136" i="5"/>
  <c r="W146" i="5"/>
  <c r="AF204" i="5"/>
  <c r="AA210" i="5"/>
  <c r="AN250" i="5"/>
  <c r="AM250" i="5"/>
  <c r="AP250" i="5"/>
  <c r="AO250" i="5"/>
  <c r="AC250" i="5"/>
  <c r="AE263" i="5"/>
  <c r="AG271" i="5"/>
  <c r="R271" i="5"/>
  <c r="T271" i="5"/>
  <c r="AU271" i="5" s="1"/>
  <c r="AA272" i="5"/>
  <c r="T296" i="5"/>
  <c r="AU296" i="5" s="1"/>
  <c r="R296" i="5"/>
  <c r="S296" i="5"/>
  <c r="AJ296" i="5"/>
  <c r="Z296" i="5"/>
  <c r="V296" i="5"/>
  <c r="AQ296" i="5"/>
  <c r="AF304" i="5"/>
  <c r="AF324" i="5"/>
  <c r="AH329" i="5"/>
  <c r="AF333" i="5"/>
  <c r="AC341" i="5"/>
  <c r="AL356" i="5"/>
  <c r="AO361" i="5"/>
  <c r="AF381" i="5"/>
  <c r="AD395" i="5"/>
  <c r="AC402" i="5"/>
  <c r="AB405" i="5"/>
  <c r="AC416" i="5"/>
  <c r="V418" i="5"/>
  <c r="AT418" i="5"/>
  <c r="T418" i="5"/>
  <c r="AU418" i="5" s="1"/>
  <c r="AX418" i="5" s="1"/>
  <c r="AI418" i="5"/>
  <c r="Z418" i="5"/>
  <c r="X418" i="5"/>
  <c r="AA418" i="5"/>
  <c r="U418" i="5"/>
  <c r="AW418" i="5"/>
  <c r="AE418" i="5"/>
  <c r="AA422" i="5"/>
  <c r="AL434" i="5"/>
  <c r="AF434" i="5"/>
  <c r="AN434" i="5"/>
  <c r="AT434" i="5"/>
  <c r="AS434" i="5"/>
  <c r="AH434" i="5"/>
  <c r="AG434" i="5"/>
  <c r="AA434" i="5"/>
  <c r="AP437" i="5"/>
  <c r="AN443" i="5"/>
  <c r="T443" i="5"/>
  <c r="AK443" i="5"/>
  <c r="R443" i="5"/>
  <c r="AI443" i="5"/>
  <c r="AH443" i="5"/>
  <c r="AG443" i="5"/>
  <c r="AF443" i="5"/>
  <c r="AE443" i="5"/>
  <c r="AW443" i="5"/>
  <c r="AQ443" i="5"/>
  <c r="AB443" i="5"/>
  <c r="AG450" i="5"/>
  <c r="AI450" i="5"/>
  <c r="Y450" i="5"/>
  <c r="AS450" i="5"/>
  <c r="R450" i="5"/>
  <c r="AJ450" i="5"/>
  <c r="AH450" i="5"/>
  <c r="AB450" i="5"/>
  <c r="AA450" i="5"/>
  <c r="AL450" i="5"/>
  <c r="AK450" i="5"/>
  <c r="AF450" i="5"/>
  <c r="AE450" i="5"/>
  <c r="AD450" i="5"/>
  <c r="AC450" i="5"/>
  <c r="Z450" i="5"/>
  <c r="X450" i="5"/>
  <c r="AP479" i="5"/>
  <c r="AL479" i="5"/>
  <c r="AD479" i="5"/>
  <c r="X479" i="5"/>
  <c r="AR479" i="5"/>
  <c r="AO479" i="5"/>
  <c r="R479" i="5"/>
  <c r="AG479" i="5"/>
  <c r="AF479" i="5"/>
  <c r="AE479" i="5"/>
  <c r="AS479" i="5"/>
  <c r="AN479" i="5"/>
  <c r="AM479" i="5"/>
  <c r="AK479" i="5"/>
  <c r="Z479" i="5"/>
  <c r="AE499" i="5"/>
  <c r="AW508" i="5"/>
  <c r="X508" i="5"/>
  <c r="AT508" i="5"/>
  <c r="V508" i="5"/>
  <c r="AS508" i="5"/>
  <c r="R508" i="5"/>
  <c r="AR508" i="5"/>
  <c r="AP508" i="5"/>
  <c r="AO508" i="5"/>
  <c r="AN508" i="5"/>
  <c r="AM508" i="5"/>
  <c r="AL508" i="5"/>
  <c r="AI508" i="5"/>
  <c r="AH508" i="5"/>
  <c r="AF508" i="5"/>
  <c r="AE508" i="5"/>
  <c r="AD508" i="5"/>
  <c r="AC508" i="5"/>
  <c r="Z508" i="5"/>
  <c r="AE25" i="5"/>
  <c r="AQ25" i="5" s="1"/>
  <c r="AN36" i="5"/>
  <c r="AT40" i="5"/>
  <c r="AE54" i="5"/>
  <c r="Y64" i="5"/>
  <c r="AB67" i="5"/>
  <c r="Y81" i="5"/>
  <c r="AH82" i="5"/>
  <c r="AO92" i="5"/>
  <c r="AF92" i="5"/>
  <c r="AR92" i="5"/>
  <c r="S92" i="5"/>
  <c r="AD92" i="5"/>
  <c r="AC92" i="5"/>
  <c r="AG92" i="5"/>
  <c r="AE92" i="5"/>
  <c r="AB92" i="5"/>
  <c r="X92" i="5"/>
  <c r="AJ94" i="5"/>
  <c r="AF103" i="5"/>
  <c r="AE108" i="5"/>
  <c r="AO112" i="5"/>
  <c r="AI112" i="5"/>
  <c r="AK112" i="5"/>
  <c r="AJ112" i="5"/>
  <c r="AH112" i="5"/>
  <c r="AW112" i="5"/>
  <c r="S112" i="5"/>
  <c r="AT112" i="5"/>
  <c r="R112" i="5"/>
  <c r="AS112" i="5"/>
  <c r="Y112" i="5"/>
  <c r="Z125" i="5"/>
  <c r="AD130" i="5"/>
  <c r="AW135" i="5"/>
  <c r="U135" i="5"/>
  <c r="T135" i="5"/>
  <c r="AD136" i="5"/>
  <c r="X146" i="5"/>
  <c r="AN204" i="5"/>
  <c r="AB210" i="5"/>
  <c r="AE232" i="5"/>
  <c r="AD250" i="5"/>
  <c r="AI254" i="5"/>
  <c r="AD254" i="5"/>
  <c r="AM254" i="5"/>
  <c r="AK254" i="5"/>
  <c r="AJ254" i="5"/>
  <c r="AC254" i="5"/>
  <c r="AJ263" i="5"/>
  <c r="AR267" i="5"/>
  <c r="Z267" i="5"/>
  <c r="AN267" i="5"/>
  <c r="S267" i="5"/>
  <c r="R267" i="5"/>
  <c r="AI267" i="5"/>
  <c r="AH267" i="5"/>
  <c r="AG267" i="5"/>
  <c r="AT267" i="5"/>
  <c r="AQ267" i="5"/>
  <c r="Y267" i="5"/>
  <c r="AE272" i="5"/>
  <c r="AJ285" i="5"/>
  <c r="W285" i="5"/>
  <c r="U285" i="5"/>
  <c r="AR285" i="5"/>
  <c r="T285" i="5"/>
  <c r="AU285" i="5" s="1"/>
  <c r="AV285" i="5" s="1"/>
  <c r="AO286" i="5"/>
  <c r="AL286" i="5"/>
  <c r="AG286" i="5"/>
  <c r="AP286" i="5"/>
  <c r="AR286" i="5"/>
  <c r="AQ286" i="5"/>
  <c r="AE286" i="5"/>
  <c r="AD286" i="5"/>
  <c r="AC286" i="5"/>
  <c r="AF286" i="5"/>
  <c r="AB286" i="5"/>
  <c r="AA286" i="5"/>
  <c r="Z286" i="5"/>
  <c r="W286" i="5"/>
  <c r="AR296" i="5"/>
  <c r="AH302" i="5"/>
  <c r="AA302" i="5"/>
  <c r="V302" i="5"/>
  <c r="U302" i="5"/>
  <c r="AJ302" i="5"/>
  <c r="AG304" i="5"/>
  <c r="AS324" i="5"/>
  <c r="AI329" i="5"/>
  <c r="AG333" i="5"/>
  <c r="AD341" i="5"/>
  <c r="AM356" i="5"/>
  <c r="AR361" i="5"/>
  <c r="AG381" i="5"/>
  <c r="AE395" i="5"/>
  <c r="AD402" i="5"/>
  <c r="AP405" i="5"/>
  <c r="AK416" i="5"/>
  <c r="AF418" i="5"/>
  <c r="AB422" i="5"/>
  <c r="AB434" i="5"/>
  <c r="AR437" i="5"/>
  <c r="AC443" i="5"/>
  <c r="AM450" i="5"/>
  <c r="AA479" i="5"/>
  <c r="AF499" i="5"/>
  <c r="AA508" i="5"/>
  <c r="AD25" i="5"/>
  <c r="AY34" i="5"/>
  <c r="AC34" i="5"/>
  <c r="AQ34" i="5"/>
  <c r="AI34" i="5"/>
  <c r="AW34" i="5"/>
  <c r="AU34" i="5"/>
  <c r="AX34" i="5" s="1"/>
  <c r="Z34" i="5"/>
  <c r="AS36" i="5"/>
  <c r="AU40" i="5"/>
  <c r="AI54" i="5"/>
  <c r="Z64" i="5"/>
  <c r="AC67" i="5"/>
  <c r="Z81" i="5"/>
  <c r="AI82" i="5"/>
  <c r="Y92" i="5"/>
  <c r="AY94" i="5"/>
  <c r="AG103" i="5"/>
  <c r="AF108" i="5"/>
  <c r="Z112" i="5"/>
  <c r="AB125" i="5"/>
  <c r="AH130" i="5"/>
  <c r="AG136" i="5"/>
  <c r="AB146" i="5"/>
  <c r="S155" i="5"/>
  <c r="R155" i="5"/>
  <c r="U155" i="5"/>
  <c r="Z188" i="5"/>
  <c r="T188" i="5"/>
  <c r="AU188" i="5"/>
  <c r="AV188" i="5" s="1"/>
  <c r="AH188" i="5"/>
  <c r="AO204" i="5"/>
  <c r="AC210" i="5"/>
  <c r="AF232" i="5"/>
  <c r="AE250" i="5"/>
  <c r="AP254" i="5"/>
  <c r="AL263" i="5"/>
  <c r="AA267" i="5"/>
  <c r="AF272" i="5"/>
  <c r="R278" i="5"/>
  <c r="AT278" i="5"/>
  <c r="AQ278" i="5"/>
  <c r="AK278" i="5"/>
  <c r="AN278" i="5"/>
  <c r="Y278" i="5"/>
  <c r="X286" i="5"/>
  <c r="AS296" i="5"/>
  <c r="AK302" i="5"/>
  <c r="AN304" i="5"/>
  <c r="AB322" i="5"/>
  <c r="R322" i="5"/>
  <c r="AI322" i="5"/>
  <c r="T322" i="5"/>
  <c r="AU322" i="5" s="1"/>
  <c r="AX322" i="5" s="1"/>
  <c r="S322" i="5"/>
  <c r="AG322" i="5"/>
  <c r="AA322" i="5"/>
  <c r="W322" i="5"/>
  <c r="AL322" i="5"/>
  <c r="AT324" i="5"/>
  <c r="AQ329" i="5"/>
  <c r="AI333" i="5"/>
  <c r="AE341" i="5"/>
  <c r="AN356" i="5"/>
  <c r="AS361" i="5"/>
  <c r="AO381" i="5"/>
  <c r="AF395" i="5"/>
  <c r="AH402" i="5"/>
  <c r="AQ405" i="5"/>
  <c r="AN412" i="5"/>
  <c r="AL412" i="5"/>
  <c r="R412" i="5"/>
  <c r="U412" i="5"/>
  <c r="AK412" i="5"/>
  <c r="AM416" i="5"/>
  <c r="AG418" i="5"/>
  <c r="AC422" i="5"/>
  <c r="AE434" i="5"/>
  <c r="AS437" i="5"/>
  <c r="AJ443" i="5"/>
  <c r="AN450" i="5"/>
  <c r="AA471" i="5"/>
  <c r="AN471" i="5"/>
  <c r="AL471" i="5"/>
  <c r="AB479" i="5"/>
  <c r="AO493" i="5"/>
  <c r="AG493" i="5"/>
  <c r="AN493" i="5"/>
  <c r="R493" i="5"/>
  <c r="Y493" i="5"/>
  <c r="AA493" i="5"/>
  <c r="Z493" i="5"/>
  <c r="V493" i="5"/>
  <c r="AW493" i="5"/>
  <c r="T493" i="5"/>
  <c r="AU493" i="5" s="1"/>
  <c r="X493" i="5"/>
  <c r="W493" i="5"/>
  <c r="S493" i="5"/>
  <c r="AB493" i="5"/>
  <c r="AF493" i="5"/>
  <c r="AG499" i="5"/>
  <c r="AB508" i="5"/>
  <c r="AG25" i="5"/>
  <c r="AB34" i="5"/>
  <c r="AI44" i="5"/>
  <c r="AE44" i="5"/>
  <c r="AY44" i="5"/>
  <c r="AT44" i="5"/>
  <c r="AR44" i="5"/>
  <c r="Y44" i="5"/>
  <c r="AJ54" i="5"/>
  <c r="AO61" i="5"/>
  <c r="AC61" i="5"/>
  <c r="AK61" i="5"/>
  <c r="AR61" i="5"/>
  <c r="T61" i="5"/>
  <c r="AU61" i="5" s="1"/>
  <c r="AQ61" i="5"/>
  <c r="S61" i="5"/>
  <c r="AL61" i="5"/>
  <c r="AJ61" i="5"/>
  <c r="AI61" i="5"/>
  <c r="X61" i="5"/>
  <c r="AE64" i="5"/>
  <c r="AG67" i="5"/>
  <c r="AA81" i="5"/>
  <c r="AM82" i="5"/>
  <c r="X87" i="5"/>
  <c r="AC87" i="5"/>
  <c r="AG87" i="5"/>
  <c r="AF87" i="5"/>
  <c r="AY87" i="5"/>
  <c r="AW87" i="5"/>
  <c r="AT87" i="5"/>
  <c r="V87" i="5"/>
  <c r="Z92" i="5"/>
  <c r="AI95" i="5"/>
  <c r="S95" i="5"/>
  <c r="R95" i="5"/>
  <c r="AS95" i="5"/>
  <c r="AP103" i="5"/>
  <c r="AL108" i="5"/>
  <c r="AA112" i="5"/>
  <c r="AC125" i="5"/>
  <c r="AI130" i="5"/>
  <c r="AQ133" i="5"/>
  <c r="AK133" i="5"/>
  <c r="AJ133" i="5"/>
  <c r="AT133" i="5"/>
  <c r="V133" i="5"/>
  <c r="AL136" i="5"/>
  <c r="AC146" i="5"/>
  <c r="AD180" i="5"/>
  <c r="AK180" i="5"/>
  <c r="AT180" i="5"/>
  <c r="AS180" i="5"/>
  <c r="AR180" i="5"/>
  <c r="W180" i="5"/>
  <c r="AP180" i="5"/>
  <c r="AK188" i="5"/>
  <c r="AQ190" i="5"/>
  <c r="AY190" i="5"/>
  <c r="Z190" i="5"/>
  <c r="AL190" i="5"/>
  <c r="AA190" i="5"/>
  <c r="AD190" i="5"/>
  <c r="AC190" i="5"/>
  <c r="AB190" i="5"/>
  <c r="AK190" i="5"/>
  <c r="AJ190" i="5"/>
  <c r="AI190" i="5"/>
  <c r="AH190" i="5"/>
  <c r="X190" i="5"/>
  <c r="AO192" i="5"/>
  <c r="AB192" i="5"/>
  <c r="AS192" i="5"/>
  <c r="V192" i="5"/>
  <c r="AI192" i="5"/>
  <c r="AP192" i="5"/>
  <c r="AM192" i="5"/>
  <c r="AL192" i="5"/>
  <c r="AC192" i="5"/>
  <c r="AA192" i="5"/>
  <c r="Z192" i="5"/>
  <c r="Y192" i="5"/>
  <c r="X192" i="5"/>
  <c r="AP204" i="5"/>
  <c r="AM210" i="5"/>
  <c r="AO221" i="5"/>
  <c r="AM221" i="5"/>
  <c r="R221" i="5"/>
  <c r="AJ221" i="5"/>
  <c r="AD221" i="5"/>
  <c r="AC221" i="5"/>
  <c r="AN221" i="5"/>
  <c r="AL221" i="5"/>
  <c r="AK221" i="5"/>
  <c r="AH221" i="5"/>
  <c r="AG221" i="5"/>
  <c r="AF221" i="5"/>
  <c r="AE221" i="5"/>
  <c r="W221" i="5"/>
  <c r="AG232" i="5"/>
  <c r="AF250" i="5"/>
  <c r="AP255" i="5"/>
  <c r="AL255" i="5"/>
  <c r="AM255" i="5"/>
  <c r="AH255" i="5"/>
  <c r="AG255" i="5"/>
  <c r="S255" i="5"/>
  <c r="AS255" i="5"/>
  <c r="AT255" i="5"/>
  <c r="R255" i="5"/>
  <c r="AI255" i="5"/>
  <c r="AF255" i="5"/>
  <c r="AE255" i="5"/>
  <c r="AD255" i="5"/>
  <c r="Y255" i="5"/>
  <c r="AM263" i="5"/>
  <c r="AF267" i="5"/>
  <c r="AK272" i="5"/>
  <c r="AY278" i="5"/>
  <c r="Z278" i="5"/>
  <c r="Y286" i="5"/>
  <c r="AT296" i="5"/>
  <c r="AL302" i="5"/>
  <c r="AS304" i="5"/>
  <c r="AM322" i="5"/>
  <c r="AJ333" i="5"/>
  <c r="U342" i="5"/>
  <c r="AP342" i="5"/>
  <c r="AJ342" i="5"/>
  <c r="AI342" i="5"/>
  <c r="S342" i="5"/>
  <c r="X342" i="5"/>
  <c r="W342" i="5"/>
  <c r="T342" i="5"/>
  <c r="AU342" i="5" s="1"/>
  <c r="AD342" i="5"/>
  <c r="AO356" i="5"/>
  <c r="AW361" i="5"/>
  <c r="T364" i="5"/>
  <c r="AU364" i="5" s="1"/>
  <c r="R364" i="5"/>
  <c r="AO364" i="5"/>
  <c r="AJ364" i="5"/>
  <c r="AE364" i="5"/>
  <c r="AY364" i="5"/>
  <c r="AS364" i="5"/>
  <c r="AA364" i="5"/>
  <c r="AG395" i="5"/>
  <c r="AO402" i="5"/>
  <c r="AR405" i="5"/>
  <c r="AP412" i="5"/>
  <c r="AN416" i="5"/>
  <c r="AH418" i="5"/>
  <c r="AI422" i="5"/>
  <c r="AM434" i="5"/>
  <c r="AT437" i="5"/>
  <c r="AL443" i="5"/>
  <c r="AQ450" i="5"/>
  <c r="AT460" i="5"/>
  <c r="R460" i="5"/>
  <c r="AL460" i="5"/>
  <c r="AK460" i="5"/>
  <c r="T460" i="5"/>
  <c r="AU460" i="5" s="1"/>
  <c r="S460" i="5"/>
  <c r="AS460" i="5"/>
  <c r="AR460" i="5"/>
  <c r="AP460" i="5"/>
  <c r="AO460" i="5"/>
  <c r="AI460" i="5"/>
  <c r="W472" i="5"/>
  <c r="AQ472" i="5"/>
  <c r="AD472" i="5"/>
  <c r="AC472" i="5"/>
  <c r="AC479" i="5"/>
  <c r="AH493" i="5"/>
  <c r="AJ499" i="5"/>
  <c r="AG508" i="5"/>
  <c r="AF148" i="5"/>
  <c r="W217" i="5"/>
  <c r="AK237" i="5"/>
  <c r="AO257" i="5"/>
  <c r="AR257" i="5"/>
  <c r="R257" i="5"/>
  <c r="X257" i="5"/>
  <c r="AW257" i="5"/>
  <c r="V257" i="5"/>
  <c r="AT257" i="5"/>
  <c r="AI257" i="5"/>
  <c r="AH257" i="5"/>
  <c r="AG257" i="5"/>
  <c r="AA257" i="5"/>
  <c r="T335" i="5"/>
  <c r="AU335" i="5" s="1"/>
  <c r="AB335" i="5"/>
  <c r="AL335" i="5"/>
  <c r="Z335" i="5"/>
  <c r="AG335" i="5"/>
  <c r="AA335" i="5"/>
  <c r="Y335" i="5"/>
  <c r="U390" i="5"/>
  <c r="T390" i="5"/>
  <c r="AU390" i="5" s="1"/>
  <c r="AT390" i="5"/>
  <c r="AG390" i="5"/>
  <c r="AF390" i="5"/>
  <c r="AQ390" i="5"/>
  <c r="AP390" i="5"/>
  <c r="AO390" i="5"/>
  <c r="AE390" i="5"/>
  <c r="AS403" i="5"/>
  <c r="Y403" i="5"/>
  <c r="W403" i="5"/>
  <c r="R403" i="5"/>
  <c r="V403" i="5"/>
  <c r="AC403" i="5"/>
  <c r="AY411" i="5"/>
  <c r="T415" i="5"/>
  <c r="AU415" i="5" s="1"/>
  <c r="AX415" i="5" s="1"/>
  <c r="AE433" i="5"/>
  <c r="AA433" i="5"/>
  <c r="AD433" i="5"/>
  <c r="AF433" i="5"/>
  <c r="AC433" i="5"/>
  <c r="V433" i="5"/>
  <c r="U433" i="5"/>
  <c r="AL433" i="5"/>
  <c r="AK433" i="5"/>
  <c r="AJ433" i="5"/>
  <c r="AB433" i="5"/>
  <c r="AY450" i="5"/>
  <c r="AO41" i="5"/>
  <c r="AD41" i="5"/>
  <c r="AS41" i="5"/>
  <c r="W41" i="5"/>
  <c r="AH41" i="5"/>
  <c r="AG41" i="5"/>
  <c r="V41" i="5"/>
  <c r="AW41" i="5"/>
  <c r="AI46" i="5"/>
  <c r="AH46" i="5"/>
  <c r="AB46" i="5"/>
  <c r="AI53" i="5"/>
  <c r="S53" i="5"/>
  <c r="AO53" i="5"/>
  <c r="R53" i="5"/>
  <c r="AM69" i="5"/>
  <c r="AC69" i="5"/>
  <c r="AT69" i="5"/>
  <c r="AS69" i="5"/>
  <c r="V69" i="5"/>
  <c r="AO72" i="5"/>
  <c r="AP72" i="5"/>
  <c r="R72" i="5"/>
  <c r="AK72" i="5"/>
  <c r="AF72" i="5"/>
  <c r="AE72" i="5"/>
  <c r="X72" i="5"/>
  <c r="W104" i="5"/>
  <c r="AK140" i="5"/>
  <c r="AH140" i="5"/>
  <c r="AA140" i="5"/>
  <c r="X140" i="5"/>
  <c r="W140" i="5"/>
  <c r="AH148" i="5"/>
  <c r="AK162" i="5"/>
  <c r="AE196" i="5"/>
  <c r="AW196" i="5"/>
  <c r="W196" i="5"/>
  <c r="AY196" i="5"/>
  <c r="AT196" i="5"/>
  <c r="AN196" i="5"/>
  <c r="AF203" i="5"/>
  <c r="AQ203" i="5"/>
  <c r="AH203" i="5"/>
  <c r="Z203" i="5"/>
  <c r="U205" i="5"/>
  <c r="AH205" i="5"/>
  <c r="AI205" i="5"/>
  <c r="AC205" i="5"/>
  <c r="AC217" i="5"/>
  <c r="AO226" i="5"/>
  <c r="AP226" i="5"/>
  <c r="AL226" i="5"/>
  <c r="AF226" i="5"/>
  <c r="R226" i="5"/>
  <c r="X226" i="5"/>
  <c r="AP228" i="5"/>
  <c r="AW228" i="5"/>
  <c r="R228" i="5"/>
  <c r="Z228" i="5"/>
  <c r="V228" i="5"/>
  <c r="T228" i="5"/>
  <c r="AU228" i="5" s="1"/>
  <c r="AY228" i="5"/>
  <c r="AO228" i="5"/>
  <c r="AT228" i="5"/>
  <c r="AD228" i="5"/>
  <c r="AT237" i="5"/>
  <c r="AY257" i="5"/>
  <c r="AB257" i="5"/>
  <c r="AT259" i="5"/>
  <c r="AE259" i="5"/>
  <c r="AN259" i="5"/>
  <c r="AO259" i="5"/>
  <c r="AI259" i="5"/>
  <c r="AC259" i="5"/>
  <c r="AA259" i="5"/>
  <c r="AB259" i="5"/>
  <c r="Y259" i="5"/>
  <c r="AG307" i="5"/>
  <c r="R307" i="5"/>
  <c r="AH307" i="5"/>
  <c r="AT307" i="5"/>
  <c r="Y307" i="5"/>
  <c r="AO317" i="5"/>
  <c r="AM317" i="5"/>
  <c r="AE317" i="5"/>
  <c r="AH317" i="5"/>
  <c r="Z317" i="5"/>
  <c r="Y317" i="5"/>
  <c r="AW317" i="5"/>
  <c r="R317" i="5"/>
  <c r="AS317" i="5"/>
  <c r="AT317" i="5"/>
  <c r="X317" i="5"/>
  <c r="AH335" i="5"/>
  <c r="AP344" i="5"/>
  <c r="AJ344" i="5"/>
  <c r="AE344" i="5"/>
  <c r="AD344" i="5"/>
  <c r="AC344" i="5"/>
  <c r="AT344" i="5"/>
  <c r="AO344" i="5"/>
  <c r="Y344" i="5"/>
  <c r="AP366" i="5"/>
  <c r="AW366" i="5"/>
  <c r="Z366" i="5"/>
  <c r="AL366" i="5"/>
  <c r="AC366" i="5"/>
  <c r="AB366" i="5"/>
  <c r="AK366" i="5"/>
  <c r="AJ366" i="5"/>
  <c r="S366" i="5"/>
  <c r="AY366" i="5"/>
  <c r="R366" i="5"/>
  <c r="Y366" i="5"/>
  <c r="AE369" i="5"/>
  <c r="W369" i="5"/>
  <c r="AN369" i="5"/>
  <c r="AM369" i="5"/>
  <c r="Z369" i="5"/>
  <c r="Y369" i="5"/>
  <c r="AQ369" i="5"/>
  <c r="AP369" i="5"/>
  <c r="AO369" i="5"/>
  <c r="V369" i="5"/>
  <c r="AR390" i="5"/>
  <c r="AE403" i="5"/>
  <c r="AP428" i="5"/>
  <c r="AR428" i="5"/>
  <c r="R428" i="5"/>
  <c r="AG428" i="5"/>
  <c r="AE428" i="5"/>
  <c r="AA428" i="5"/>
  <c r="Z428" i="5"/>
  <c r="AN428" i="5"/>
  <c r="AM428" i="5"/>
  <c r="AW428" i="5"/>
  <c r="AS428" i="5"/>
  <c r="AO428" i="5"/>
  <c r="X428" i="5"/>
  <c r="AG433" i="5"/>
  <c r="AO442" i="5"/>
  <c r="AN442" i="5"/>
  <c r="S442" i="5"/>
  <c r="AW442" i="5"/>
  <c r="Y442" i="5"/>
  <c r="AH442" i="5"/>
  <c r="AR442" i="5"/>
  <c r="R442" i="5"/>
  <c r="AQ442" i="5"/>
  <c r="AB442" i="5"/>
  <c r="AA442" i="5"/>
  <c r="W442" i="5"/>
  <c r="V442" i="5"/>
  <c r="T442" i="5"/>
  <c r="AU442" i="5" s="1"/>
  <c r="AD442" i="5"/>
  <c r="R470" i="5"/>
  <c r="AE470" i="5"/>
  <c r="AK470" i="5"/>
  <c r="AF470" i="5"/>
  <c r="AC470" i="5"/>
  <c r="AB470" i="5"/>
  <c r="AP470" i="5"/>
  <c r="AO470" i="5"/>
  <c r="AD470" i="5"/>
  <c r="Z470" i="5"/>
  <c r="X41" i="5"/>
  <c r="AY41" i="5"/>
  <c r="AC46" i="5"/>
  <c r="W69" i="5"/>
  <c r="Y72" i="5"/>
  <c r="AS99" i="5"/>
  <c r="AL99" i="5"/>
  <c r="AD99" i="5"/>
  <c r="AW99" i="5"/>
  <c r="AT99" i="5"/>
  <c r="Z99" i="5"/>
  <c r="AY104" i="5"/>
  <c r="AK104" i="5"/>
  <c r="AQ110" i="5"/>
  <c r="Z110" i="5"/>
  <c r="Y110" i="5"/>
  <c r="AY110" i="5"/>
  <c r="T110" i="5"/>
  <c r="AU110" i="5" s="1"/>
  <c r="AV110" i="5" s="1"/>
  <c r="AW110" i="5"/>
  <c r="S110" i="5"/>
  <c r="AB110" i="5"/>
  <c r="U122" i="5"/>
  <c r="AG122" i="5"/>
  <c r="AF122" i="5"/>
  <c r="Y122" i="5"/>
  <c r="AH134" i="5"/>
  <c r="AY134" i="5"/>
  <c r="AW134" i="5"/>
  <c r="AE134" i="5"/>
  <c r="AI137" i="5"/>
  <c r="AH137" i="5"/>
  <c r="AD137" i="5"/>
  <c r="AC140" i="5"/>
  <c r="AM148" i="5"/>
  <c r="AG156" i="5"/>
  <c r="S156" i="5"/>
  <c r="R156" i="5"/>
  <c r="AE156" i="5"/>
  <c r="AN162" i="5"/>
  <c r="AA171" i="5"/>
  <c r="Z171" i="5"/>
  <c r="X171" i="5"/>
  <c r="AO196" i="5"/>
  <c r="AA203" i="5"/>
  <c r="AE205" i="5"/>
  <c r="AO217" i="5"/>
  <c r="T226" i="5"/>
  <c r="AB226" i="5"/>
  <c r="AE228" i="5"/>
  <c r="X238" i="5"/>
  <c r="AI238" i="5"/>
  <c r="AA238" i="5"/>
  <c r="AC257" i="5"/>
  <c r="Z259" i="5"/>
  <c r="Y268" i="5"/>
  <c r="AY268" i="5"/>
  <c r="AC268" i="5"/>
  <c r="Z307" i="5"/>
  <c r="AA317" i="5"/>
  <c r="V319" i="5"/>
  <c r="U319" i="5"/>
  <c r="AR319" i="5"/>
  <c r="AQ319" i="5"/>
  <c r="AP319" i="5"/>
  <c r="AO319" i="5"/>
  <c r="AN319" i="5"/>
  <c r="AK319" i="5"/>
  <c r="Z319" i="5"/>
  <c r="T326" i="5"/>
  <c r="AU326" i="5" s="1"/>
  <c r="AY326" i="5"/>
  <c r="AI335" i="5"/>
  <c r="Z344" i="5"/>
  <c r="AA366" i="5"/>
  <c r="X369" i="5"/>
  <c r="AO377" i="5"/>
  <c r="AF377" i="5"/>
  <c r="AH377" i="5"/>
  <c r="AG377" i="5"/>
  <c r="AE377" i="5"/>
  <c r="AB377" i="5"/>
  <c r="AA377" i="5"/>
  <c r="S377" i="5"/>
  <c r="R377" i="5"/>
  <c r="AW377" i="5"/>
  <c r="Y377" i="5"/>
  <c r="AS390" i="5"/>
  <c r="AF403" i="5"/>
  <c r="AE424" i="5"/>
  <c r="U424" i="5"/>
  <c r="AN424" i="5"/>
  <c r="AB428" i="5"/>
  <c r="AH433" i="5"/>
  <c r="AY442" i="5"/>
  <c r="AE442" i="5"/>
  <c r="AE444" i="5"/>
  <c r="AF444" i="5"/>
  <c r="AD444" i="5"/>
  <c r="AC444" i="5"/>
  <c r="AE448" i="5"/>
  <c r="AQ448" i="5"/>
  <c r="AJ448" i="5"/>
  <c r="AM448" i="5"/>
  <c r="AL448" i="5"/>
  <c r="AS448" i="5"/>
  <c r="AR448" i="5"/>
  <c r="AP448" i="5"/>
  <c r="AC448" i="5"/>
  <c r="AA470" i="5"/>
  <c r="X35" i="5"/>
  <c r="U35" i="5"/>
  <c r="AW35" i="5"/>
  <c r="AE35" i="5"/>
  <c r="Y41" i="5"/>
  <c r="Y42" i="5"/>
  <c r="AT42" i="5"/>
  <c r="AK42" i="5"/>
  <c r="AJ42" i="5"/>
  <c r="V42" i="5"/>
  <c r="AF46" i="5"/>
  <c r="X69" i="5"/>
  <c r="Z72" i="5"/>
  <c r="AA99" i="5"/>
  <c r="AN104" i="5"/>
  <c r="AC110" i="5"/>
  <c r="AA119" i="5"/>
  <c r="AG119" i="5"/>
  <c r="AF119" i="5"/>
  <c r="Z119" i="5"/>
  <c r="Z122" i="5"/>
  <c r="AI134" i="5"/>
  <c r="AE137" i="5"/>
  <c r="AD140" i="5"/>
  <c r="AN156" i="5"/>
  <c r="AO162" i="5"/>
  <c r="Y171" i="5"/>
  <c r="AR196" i="5"/>
  <c r="AO201" i="5"/>
  <c r="AI201" i="5"/>
  <c r="AJ201" i="5"/>
  <c r="AG201" i="5"/>
  <c r="AS201" i="5"/>
  <c r="T201" i="5"/>
  <c r="AU201" i="5" s="1"/>
  <c r="R201" i="5"/>
  <c r="AR201" i="5"/>
  <c r="S201" i="5"/>
  <c r="AQ201" i="5"/>
  <c r="Y201" i="5"/>
  <c r="AB203" i="5"/>
  <c r="AM205" i="5"/>
  <c r="AN214" i="5"/>
  <c r="AW214" i="5"/>
  <c r="Y214" i="5"/>
  <c r="AU217" i="5"/>
  <c r="AX217" i="5" s="1"/>
  <c r="AC226" i="5"/>
  <c r="AF228" i="5"/>
  <c r="AM234" i="5"/>
  <c r="T234" i="5"/>
  <c r="AU234" i="5" s="1"/>
  <c r="AX234" i="5" s="1"/>
  <c r="R234" i="5"/>
  <c r="S234" i="5"/>
  <c r="AP235" i="5"/>
  <c r="AT235" i="5"/>
  <c r="X235" i="5"/>
  <c r="AH235" i="5"/>
  <c r="AL235" i="5"/>
  <c r="AK235" i="5"/>
  <c r="AS235" i="5"/>
  <c r="AQ235" i="5"/>
  <c r="AR235" i="5"/>
  <c r="W235" i="5"/>
  <c r="AE238" i="5"/>
  <c r="AD257" i="5"/>
  <c r="AD259" i="5"/>
  <c r="AA307" i="5"/>
  <c r="AB317" i="5"/>
  <c r="AA319" i="5"/>
  <c r="AJ335" i="5"/>
  <c r="AR339" i="5"/>
  <c r="X339" i="5"/>
  <c r="AI339" i="5"/>
  <c r="AE339" i="5"/>
  <c r="AK339" i="5"/>
  <c r="AJ339" i="5"/>
  <c r="AG339" i="5"/>
  <c r="AF339" i="5"/>
  <c r="AD339" i="5"/>
  <c r="AB339" i="5"/>
  <c r="AA344" i="5"/>
  <c r="AD366" i="5"/>
  <c r="AD369" i="5"/>
  <c r="AY377" i="5"/>
  <c r="Z377" i="5"/>
  <c r="AQ388" i="5"/>
  <c r="U388" i="5"/>
  <c r="AI388" i="5"/>
  <c r="AH388" i="5"/>
  <c r="AP388" i="5"/>
  <c r="AO388" i="5"/>
  <c r="AR388" i="5"/>
  <c r="AK388" i="5"/>
  <c r="AJ388" i="5"/>
  <c r="AF388" i="5"/>
  <c r="AP401" i="5"/>
  <c r="AM401" i="5"/>
  <c r="AF401" i="5"/>
  <c r="AE401" i="5"/>
  <c r="AB401" i="5"/>
  <c r="AA401" i="5"/>
  <c r="V401" i="5"/>
  <c r="S401" i="5"/>
  <c r="R401" i="5"/>
  <c r="AC401" i="5"/>
  <c r="AJ403" i="5"/>
  <c r="AP424" i="5"/>
  <c r="AC428" i="5"/>
  <c r="AI433" i="5"/>
  <c r="AF442" i="5"/>
  <c r="AG444" i="5"/>
  <c r="AD448" i="5"/>
  <c r="AQ470" i="5"/>
  <c r="AN498" i="5"/>
  <c r="R498" i="5"/>
  <c r="AL498" i="5"/>
  <c r="AK498" i="5"/>
  <c r="AP498" i="5"/>
  <c r="AE498" i="5"/>
  <c r="Z173" i="5"/>
  <c r="AB206" i="5"/>
  <c r="U213" i="5"/>
  <c r="AP213" i="5"/>
  <c r="R213" i="5"/>
  <c r="AQ213" i="5"/>
  <c r="AO213" i="5"/>
  <c r="AG213" i="5"/>
  <c r="AS220" i="5"/>
  <c r="AN220" i="5"/>
  <c r="S220" i="5"/>
  <c r="R220" i="5"/>
  <c r="Z220" i="5"/>
  <c r="V282" i="5"/>
  <c r="AC282" i="5"/>
  <c r="R282" i="5"/>
  <c r="U345" i="5"/>
  <c r="S345" i="5"/>
  <c r="T349" i="5"/>
  <c r="AU349" i="5" s="1"/>
  <c r="S349" i="5"/>
  <c r="Z349" i="5"/>
  <c r="R349" i="5"/>
  <c r="AQ349" i="5"/>
  <c r="AP349" i="5"/>
  <c r="AG349" i="5"/>
  <c r="AO397" i="5"/>
  <c r="AD397" i="5"/>
  <c r="AY397" i="5"/>
  <c r="Y397" i="5"/>
  <c r="AP397" i="5"/>
  <c r="AM397" i="5"/>
  <c r="AH397" i="5"/>
  <c r="AG397" i="5"/>
  <c r="W397" i="5"/>
  <c r="T458" i="5"/>
  <c r="AU458" i="5" s="1"/>
  <c r="AI106" i="5"/>
  <c r="AP115" i="5"/>
  <c r="V115" i="5"/>
  <c r="X115" i="5"/>
  <c r="AR118" i="5"/>
  <c r="R118" i="5"/>
  <c r="Z118" i="5"/>
  <c r="AO152" i="5"/>
  <c r="AF152" i="5"/>
  <c r="AP152" i="5"/>
  <c r="W152" i="5"/>
  <c r="AW152" i="5"/>
  <c r="AP168" i="5"/>
  <c r="AM168" i="5"/>
  <c r="V168" i="5"/>
  <c r="AH206" i="5"/>
  <c r="AJ213" i="5"/>
  <c r="X215" i="5"/>
  <c r="AM215" i="5"/>
  <c r="AD215" i="5"/>
  <c r="AC215" i="5"/>
  <c r="W215" i="5"/>
  <c r="AL220" i="5"/>
  <c r="AK240" i="5"/>
  <c r="AY240" i="5"/>
  <c r="V240" i="5"/>
  <c r="AR248" i="5"/>
  <c r="AO248" i="5"/>
  <c r="AA248" i="5"/>
  <c r="Z248" i="5"/>
  <c r="Y248" i="5"/>
  <c r="AC252" i="5"/>
  <c r="AA252" i="5"/>
  <c r="R252" i="5"/>
  <c r="Y252" i="5"/>
  <c r="AE282" i="5"/>
  <c r="AK311" i="5"/>
  <c r="R311" i="5"/>
  <c r="S311" i="5"/>
  <c r="AO311" i="5"/>
  <c r="AN311" i="5"/>
  <c r="Y311" i="5"/>
  <c r="AT314" i="5"/>
  <c r="AG328" i="5"/>
  <c r="AF328" i="5"/>
  <c r="AY328" i="5"/>
  <c r="AW328" i="5"/>
  <c r="AR328" i="5"/>
  <c r="AA328" i="5"/>
  <c r="AB336" i="5"/>
  <c r="AK336" i="5"/>
  <c r="AC336" i="5"/>
  <c r="AH336" i="5"/>
  <c r="AG336" i="5"/>
  <c r="V336" i="5"/>
  <c r="AO337" i="5"/>
  <c r="AT337" i="5"/>
  <c r="X337" i="5"/>
  <c r="AF337" i="5"/>
  <c r="AA337" i="5"/>
  <c r="AE337" i="5"/>
  <c r="AD337" i="5"/>
  <c r="W337" i="5"/>
  <c r="AH349" i="5"/>
  <c r="X368" i="5"/>
  <c r="Y368" i="5"/>
  <c r="AK368" i="5"/>
  <c r="AJ368" i="5"/>
  <c r="AG368" i="5"/>
  <c r="AP378" i="5"/>
  <c r="AP386" i="5"/>
  <c r="AK386" i="5"/>
  <c r="X386" i="5"/>
  <c r="AB386" i="5"/>
  <c r="AA386" i="5"/>
  <c r="AD386" i="5"/>
  <c r="AC386" i="5"/>
  <c r="W386" i="5"/>
  <c r="X397" i="5"/>
  <c r="R419" i="5"/>
  <c r="AA419" i="5"/>
  <c r="AY419" i="5"/>
  <c r="AL419" i="5"/>
  <c r="AJ419" i="5"/>
  <c r="AP419" i="5"/>
  <c r="AO419" i="5"/>
  <c r="Y419" i="5"/>
  <c r="AI440" i="5"/>
  <c r="AG440" i="5"/>
  <c r="AW440" i="5"/>
  <c r="Y440" i="5"/>
  <c r="W464" i="5"/>
  <c r="AI464" i="5"/>
  <c r="AW464" i="5"/>
  <c r="AG464" i="5"/>
  <c r="AT496" i="5"/>
  <c r="AF496" i="5"/>
  <c r="AR496" i="5"/>
  <c r="V496" i="5"/>
  <c r="AY172" i="5"/>
  <c r="AO173" i="5"/>
  <c r="AT173" i="5"/>
  <c r="AN173" i="5"/>
  <c r="AY277" i="5"/>
  <c r="AD282" i="5"/>
  <c r="T115" i="5"/>
  <c r="AU115" i="5" s="1"/>
  <c r="Y115" i="5"/>
  <c r="AA118" i="5"/>
  <c r="AP128" i="5"/>
  <c r="AB128" i="5"/>
  <c r="AL128" i="5"/>
  <c r="AA128" i="5"/>
  <c r="X152" i="5"/>
  <c r="AY152" i="5"/>
  <c r="AY168" i="5"/>
  <c r="Z168" i="5"/>
  <c r="AJ173" i="5"/>
  <c r="AD197" i="5"/>
  <c r="S197" i="5"/>
  <c r="AQ197" i="5"/>
  <c r="AS199" i="5"/>
  <c r="Y199" i="5"/>
  <c r="AY199" i="5"/>
  <c r="R199" i="5"/>
  <c r="AO199" i="5"/>
  <c r="AB199" i="5"/>
  <c r="AO212" i="5"/>
  <c r="AG212" i="5"/>
  <c r="AS212" i="5"/>
  <c r="V212" i="5"/>
  <c r="AD212" i="5"/>
  <c r="AC212" i="5"/>
  <c r="X212" i="5"/>
  <c r="AL213" i="5"/>
  <c r="Y215" i="5"/>
  <c r="AM220" i="5"/>
  <c r="W240" i="5"/>
  <c r="AO245" i="5"/>
  <c r="S245" i="5"/>
  <c r="AU245" i="5"/>
  <c r="AX245" i="5" s="1"/>
  <c r="AT245" i="5"/>
  <c r="AB245" i="5"/>
  <c r="AB248" i="5"/>
  <c r="AJ251" i="5"/>
  <c r="AD251" i="5"/>
  <c r="Z252" i="5"/>
  <c r="AT279" i="5"/>
  <c r="AR279" i="5"/>
  <c r="W279" i="5"/>
  <c r="V279" i="5"/>
  <c r="AE279" i="5"/>
  <c r="AK282" i="5"/>
  <c r="AC291" i="5"/>
  <c r="AJ291" i="5"/>
  <c r="W291" i="5"/>
  <c r="AO291" i="5"/>
  <c r="AQ291" i="5"/>
  <c r="AK291" i="5"/>
  <c r="AB311" i="5"/>
  <c r="AW314" i="5"/>
  <c r="AP326" i="5"/>
  <c r="AH326" i="5"/>
  <c r="AF326" i="5"/>
  <c r="AS326" i="5"/>
  <c r="S326" i="5"/>
  <c r="AQ326" i="5"/>
  <c r="AN326" i="5"/>
  <c r="X326" i="5"/>
  <c r="AB328" i="5"/>
  <c r="W336" i="5"/>
  <c r="Y337" i="5"/>
  <c r="AI349" i="5"/>
  <c r="AN365" i="5"/>
  <c r="S365" i="5"/>
  <c r="AQ365" i="5"/>
  <c r="AN367" i="5"/>
  <c r="X367" i="5"/>
  <c r="AH368" i="5"/>
  <c r="AQ378" i="5"/>
  <c r="Y386" i="5"/>
  <c r="Z397" i="5"/>
  <c r="Z419" i="5"/>
  <c r="AJ440" i="5"/>
  <c r="AH464" i="5"/>
  <c r="AL484" i="5"/>
  <c r="AI484" i="5"/>
  <c r="AF484" i="5"/>
  <c r="AA484" i="5"/>
  <c r="Z484" i="5"/>
  <c r="AJ484" i="5"/>
  <c r="AH484" i="5"/>
  <c r="X484" i="5"/>
  <c r="T489" i="5"/>
  <c r="AW489" i="5"/>
  <c r="AM489" i="5"/>
  <c r="AI489" i="5"/>
  <c r="AE489" i="5"/>
  <c r="X496" i="5"/>
  <c r="AN503" i="5"/>
  <c r="R503" i="5"/>
  <c r="AJ503" i="5"/>
  <c r="AD503" i="5"/>
  <c r="AC503" i="5"/>
  <c r="T503" i="5"/>
  <c r="AU503" i="5" s="1"/>
  <c r="AT503" i="5"/>
  <c r="S503" i="5"/>
  <c r="AK503" i="5"/>
  <c r="AI503" i="5"/>
  <c r="Y503" i="5"/>
  <c r="T176" i="5"/>
  <c r="AU176" i="5" s="1"/>
  <c r="S176" i="5"/>
  <c r="AB176" i="5"/>
  <c r="AA176" i="5"/>
  <c r="AO183" i="5"/>
  <c r="U183" i="5"/>
  <c r="AC183" i="5"/>
  <c r="Z189" i="5"/>
  <c r="AN189" i="5"/>
  <c r="W189" i="5"/>
  <c r="AO208" i="5"/>
  <c r="S208" i="5"/>
  <c r="AC208" i="5"/>
  <c r="AJ223" i="5"/>
  <c r="V266" i="5"/>
  <c r="T269" i="5"/>
  <c r="AU269" i="5" s="1"/>
  <c r="AC396" i="5"/>
  <c r="AP396" i="5"/>
  <c r="AO396" i="5"/>
  <c r="AA396" i="5"/>
  <c r="AS431" i="5"/>
  <c r="AT431" i="5"/>
  <c r="AQ431" i="5"/>
  <c r="AO431" i="5"/>
  <c r="Z431" i="5"/>
  <c r="AK473" i="5"/>
  <c r="X473" i="5"/>
  <c r="AG473" i="5"/>
  <c r="AF473" i="5"/>
  <c r="AE473" i="5"/>
  <c r="AC480" i="5"/>
  <c r="AC241" i="5"/>
  <c r="AF241" i="5"/>
  <c r="AE241" i="5"/>
  <c r="AR264" i="5"/>
  <c r="AI264" i="5"/>
  <c r="AU264" i="5"/>
  <c r="R264" i="5"/>
  <c r="Z264" i="5"/>
  <c r="AO266" i="5"/>
  <c r="AD266" i="5"/>
  <c r="AM266" i="5"/>
  <c r="W266" i="5"/>
  <c r="AW266" i="5"/>
  <c r="V269" i="5"/>
  <c r="AQ292" i="5"/>
  <c r="R292" i="5"/>
  <c r="AE292" i="5"/>
  <c r="AB396" i="5"/>
  <c r="AA431" i="5"/>
  <c r="AT439" i="5"/>
  <c r="AD439" i="5"/>
  <c r="AE439" i="5"/>
  <c r="AP439" i="5"/>
  <c r="R439" i="5"/>
  <c r="Z439" i="5"/>
  <c r="AB465" i="5"/>
  <c r="AH465" i="5"/>
  <c r="AM465" i="5"/>
  <c r="AW465" i="5"/>
  <c r="X465" i="5"/>
  <c r="AE465" i="5"/>
  <c r="AD465" i="5"/>
  <c r="V465" i="5"/>
  <c r="AH473" i="5"/>
  <c r="AD480" i="5"/>
  <c r="T491" i="5"/>
  <c r="AU491" i="5" s="1"/>
  <c r="AV491" i="5" s="1"/>
  <c r="AS491" i="5"/>
  <c r="AW491" i="5"/>
  <c r="AL491" i="5"/>
  <c r="AP408" i="5"/>
  <c r="S408" i="5"/>
  <c r="AM408" i="5"/>
  <c r="AW408" i="5"/>
  <c r="T408" i="5"/>
  <c r="AU408" i="5" s="1"/>
  <c r="Z408" i="5"/>
  <c r="T455" i="5"/>
  <c r="AU455" i="5" s="1"/>
  <c r="AI457" i="5"/>
  <c r="AE457" i="5"/>
  <c r="AF457" i="5"/>
  <c r="Y457" i="5"/>
  <c r="AO462" i="5"/>
  <c r="AJ462" i="5"/>
  <c r="AL462" i="5"/>
  <c r="AS462" i="5"/>
  <c r="V462" i="5"/>
  <c r="X462" i="5"/>
  <c r="AY463" i="5"/>
  <c r="W463" i="5"/>
  <c r="AF463" i="5"/>
  <c r="AY490" i="5"/>
  <c r="T490" i="5"/>
  <c r="AU490" i="5" s="1"/>
  <c r="Z490" i="5"/>
  <c r="AB490" i="5"/>
  <c r="Y490" i="5"/>
  <c r="S507" i="5"/>
  <c r="AP507" i="5"/>
  <c r="AJ507" i="5"/>
  <c r="AI507" i="5"/>
  <c r="AC507" i="5"/>
  <c r="AA47" i="5"/>
  <c r="AS49" i="5"/>
  <c r="AO52" i="5"/>
  <c r="AR52" i="5"/>
  <c r="V52" i="5"/>
  <c r="X52" i="5"/>
  <c r="AW52" i="5"/>
  <c r="AG57" i="5"/>
  <c r="AF97" i="5"/>
  <c r="AA116" i="5"/>
  <c r="AG147" i="5"/>
  <c r="AY176" i="5"/>
  <c r="AO181" i="5"/>
  <c r="AK181" i="5"/>
  <c r="V181" i="5"/>
  <c r="AR181" i="5"/>
  <c r="V195" i="5"/>
  <c r="T224" i="5"/>
  <c r="T258" i="5"/>
  <c r="AU258" i="5" s="1"/>
  <c r="Z258" i="5"/>
  <c r="AC281" i="5"/>
  <c r="X281" i="5"/>
  <c r="AY282" i="5"/>
  <c r="X308" i="5"/>
  <c r="V308" i="5"/>
  <c r="AI308" i="5"/>
  <c r="AB308" i="5"/>
  <c r="AF359" i="5"/>
  <c r="AQ359" i="5"/>
  <c r="AA359" i="5"/>
  <c r="AP406" i="5"/>
  <c r="AQ406" i="5"/>
  <c r="S406" i="5"/>
  <c r="AT406" i="5"/>
  <c r="W406" i="5"/>
  <c r="Y406" i="5"/>
  <c r="AW406" i="5"/>
  <c r="AA408" i="5"/>
  <c r="AP436" i="5"/>
  <c r="AN436" i="5"/>
  <c r="AL436" i="5"/>
  <c r="AT436" i="5"/>
  <c r="R436" i="5"/>
  <c r="X436" i="5"/>
  <c r="AL452" i="5"/>
  <c r="AD452" i="5"/>
  <c r="AA452" i="5"/>
  <c r="V452" i="5"/>
  <c r="AU452" i="5"/>
  <c r="Z457" i="5"/>
  <c r="Y462" i="5"/>
  <c r="AJ463" i="5"/>
  <c r="AA490" i="5"/>
  <c r="AI501" i="5"/>
  <c r="U501" i="5"/>
  <c r="AW501" i="5"/>
  <c r="AA501" i="5"/>
  <c r="T507" i="5"/>
  <c r="AE507" i="5"/>
  <c r="AF62" i="5"/>
  <c r="AB65" i="5"/>
  <c r="AB77" i="5"/>
  <c r="AK111" i="5"/>
  <c r="V121" i="5"/>
  <c r="AQ121" i="5"/>
  <c r="T128" i="5"/>
  <c r="AU128" i="5" s="1"/>
  <c r="T131" i="5"/>
  <c r="AU131" i="5" s="1"/>
  <c r="AX131" i="5" s="1"/>
  <c r="Z154" i="5"/>
  <c r="T215" i="5"/>
  <c r="AU215" i="5" s="1"/>
  <c r="X230" i="5"/>
  <c r="AU230" i="5"/>
  <c r="AE312" i="5"/>
  <c r="AA348" i="5"/>
  <c r="Z370" i="5"/>
  <c r="V382" i="5"/>
  <c r="AB383" i="5"/>
  <c r="U417" i="5"/>
  <c r="AK417" i="5"/>
  <c r="AO417" i="5"/>
  <c r="AC417" i="5"/>
  <c r="AK454" i="5"/>
  <c r="AE454" i="5"/>
  <c r="V454" i="5"/>
  <c r="AF467" i="5"/>
  <c r="AL467" i="5"/>
  <c r="X467" i="5"/>
  <c r="AP492" i="5"/>
  <c r="AK492" i="5"/>
  <c r="AT492" i="5"/>
  <c r="R492" i="5"/>
  <c r="Y492" i="5"/>
  <c r="AG494" i="5"/>
  <c r="AO494" i="5"/>
  <c r="Z494" i="5"/>
  <c r="T293" i="5"/>
  <c r="AU293" i="5" s="1"/>
  <c r="AX293" i="5" s="1"/>
  <c r="AA293" i="5"/>
  <c r="Y315" i="5"/>
  <c r="T316" i="5"/>
  <c r="AU316" i="5" s="1"/>
  <c r="X316" i="5"/>
  <c r="W331" i="5"/>
  <c r="AY331" i="5"/>
  <c r="X355" i="5"/>
  <c r="AC438" i="5"/>
  <c r="AP441" i="5"/>
  <c r="AT441" i="5"/>
  <c r="S441" i="5"/>
  <c r="Y441" i="5"/>
  <c r="X446" i="5"/>
  <c r="AF447" i="5"/>
  <c r="AY481" i="5"/>
  <c r="AF481" i="5"/>
  <c r="AY31" i="5"/>
  <c r="AD31" i="5"/>
  <c r="AI31" i="5"/>
  <c r="AI178" i="5"/>
  <c r="AH178" i="5"/>
  <c r="AG178" i="5"/>
  <c r="AJ178" i="5"/>
  <c r="AE178" i="5"/>
  <c r="AD178" i="5"/>
  <c r="AR178" i="5"/>
  <c r="R178" i="5"/>
  <c r="AQ178" i="5"/>
  <c r="AO178" i="5"/>
  <c r="U178" i="5"/>
  <c r="AW178" i="5"/>
  <c r="T178" i="5"/>
  <c r="AU178" i="5" s="1"/>
  <c r="AF178" i="5"/>
  <c r="Z178" i="5"/>
  <c r="Y178" i="5"/>
  <c r="AC178" i="5"/>
  <c r="AB178" i="5"/>
  <c r="AA178" i="5"/>
  <c r="AY178" i="5"/>
  <c r="S178" i="5"/>
  <c r="AT178" i="5"/>
  <c r="AC19" i="5"/>
  <c r="AY19" i="5"/>
  <c r="AI19" i="5"/>
  <c r="AA19" i="5"/>
  <c r="AB19" i="5"/>
  <c r="Z19" i="5"/>
  <c r="AL45" i="5"/>
  <c r="R45" i="5"/>
  <c r="AK45" i="5"/>
  <c r="AJ45" i="5"/>
  <c r="AO45" i="5"/>
  <c r="AM45" i="5"/>
  <c r="AI45" i="5"/>
  <c r="X45" i="5"/>
  <c r="AW45" i="5"/>
  <c r="W45" i="5"/>
  <c r="U45" i="5"/>
  <c r="AP45" i="5"/>
  <c r="AN45" i="5"/>
  <c r="AT45" i="5"/>
  <c r="AH45" i="5"/>
  <c r="AS45" i="5"/>
  <c r="AQ45" i="5"/>
  <c r="AR45" i="5"/>
  <c r="AG45" i="5"/>
  <c r="AF45" i="5"/>
  <c r="AE45" i="5"/>
  <c r="AC45" i="5"/>
  <c r="AB45" i="5"/>
  <c r="AY45" i="5"/>
  <c r="AD45" i="5"/>
  <c r="AA45" i="5"/>
  <c r="Z45" i="5"/>
  <c r="Y45" i="5"/>
  <c r="AF51" i="5"/>
  <c r="AY51" i="5"/>
  <c r="AE51" i="5"/>
  <c r="AD51" i="5"/>
  <c r="AP51" i="5"/>
  <c r="S51" i="5"/>
  <c r="AN51" i="5"/>
  <c r="AM51" i="5"/>
  <c r="AA51" i="5"/>
  <c r="Z51" i="5"/>
  <c r="X51" i="5"/>
  <c r="AS51" i="5"/>
  <c r="AR51" i="5"/>
  <c r="AK51" i="5"/>
  <c r="AC51" i="5"/>
  <c r="AJ51" i="5"/>
  <c r="AG51" i="5"/>
  <c r="AI51" i="5"/>
  <c r="AH51" i="5"/>
  <c r="AO51" i="5"/>
  <c r="AT51" i="5"/>
  <c r="AQ51" i="5"/>
  <c r="AL51" i="5"/>
  <c r="AW51" i="5"/>
  <c r="Y51" i="5"/>
  <c r="AB51" i="5"/>
  <c r="V51" i="5"/>
  <c r="AT117" i="5"/>
  <c r="Z117" i="5"/>
  <c r="AS117" i="5"/>
  <c r="Y117" i="5"/>
  <c r="AR117" i="5"/>
  <c r="X117" i="5"/>
  <c r="AG117" i="5"/>
  <c r="AE117" i="5"/>
  <c r="AD117" i="5"/>
  <c r="S117" i="5"/>
  <c r="R117" i="5"/>
  <c r="AP117" i="5"/>
  <c r="T117" i="5"/>
  <c r="AU117" i="5" s="1"/>
  <c r="AY117" i="5"/>
  <c r="AW117" i="5"/>
  <c r="AO117" i="5"/>
  <c r="AN117" i="5"/>
  <c r="AM117" i="5"/>
  <c r="AQ117" i="5"/>
  <c r="AH117" i="5"/>
  <c r="AK117" i="5"/>
  <c r="AJ117" i="5"/>
  <c r="AF117" i="5"/>
  <c r="AL117" i="5"/>
  <c r="AI117" i="5"/>
  <c r="AC117" i="5"/>
  <c r="AB117" i="5"/>
  <c r="AA117" i="5"/>
  <c r="AQ174" i="5"/>
  <c r="S198" i="5"/>
  <c r="AD289" i="5"/>
  <c r="AH374" i="5"/>
  <c r="AG374" i="5"/>
  <c r="AF374" i="5"/>
  <c r="AJ374" i="5"/>
  <c r="AI374" i="5"/>
  <c r="AE374" i="5"/>
  <c r="AD374" i="5"/>
  <c r="AN374" i="5"/>
  <c r="AM374" i="5"/>
  <c r="AL374" i="5"/>
  <c r="AP374" i="5"/>
  <c r="AK374" i="5"/>
  <c r="AC374" i="5"/>
  <c r="AY374" i="5"/>
  <c r="R374" i="5"/>
  <c r="AW374" i="5"/>
  <c r="AR374" i="5"/>
  <c r="AQ374" i="5"/>
  <c r="AB374" i="5"/>
  <c r="AO374" i="5"/>
  <c r="Z374" i="5"/>
  <c r="AT374" i="5"/>
  <c r="AA374" i="5"/>
  <c r="AS374" i="5"/>
  <c r="Y374" i="5"/>
  <c r="X374" i="5"/>
  <c r="W374" i="5"/>
  <c r="V374" i="5"/>
  <c r="W51" i="5"/>
  <c r="T153" i="5"/>
  <c r="AU153" i="5" s="1"/>
  <c r="AR174" i="5"/>
  <c r="AB29" i="5"/>
  <c r="AL25" i="5"/>
  <c r="AK25" i="5"/>
  <c r="AJ25" i="5"/>
  <c r="AM25" i="5"/>
  <c r="W25" i="5" s="1"/>
  <c r="AY25" i="5"/>
  <c r="AB25" i="5"/>
  <c r="AA25" i="5"/>
  <c r="T25" i="5"/>
  <c r="AU25" i="5" s="1"/>
  <c r="Z25" i="5"/>
  <c r="AI25" i="5"/>
  <c r="AH25" i="5"/>
  <c r="AI198" i="5"/>
  <c r="AH198" i="5"/>
  <c r="AG198" i="5"/>
  <c r="AC198" i="5"/>
  <c r="AA198" i="5"/>
  <c r="AW198" i="5"/>
  <c r="Z198" i="5"/>
  <c r="AF198" i="5"/>
  <c r="AE198" i="5"/>
  <c r="AB198" i="5"/>
  <c r="AJ198" i="5"/>
  <c r="AD198" i="5"/>
  <c r="X198" i="5"/>
  <c r="AT198" i="5"/>
  <c r="AQ198" i="5"/>
  <c r="AO198" i="5"/>
  <c r="AS198" i="5"/>
  <c r="AR198" i="5"/>
  <c r="AP198" i="5"/>
  <c r="AY198" i="5"/>
  <c r="AU198" i="5"/>
  <c r="AN198" i="5"/>
  <c r="AM198" i="5"/>
  <c r="AK198" i="5"/>
  <c r="AL198" i="5"/>
  <c r="Y198" i="5"/>
  <c r="V198" i="5"/>
  <c r="W198" i="5"/>
  <c r="U198" i="5"/>
  <c r="AW289" i="5"/>
  <c r="AC289" i="5"/>
  <c r="AB289" i="5"/>
  <c r="AA289" i="5"/>
  <c r="AT289" i="5"/>
  <c r="Z289" i="5"/>
  <c r="AR289" i="5"/>
  <c r="T289" i="5"/>
  <c r="AU289" i="5" s="1"/>
  <c r="AQ289" i="5"/>
  <c r="S289" i="5"/>
  <c r="AP289" i="5"/>
  <c r="R289" i="5"/>
  <c r="Y289" i="5"/>
  <c r="W289" i="5"/>
  <c r="V289" i="5"/>
  <c r="AO289" i="5"/>
  <c r="AN289" i="5"/>
  <c r="AL289" i="5"/>
  <c r="AJ289" i="5"/>
  <c r="AI289" i="5"/>
  <c r="AG289" i="5"/>
  <c r="AM289" i="5"/>
  <c r="AY289" i="5"/>
  <c r="AS289" i="5"/>
  <c r="AK289" i="5"/>
  <c r="AH289" i="5"/>
  <c r="AF289" i="5"/>
  <c r="U289" i="5"/>
  <c r="V330" i="5"/>
  <c r="AC25" i="5"/>
  <c r="AX48" i="5"/>
  <c r="AV48" i="5"/>
  <c r="AM174" i="5"/>
  <c r="S174" i="5"/>
  <c r="AL174" i="5"/>
  <c r="R174" i="5"/>
  <c r="AK174" i="5"/>
  <c r="AP174" i="5"/>
  <c r="AN174" i="5"/>
  <c r="AJ174" i="5"/>
  <c r="AB174" i="5"/>
  <c r="AA174" i="5"/>
  <c r="AY174" i="5"/>
  <c r="Y174" i="5"/>
  <c r="AI174" i="5"/>
  <c r="AH174" i="5"/>
  <c r="AF174" i="5"/>
  <c r="AO174" i="5"/>
  <c r="Z174" i="5"/>
  <c r="AG174" i="5"/>
  <c r="AD174" i="5"/>
  <c r="AE174" i="5"/>
  <c r="AC174" i="5"/>
  <c r="V174" i="5"/>
  <c r="U174" i="5"/>
  <c r="T174" i="5"/>
  <c r="AU174" i="5" s="1"/>
  <c r="X174" i="5"/>
  <c r="W174" i="5"/>
  <c r="AT174" i="5"/>
  <c r="V178" i="5"/>
  <c r="AY505" i="5"/>
  <c r="AL330" i="5"/>
  <c r="R330" i="5"/>
  <c r="AK330" i="5"/>
  <c r="AE330" i="5"/>
  <c r="AD330" i="5"/>
  <c r="AY330" i="5"/>
  <c r="AC330" i="5"/>
  <c r="AB330" i="5"/>
  <c r="AN330" i="5"/>
  <c r="AM330" i="5"/>
  <c r="AJ330" i="5"/>
  <c r="AW330" i="5"/>
  <c r="T330" i="5"/>
  <c r="AU330" i="5" s="1"/>
  <c r="AT330" i="5"/>
  <c r="AG330" i="5"/>
  <c r="AF330" i="5"/>
  <c r="AA330" i="5"/>
  <c r="Z330" i="5"/>
  <c r="Y330" i="5"/>
  <c r="AQ330" i="5"/>
  <c r="X330" i="5"/>
  <c r="AP330" i="5"/>
  <c r="AH330" i="5"/>
  <c r="AO330" i="5"/>
  <c r="AI330" i="5"/>
  <c r="U330" i="5"/>
  <c r="S330" i="5"/>
  <c r="AS330" i="5"/>
  <c r="Z31" i="5"/>
  <c r="R31" i="5" s="1"/>
  <c r="AL178" i="5"/>
  <c r="AK466" i="5"/>
  <c r="AG466" i="5"/>
  <c r="AF466" i="5"/>
  <c r="AE466" i="5"/>
  <c r="AN466" i="5"/>
  <c r="AM466" i="5"/>
  <c r="AL466" i="5"/>
  <c r="AD466" i="5"/>
  <c r="AC466" i="5"/>
  <c r="AB466" i="5"/>
  <c r="AA466" i="5"/>
  <c r="AH466" i="5"/>
  <c r="Z466" i="5"/>
  <c r="Y466" i="5"/>
  <c r="X466" i="5"/>
  <c r="W466" i="5"/>
  <c r="V466" i="5"/>
  <c r="T466" i="5"/>
  <c r="AU466" i="5" s="1"/>
  <c r="AT466" i="5"/>
  <c r="AS466" i="5"/>
  <c r="AR466" i="5"/>
  <c r="AP466" i="5"/>
  <c r="AO466" i="5"/>
  <c r="AW466" i="5"/>
  <c r="AQ466" i="5"/>
  <c r="AJ466" i="5"/>
  <c r="S466" i="5"/>
  <c r="AI466" i="5"/>
  <c r="U466" i="5"/>
  <c r="R466" i="5"/>
  <c r="AM178" i="5"/>
  <c r="T67" i="5"/>
  <c r="AU67" i="5" s="1"/>
  <c r="AI29" i="5"/>
  <c r="AD29" i="5"/>
  <c r="AY29" i="5"/>
  <c r="Z29" i="5"/>
  <c r="Y29" i="5"/>
  <c r="T29" i="5"/>
  <c r="AU29" i="5"/>
  <c r="R29" i="5"/>
  <c r="AQ29" i="5"/>
  <c r="AL29" i="5"/>
  <c r="AC29" i="5" s="1"/>
  <c r="AJ29" i="5"/>
  <c r="AM29" i="5" s="1"/>
  <c r="AK29" i="5"/>
  <c r="AA26" i="5"/>
  <c r="Y26" i="5"/>
  <c r="AL26" i="5"/>
  <c r="AY26" i="5"/>
  <c r="AB26" i="5"/>
  <c r="AD26" i="5"/>
  <c r="AC26" i="5"/>
  <c r="AI26" i="5"/>
  <c r="AY133" i="5"/>
  <c r="AU133" i="5"/>
  <c r="AI10" i="5"/>
  <c r="AY10" i="5"/>
  <c r="AF11" i="5" s="1"/>
  <c r="AF10" i="5"/>
  <c r="AB10" i="5"/>
  <c r="AD10" i="5"/>
  <c r="AB31" i="5"/>
  <c r="AD13" i="5"/>
  <c r="AC13" i="5"/>
  <c r="AB13" i="5"/>
  <c r="AY13" i="5"/>
  <c r="AI13" i="5"/>
  <c r="AG13" i="5"/>
  <c r="AL13" i="5"/>
  <c r="AH13" i="5"/>
  <c r="AA251" i="5"/>
  <c r="AT251" i="5"/>
  <c r="Z251" i="5"/>
  <c r="AS251" i="5"/>
  <c r="Y251" i="5"/>
  <c r="AR251" i="5"/>
  <c r="X251" i="5"/>
  <c r="AQ251" i="5"/>
  <c r="S251" i="5"/>
  <c r="AP251" i="5"/>
  <c r="R251" i="5"/>
  <c r="AO251" i="5"/>
  <c r="AB251" i="5"/>
  <c r="V251" i="5"/>
  <c r="U251" i="5"/>
  <c r="AC251" i="5"/>
  <c r="W251" i="5"/>
  <c r="AH251" i="5"/>
  <c r="AG251" i="5"/>
  <c r="AE251" i="5"/>
  <c r="AY251" i="5"/>
  <c r="AW251" i="5"/>
  <c r="AN251" i="5"/>
  <c r="AM251" i="5"/>
  <c r="AL251" i="5"/>
  <c r="AK251" i="5"/>
  <c r="T251" i="5"/>
  <c r="AU251" i="5" s="1"/>
  <c r="AX467" i="5"/>
  <c r="AV140" i="5"/>
  <c r="AX140" i="5"/>
  <c r="AK178" i="5"/>
  <c r="AJ187" i="5"/>
  <c r="AI187" i="5"/>
  <c r="AH187" i="5"/>
  <c r="AN187" i="5"/>
  <c r="AL187" i="5"/>
  <c r="AK187" i="5"/>
  <c r="AT187" i="5"/>
  <c r="T187" i="5"/>
  <c r="AU187" i="5" s="1"/>
  <c r="AS187" i="5"/>
  <c r="S187" i="5"/>
  <c r="AQ187" i="5"/>
  <c r="AF187" i="5"/>
  <c r="AE187" i="5"/>
  <c r="AC187" i="5"/>
  <c r="AW187" i="5"/>
  <c r="AO187" i="5"/>
  <c r="AR187" i="5"/>
  <c r="AP187" i="5"/>
  <c r="Z187" i="5"/>
  <c r="U187" i="5"/>
  <c r="AG187" i="5"/>
  <c r="AD187" i="5"/>
  <c r="AY187" i="5"/>
  <c r="AM187" i="5"/>
  <c r="AB187" i="5"/>
  <c r="AA187" i="5"/>
  <c r="AE29" i="5"/>
  <c r="AK56" i="5"/>
  <c r="AJ56" i="5"/>
  <c r="AI56" i="5"/>
  <c r="AD56" i="5"/>
  <c r="AY56" i="5"/>
  <c r="AB56" i="5"/>
  <c r="AA56" i="5"/>
  <c r="AN56" i="5"/>
  <c r="AM56" i="5"/>
  <c r="AH56" i="5"/>
  <c r="AR56" i="5"/>
  <c r="AQ56" i="5"/>
  <c r="AU56" i="5"/>
  <c r="AL56" i="5"/>
  <c r="AT56" i="5"/>
  <c r="AO56" i="5"/>
  <c r="AS56" i="5"/>
  <c r="AP56" i="5"/>
  <c r="AW56" i="5"/>
  <c r="AG56" i="5"/>
  <c r="AF56" i="5"/>
  <c r="AE56" i="5"/>
  <c r="AC56" i="5"/>
  <c r="AM299" i="5"/>
  <c r="S299" i="5"/>
  <c r="AL299" i="5"/>
  <c r="R299" i="5"/>
  <c r="AK299" i="5"/>
  <c r="AJ299" i="5"/>
  <c r="AI299" i="5"/>
  <c r="AH299" i="5"/>
  <c r="AG299" i="5"/>
  <c r="AF299" i="5"/>
  <c r="AD299" i="5"/>
  <c r="AC299" i="5"/>
  <c r="AQ299" i="5"/>
  <c r="AP299" i="5"/>
  <c r="AN299" i="5"/>
  <c r="AE299" i="5"/>
  <c r="AW299" i="5"/>
  <c r="AT299" i="5"/>
  <c r="AR299" i="5"/>
  <c r="AS299" i="5"/>
  <c r="AO299" i="5"/>
  <c r="AB299" i="5"/>
  <c r="AY299" i="5"/>
  <c r="AA299" i="5"/>
  <c r="X299" i="5"/>
  <c r="Z299" i="5"/>
  <c r="Y299" i="5"/>
  <c r="W56" i="5"/>
  <c r="AN178" i="5"/>
  <c r="AG265" i="5"/>
  <c r="AF265" i="5"/>
  <c r="AY265" i="5"/>
  <c r="AE265" i="5"/>
  <c r="AD265" i="5"/>
  <c r="AK265" i="5"/>
  <c r="AJ265" i="5"/>
  <c r="AI265" i="5"/>
  <c r="T265" i="5"/>
  <c r="AU265" i="5" s="1"/>
  <c r="AS265" i="5"/>
  <c r="R265" i="5"/>
  <c r="AR265" i="5"/>
  <c r="AP265" i="5"/>
  <c r="AO265" i="5"/>
  <c r="AM265" i="5"/>
  <c r="AW265" i="5"/>
  <c r="AC265" i="5"/>
  <c r="AB265" i="5"/>
  <c r="Y265" i="5"/>
  <c r="X265" i="5"/>
  <c r="AA265" i="5"/>
  <c r="Z265" i="5"/>
  <c r="V265" i="5"/>
  <c r="U265" i="5"/>
  <c r="S265" i="5"/>
  <c r="X187" i="5"/>
  <c r="AD298" i="5"/>
  <c r="AW298" i="5"/>
  <c r="AC298" i="5"/>
  <c r="AB298" i="5"/>
  <c r="AU298" i="5"/>
  <c r="AA298" i="5"/>
  <c r="AN298" i="5"/>
  <c r="AM298" i="5"/>
  <c r="AL298" i="5"/>
  <c r="AH298" i="5"/>
  <c r="AF298" i="5"/>
  <c r="AE298" i="5"/>
  <c r="AI298" i="5"/>
  <c r="AG298" i="5"/>
  <c r="Z298" i="5"/>
  <c r="Y298" i="5"/>
  <c r="X298" i="5"/>
  <c r="AO298" i="5"/>
  <c r="AK298" i="5"/>
  <c r="W298" i="5"/>
  <c r="T298" i="5"/>
  <c r="S298" i="5"/>
  <c r="R298" i="5"/>
  <c r="V298" i="5"/>
  <c r="AP298" i="5"/>
  <c r="AJ298" i="5"/>
  <c r="U298" i="5"/>
  <c r="AA31" i="5"/>
  <c r="U56" i="5"/>
  <c r="Y187" i="5"/>
  <c r="AY298" i="5"/>
  <c r="AP178" i="5"/>
  <c r="AI218" i="5"/>
  <c r="AH218" i="5"/>
  <c r="AG218" i="5"/>
  <c r="Y218" i="5"/>
  <c r="AT218" i="5"/>
  <c r="W218" i="5"/>
  <c r="AS218" i="5"/>
  <c r="V218" i="5"/>
  <c r="AO218" i="5"/>
  <c r="AN218" i="5"/>
  <c r="AL218" i="5"/>
  <c r="AC218" i="5"/>
  <c r="AB218" i="5"/>
  <c r="Z218" i="5"/>
  <c r="AM218" i="5"/>
  <c r="AK218" i="5"/>
  <c r="AR218" i="5"/>
  <c r="AP218" i="5"/>
  <c r="AQ218" i="5"/>
  <c r="AJ218" i="5"/>
  <c r="X218" i="5"/>
  <c r="AY218" i="5"/>
  <c r="AW218" i="5"/>
  <c r="AF218" i="5"/>
  <c r="AE218" i="5"/>
  <c r="AD218" i="5"/>
  <c r="AA218" i="5"/>
  <c r="T218" i="5"/>
  <c r="AU218" i="5" s="1"/>
  <c r="S218" i="5"/>
  <c r="R218" i="5"/>
  <c r="W338" i="5"/>
  <c r="AK76" i="5"/>
  <c r="AJ76" i="5"/>
  <c r="AI76" i="5"/>
  <c r="AW76" i="5"/>
  <c r="Z76" i="5"/>
  <c r="X76" i="5"/>
  <c r="AT76" i="5"/>
  <c r="W76" i="5"/>
  <c r="Y76" i="5"/>
  <c r="AY76" i="5"/>
  <c r="V76" i="5"/>
  <c r="T76" i="5"/>
  <c r="AU76" i="5" s="1"/>
  <c r="AH76" i="5"/>
  <c r="AG76" i="5"/>
  <c r="AP76" i="5"/>
  <c r="AS76" i="5"/>
  <c r="AR76" i="5"/>
  <c r="AQ76" i="5"/>
  <c r="AO76" i="5"/>
  <c r="R76" i="5"/>
  <c r="AM76" i="5"/>
  <c r="AN76" i="5"/>
  <c r="U76" i="5"/>
  <c r="S76" i="5"/>
  <c r="AY22" i="5"/>
  <c r="AD22" i="5"/>
  <c r="AC22" i="5"/>
  <c r="AI22" i="5"/>
  <c r="AA22" i="5"/>
  <c r="AL22" i="5"/>
  <c r="AB22" i="5"/>
  <c r="Y22" i="5"/>
  <c r="Y10" i="5"/>
  <c r="AF76" i="5"/>
  <c r="AN159" i="5"/>
  <c r="AT157" i="5"/>
  <c r="Z157" i="5"/>
  <c r="AS157" i="5"/>
  <c r="Y157" i="5"/>
  <c r="AR157" i="5"/>
  <c r="X157" i="5"/>
  <c r="V157" i="5"/>
  <c r="AQ157" i="5"/>
  <c r="T157" i="5"/>
  <c r="AU157" i="5" s="1"/>
  <c r="AP157" i="5"/>
  <c r="S157" i="5"/>
  <c r="AI157" i="5"/>
  <c r="AH157" i="5"/>
  <c r="AF157" i="5"/>
  <c r="AW157" i="5"/>
  <c r="AO157" i="5"/>
  <c r="W157" i="5"/>
  <c r="U157" i="5"/>
  <c r="R157" i="5"/>
  <c r="AJ157" i="5"/>
  <c r="AB157" i="5"/>
  <c r="AY157" i="5"/>
  <c r="AN157" i="5"/>
  <c r="AM157" i="5"/>
  <c r="AD157" i="5"/>
  <c r="AC157" i="5"/>
  <c r="AA157" i="5"/>
  <c r="AS178" i="5"/>
  <c r="AV235" i="5"/>
  <c r="Z56" i="5"/>
  <c r="AU307" i="5"/>
  <c r="AL435" i="5"/>
  <c r="R435" i="5"/>
  <c r="AP435" i="5"/>
  <c r="U435" i="5"/>
  <c r="AD435" i="5"/>
  <c r="AY435" i="5"/>
  <c r="AC435" i="5"/>
  <c r="AB435" i="5"/>
  <c r="AO435" i="5"/>
  <c r="AN435" i="5"/>
  <c r="AM435" i="5"/>
  <c r="AK435" i="5"/>
  <c r="AE435" i="5"/>
  <c r="AA435" i="5"/>
  <c r="Z435" i="5"/>
  <c r="Y435" i="5"/>
  <c r="V435" i="5"/>
  <c r="T435" i="5"/>
  <c r="AU435" i="5"/>
  <c r="AT435" i="5"/>
  <c r="AS435" i="5"/>
  <c r="AR435" i="5"/>
  <c r="AJ435" i="5"/>
  <c r="AI435" i="5"/>
  <c r="X435" i="5"/>
  <c r="W435" i="5"/>
  <c r="AF435" i="5"/>
  <c r="S435" i="5"/>
  <c r="AB20" i="5"/>
  <c r="AD76" i="5"/>
  <c r="AM114" i="5"/>
  <c r="S114" i="5"/>
  <c r="AL114" i="5"/>
  <c r="R114" i="5"/>
  <c r="AK114" i="5"/>
  <c r="AE114" i="5"/>
  <c r="AC114" i="5"/>
  <c r="AY114" i="5"/>
  <c r="AB114" i="5"/>
  <c r="AF114" i="5"/>
  <c r="AD114" i="5"/>
  <c r="Z114" i="5"/>
  <c r="AT114" i="5"/>
  <c r="AR114" i="5"/>
  <c r="AI114" i="5"/>
  <c r="Y114" i="5"/>
  <c r="AH114" i="5"/>
  <c r="AG114" i="5"/>
  <c r="AA114" i="5"/>
  <c r="X114" i="5"/>
  <c r="AW114" i="5"/>
  <c r="AP114" i="5"/>
  <c r="AO114" i="5"/>
  <c r="AS114" i="5"/>
  <c r="AQ114" i="5"/>
  <c r="AN114" i="5"/>
  <c r="AJ114" i="5"/>
  <c r="U114" i="5"/>
  <c r="T114" i="5"/>
  <c r="AU114" i="5" s="1"/>
  <c r="T231" i="5"/>
  <c r="AU231" i="5" s="1"/>
  <c r="AY231" i="5"/>
  <c r="AW435" i="5"/>
  <c r="T20" i="5"/>
  <c r="AU20" i="5" s="1"/>
  <c r="AY30" i="5"/>
  <c r="AB30" i="5"/>
  <c r="Z30" i="5"/>
  <c r="AC30" i="5"/>
  <c r="AA30" i="5"/>
  <c r="AG30" i="5"/>
  <c r="AD30" i="5"/>
  <c r="AE30" i="5"/>
  <c r="Y30" i="5" s="1"/>
  <c r="R30" i="5" s="1"/>
  <c r="S30" i="5" s="1"/>
  <c r="K30" i="2" s="1"/>
  <c r="AL30" i="5"/>
  <c r="AI30" i="5"/>
  <c r="AH30" i="5"/>
  <c r="Z10" i="5"/>
  <c r="S45" i="5"/>
  <c r="R51" i="5"/>
  <c r="AL76" i="5"/>
  <c r="AN83" i="5"/>
  <c r="T83" i="5"/>
  <c r="AU83" i="5" s="1"/>
  <c r="AM83" i="5"/>
  <c r="S83" i="5"/>
  <c r="AL83" i="5"/>
  <c r="R83" i="5"/>
  <c r="AS83" i="5"/>
  <c r="V83" i="5"/>
  <c r="AQ83" i="5"/>
  <c r="AP83" i="5"/>
  <c r="AD83" i="5"/>
  <c r="AC83" i="5"/>
  <c r="AA83" i="5"/>
  <c r="AR83" i="5"/>
  <c r="AO83" i="5"/>
  <c r="AJ83" i="5"/>
  <c r="AI83" i="5"/>
  <c r="AG83" i="5"/>
  <c r="AF83" i="5"/>
  <c r="AH83" i="5"/>
  <c r="AE83" i="5"/>
  <c r="AY83" i="5"/>
  <c r="AW83" i="5"/>
  <c r="AB83" i="5"/>
  <c r="AT83" i="5"/>
  <c r="AK83" i="5"/>
  <c r="Y83" i="5"/>
  <c r="AA106" i="5"/>
  <c r="AT106" i="5"/>
  <c r="Z106" i="5"/>
  <c r="AS106" i="5"/>
  <c r="Y106" i="5"/>
  <c r="AO106" i="5"/>
  <c r="R106" i="5"/>
  <c r="AM106" i="5"/>
  <c r="AL106" i="5"/>
  <c r="AH106" i="5"/>
  <c r="AG106" i="5"/>
  <c r="AE106" i="5"/>
  <c r="AY106" i="5"/>
  <c r="S106" i="5"/>
  <c r="AR106" i="5"/>
  <c r="AP106" i="5"/>
  <c r="AW106" i="5"/>
  <c r="AQ106" i="5"/>
  <c r="V106" i="5"/>
  <c r="U106" i="5"/>
  <c r="T106" i="5"/>
  <c r="AU106" i="5" s="1"/>
  <c r="AN106" i="5"/>
  <c r="AC106" i="5"/>
  <c r="U117" i="5"/>
  <c r="AW144" i="5"/>
  <c r="AC144" i="5"/>
  <c r="AB144" i="5"/>
  <c r="AA144" i="5"/>
  <c r="AS144" i="5"/>
  <c r="V144" i="5"/>
  <c r="AQ144" i="5"/>
  <c r="T144" i="5"/>
  <c r="AU144" i="5" s="1"/>
  <c r="AP144" i="5"/>
  <c r="S144" i="5"/>
  <c r="W144" i="5"/>
  <c r="AY144" i="5"/>
  <c r="U144" i="5"/>
  <c r="AT144" i="5"/>
  <c r="AO144" i="5"/>
  <c r="AN144" i="5"/>
  <c r="AL144" i="5"/>
  <c r="AI144" i="5"/>
  <c r="AH144" i="5"/>
  <c r="AF144" i="5"/>
  <c r="AE144" i="5"/>
  <c r="AD144" i="5"/>
  <c r="AG144" i="5"/>
  <c r="Z144" i="5"/>
  <c r="AT242" i="5"/>
  <c r="Z242" i="5"/>
  <c r="AS242" i="5"/>
  <c r="Y242" i="5"/>
  <c r="AR242" i="5"/>
  <c r="X242" i="5"/>
  <c r="AQ242" i="5"/>
  <c r="W242" i="5"/>
  <c r="T242" i="5"/>
  <c r="AU242" i="5"/>
  <c r="S242" i="5"/>
  <c r="AP242" i="5"/>
  <c r="R242" i="5"/>
  <c r="AW242" i="5"/>
  <c r="AN242" i="5"/>
  <c r="AM242" i="5"/>
  <c r="AH242" i="5"/>
  <c r="AG242" i="5"/>
  <c r="AE242" i="5"/>
  <c r="AO242" i="5"/>
  <c r="AY242" i="5"/>
  <c r="AL242" i="5"/>
  <c r="AK242" i="5"/>
  <c r="AD242" i="5"/>
  <c r="U242" i="5"/>
  <c r="AJ242" i="5"/>
  <c r="AC242" i="5"/>
  <c r="AS373" i="5"/>
  <c r="Y373" i="5"/>
  <c r="AR373" i="5"/>
  <c r="X373" i="5"/>
  <c r="AQ373" i="5"/>
  <c r="W373" i="5"/>
  <c r="AO373" i="5"/>
  <c r="R373" i="5"/>
  <c r="AN373" i="5"/>
  <c r="AM373" i="5"/>
  <c r="AL373" i="5"/>
  <c r="AK373" i="5"/>
  <c r="AJ373" i="5"/>
  <c r="AI373" i="5"/>
  <c r="AG373" i="5"/>
  <c r="AE373" i="5"/>
  <c r="AD373" i="5"/>
  <c r="AW373" i="5"/>
  <c r="AT373" i="5"/>
  <c r="AP373" i="5"/>
  <c r="T373" i="5"/>
  <c r="AU373" i="5" s="1"/>
  <c r="S373" i="5"/>
  <c r="Z373" i="5"/>
  <c r="U373" i="5"/>
  <c r="AA373" i="5"/>
  <c r="V373" i="5"/>
  <c r="AH373" i="5"/>
  <c r="S374" i="5"/>
  <c r="AE13" i="5"/>
  <c r="Y13" i="5" s="1"/>
  <c r="R13" i="5" s="1"/>
  <c r="Y56" i="5"/>
  <c r="AT265" i="5"/>
  <c r="AR159" i="5"/>
  <c r="X159" i="5"/>
  <c r="AQ159" i="5"/>
  <c r="W159" i="5"/>
  <c r="AP159" i="5"/>
  <c r="V159" i="5"/>
  <c r="AF159" i="5"/>
  <c r="AD159" i="5"/>
  <c r="AC159" i="5"/>
  <c r="AB159" i="5"/>
  <c r="AA159" i="5"/>
  <c r="AY159" i="5"/>
  <c r="Y159" i="5"/>
  <c r="AW159" i="5"/>
  <c r="AT159" i="5"/>
  <c r="AM159" i="5"/>
  <c r="AJ159" i="5"/>
  <c r="AI159" i="5"/>
  <c r="AH159" i="5"/>
  <c r="AL159" i="5"/>
  <c r="AK159" i="5"/>
  <c r="AE159" i="5"/>
  <c r="R159" i="5"/>
  <c r="AE76" i="5"/>
  <c r="AG159" i="5"/>
  <c r="AA10" i="5"/>
  <c r="T45" i="5"/>
  <c r="AU45" i="5" s="1"/>
  <c r="T51" i="5"/>
  <c r="AU51" i="5" s="1"/>
  <c r="Z83" i="5"/>
  <c r="AD106" i="5"/>
  <c r="V117" i="5"/>
  <c r="AN123" i="5"/>
  <c r="T123" i="5"/>
  <c r="AU123" i="5" s="1"/>
  <c r="AM123" i="5"/>
  <c r="S123" i="5"/>
  <c r="AL123" i="5"/>
  <c r="R123" i="5"/>
  <c r="AH123" i="5"/>
  <c r="AF123" i="5"/>
  <c r="AE123" i="5"/>
  <c r="U123" i="5"/>
  <c r="AT123" i="5"/>
  <c r="AR123" i="5"/>
  <c r="AW123" i="5"/>
  <c r="AQ123" i="5"/>
  <c r="AG123" i="5"/>
  <c r="AA123" i="5"/>
  <c r="AD123" i="5"/>
  <c r="AB123" i="5"/>
  <c r="AC123" i="5"/>
  <c r="Z123" i="5"/>
  <c r="AY123" i="5"/>
  <c r="AS123" i="5"/>
  <c r="AP123" i="5"/>
  <c r="Y123" i="5"/>
  <c r="AJ144" i="5"/>
  <c r="AS159" i="5"/>
  <c r="AA206" i="5"/>
  <c r="AT206" i="5"/>
  <c r="Z206" i="5"/>
  <c r="AS206" i="5"/>
  <c r="Y206" i="5"/>
  <c r="AO206" i="5"/>
  <c r="R206" i="5"/>
  <c r="AM206" i="5"/>
  <c r="AL206" i="5"/>
  <c r="AF206" i="5"/>
  <c r="AE206" i="5"/>
  <c r="AC206" i="5"/>
  <c r="AG206" i="5"/>
  <c r="AD206" i="5"/>
  <c r="X206" i="5"/>
  <c r="AR206" i="5"/>
  <c r="AJ206" i="5"/>
  <c r="AQ206" i="5"/>
  <c r="AN206" i="5"/>
  <c r="AK206" i="5"/>
  <c r="AP206" i="5"/>
  <c r="AY206" i="5"/>
  <c r="AW206" i="5"/>
  <c r="S206" i="5"/>
  <c r="W206" i="5"/>
  <c r="AF242" i="5"/>
  <c r="T374" i="5"/>
  <c r="AU374" i="5" s="1"/>
  <c r="AA13" i="5"/>
  <c r="X56" i="5"/>
  <c r="AG80" i="5"/>
  <c r="AF80" i="5"/>
  <c r="AY80" i="5"/>
  <c r="AE80" i="5"/>
  <c r="AQ80" i="5"/>
  <c r="T80" i="5"/>
  <c r="AU80" i="5" s="1"/>
  <c r="AO80" i="5"/>
  <c r="R80" i="5"/>
  <c r="AN80" i="5"/>
  <c r="AR80" i="5"/>
  <c r="AP80" i="5"/>
  <c r="AL80" i="5"/>
  <c r="U80" i="5"/>
  <c r="AW80" i="5"/>
  <c r="S80" i="5"/>
  <c r="AS80" i="5"/>
  <c r="AM80" i="5"/>
  <c r="AK80" i="5"/>
  <c r="AJ80" i="5"/>
  <c r="AI80" i="5"/>
  <c r="AH80" i="5"/>
  <c r="AD80" i="5"/>
  <c r="AT80" i="5"/>
  <c r="AC80" i="5"/>
  <c r="AB80" i="5"/>
  <c r="AA80" i="5"/>
  <c r="X80" i="5"/>
  <c r="W80" i="5"/>
  <c r="V80" i="5"/>
  <c r="AQ265" i="5"/>
  <c r="AD338" i="5"/>
  <c r="AW338" i="5"/>
  <c r="AC338" i="5"/>
  <c r="AB338" i="5"/>
  <c r="AY338" i="5"/>
  <c r="AA338" i="5"/>
  <c r="Z338" i="5"/>
  <c r="Y338" i="5"/>
  <c r="AF338" i="5"/>
  <c r="AE338" i="5"/>
  <c r="X338" i="5"/>
  <c r="AN338" i="5"/>
  <c r="AL338" i="5"/>
  <c r="AK338" i="5"/>
  <c r="AQ338" i="5"/>
  <c r="AP338" i="5"/>
  <c r="AO338" i="5"/>
  <c r="AM338" i="5"/>
  <c r="AJ338" i="5"/>
  <c r="AT338" i="5"/>
  <c r="AR338" i="5"/>
  <c r="AH338" i="5"/>
  <c r="AS338" i="5"/>
  <c r="AI338" i="5"/>
  <c r="R338" i="5"/>
  <c r="AG338" i="5"/>
  <c r="Z159" i="5"/>
  <c r="Y19" i="5"/>
  <c r="R19" i="5" s="1"/>
  <c r="V45" i="5"/>
  <c r="U51" i="5"/>
  <c r="AF106" i="5"/>
  <c r="W117" i="5"/>
  <c r="AK144" i="5"/>
  <c r="R198" i="5"/>
  <c r="AI242" i="5"/>
  <c r="X289" i="5"/>
  <c r="AY373" i="5"/>
  <c r="U374" i="5"/>
  <c r="AA33" i="5"/>
  <c r="AD423" i="5"/>
  <c r="AF423" i="5"/>
  <c r="AP423" i="5"/>
  <c r="T423" i="5"/>
  <c r="AU423" i="5" s="1"/>
  <c r="AO423" i="5"/>
  <c r="S423" i="5"/>
  <c r="AN423" i="5"/>
  <c r="R423" i="5"/>
  <c r="AS423" i="5"/>
  <c r="AQ423" i="5"/>
  <c r="AG423" i="5"/>
  <c r="AE423" i="5"/>
  <c r="AC423" i="5"/>
  <c r="AB423" i="5"/>
  <c r="AT423" i="5"/>
  <c r="AR423" i="5"/>
  <c r="AM423" i="5"/>
  <c r="AW423" i="5"/>
  <c r="AL423" i="5"/>
  <c r="AI423" i="5"/>
  <c r="AH423" i="5"/>
  <c r="AA423" i="5"/>
  <c r="Z423" i="5"/>
  <c r="Y423" i="5"/>
  <c r="V423" i="5"/>
  <c r="U423" i="5"/>
  <c r="AQ74" i="5"/>
  <c r="AI129" i="5"/>
  <c r="T136" i="5"/>
  <c r="AU136" i="5" s="1"/>
  <c r="AY136" i="5"/>
  <c r="AB155" i="5"/>
  <c r="AA155" i="5"/>
  <c r="AT155" i="5"/>
  <c r="Z155" i="5"/>
  <c r="AL155" i="5"/>
  <c r="AJ155" i="5"/>
  <c r="AI155" i="5"/>
  <c r="AN155" i="5"/>
  <c r="AM155" i="5"/>
  <c r="AH155" i="5"/>
  <c r="AQ155" i="5"/>
  <c r="AP155" i="5"/>
  <c r="AK155" i="5"/>
  <c r="AS155" i="5"/>
  <c r="AR155" i="5"/>
  <c r="AG155" i="5"/>
  <c r="AF155" i="5"/>
  <c r="AO155" i="5"/>
  <c r="AE155" i="5"/>
  <c r="Y155" i="5"/>
  <c r="T155" i="5"/>
  <c r="AU155" i="5" s="1"/>
  <c r="AW155" i="5"/>
  <c r="AD155" i="5"/>
  <c r="AY155" i="5"/>
  <c r="AC155" i="5"/>
  <c r="X155" i="5"/>
  <c r="V155" i="5"/>
  <c r="AB320" i="5"/>
  <c r="AA320" i="5"/>
  <c r="Z320" i="5"/>
  <c r="AW320" i="5"/>
  <c r="Y320" i="5"/>
  <c r="AT320" i="5"/>
  <c r="X320" i="5"/>
  <c r="AS320" i="5"/>
  <c r="W320" i="5"/>
  <c r="AR320" i="5"/>
  <c r="R320" i="5"/>
  <c r="AQ320" i="5"/>
  <c r="AP320" i="5"/>
  <c r="AY320" i="5"/>
  <c r="AO320" i="5"/>
  <c r="T320" i="5"/>
  <c r="AU320" i="5" s="1"/>
  <c r="S320" i="5"/>
  <c r="AH320" i="5"/>
  <c r="AG320" i="5"/>
  <c r="AE320" i="5"/>
  <c r="AM320" i="5"/>
  <c r="AJ320" i="5"/>
  <c r="AF320" i="5"/>
  <c r="AL320" i="5"/>
  <c r="AK320" i="5"/>
  <c r="AI320" i="5"/>
  <c r="AN320" i="5"/>
  <c r="V320" i="5"/>
  <c r="U320" i="5"/>
  <c r="AQ321" i="5"/>
  <c r="Y24" i="5"/>
  <c r="Z24" i="5"/>
  <c r="T53" i="5"/>
  <c r="AU53" i="5" s="1"/>
  <c r="AU126" i="5"/>
  <c r="AA126" i="5"/>
  <c r="AT126" i="5"/>
  <c r="Z126" i="5"/>
  <c r="AS126" i="5"/>
  <c r="Y126" i="5"/>
  <c r="AK126" i="5"/>
  <c r="AI126" i="5"/>
  <c r="AH126" i="5"/>
  <c r="AM126" i="5"/>
  <c r="AL126" i="5"/>
  <c r="AG126" i="5"/>
  <c r="R126" i="5"/>
  <c r="AW126" i="5"/>
  <c r="AR126" i="5"/>
  <c r="AP126" i="5"/>
  <c r="AY126" i="5"/>
  <c r="AQ126" i="5"/>
  <c r="AO126" i="5"/>
  <c r="AN126" i="5"/>
  <c r="AJ126" i="5"/>
  <c r="AE126" i="5"/>
  <c r="AF126" i="5"/>
  <c r="V126" i="5"/>
  <c r="AL129" i="5"/>
  <c r="U139" i="5"/>
  <c r="T154" i="5"/>
  <c r="AU154" i="5" s="1"/>
  <c r="AY154" i="5"/>
  <c r="W155" i="5"/>
  <c r="T243" i="5"/>
  <c r="AU243" i="5" s="1"/>
  <c r="AY243" i="5"/>
  <c r="AS273" i="5"/>
  <c r="Y273" i="5"/>
  <c r="AR273" i="5"/>
  <c r="X273" i="5"/>
  <c r="AQ273" i="5"/>
  <c r="W273" i="5"/>
  <c r="AP273" i="5"/>
  <c r="V273" i="5"/>
  <c r="AM273" i="5"/>
  <c r="AL273" i="5"/>
  <c r="AK273" i="5"/>
  <c r="AD273" i="5"/>
  <c r="AB273" i="5"/>
  <c r="AA273" i="5"/>
  <c r="AW273" i="5"/>
  <c r="AY273" i="5"/>
  <c r="AO273" i="5"/>
  <c r="AT273" i="5"/>
  <c r="AI273" i="5"/>
  <c r="AF273" i="5"/>
  <c r="AE273" i="5"/>
  <c r="AC273" i="5"/>
  <c r="S273" i="5"/>
  <c r="R273" i="5"/>
  <c r="AG273" i="5"/>
  <c r="AR321" i="5"/>
  <c r="T339" i="5"/>
  <c r="AU339" i="5"/>
  <c r="AY339" i="5"/>
  <c r="AP362" i="5"/>
  <c r="AM399" i="5"/>
  <c r="S399" i="5"/>
  <c r="AL399" i="5"/>
  <c r="R399" i="5"/>
  <c r="AK399" i="5"/>
  <c r="AJ399" i="5"/>
  <c r="AH399" i="5"/>
  <c r="AP399" i="5"/>
  <c r="AO399" i="5"/>
  <c r="AN399" i="5"/>
  <c r="AI399" i="5"/>
  <c r="AY399" i="5"/>
  <c r="V399" i="5"/>
  <c r="U399" i="5"/>
  <c r="AW399" i="5"/>
  <c r="T399" i="5"/>
  <c r="AU399" i="5" s="1"/>
  <c r="Y399" i="5"/>
  <c r="W399" i="5"/>
  <c r="AR399" i="5"/>
  <c r="AQ399" i="5"/>
  <c r="AG399" i="5"/>
  <c r="AF399" i="5"/>
  <c r="AE399" i="5"/>
  <c r="AD399" i="5"/>
  <c r="AA399" i="5"/>
  <c r="Z399" i="5"/>
  <c r="X399" i="5"/>
  <c r="AT399" i="5"/>
  <c r="AY423" i="5"/>
  <c r="AD33" i="5"/>
  <c r="AC33" i="5"/>
  <c r="AB33" i="5"/>
  <c r="AG33" i="5"/>
  <c r="AE33" i="5"/>
  <c r="Y33" i="5" s="1"/>
  <c r="AL33" i="5"/>
  <c r="AY33" i="5"/>
  <c r="R33" i="5"/>
  <c r="AH294" i="5"/>
  <c r="AG294" i="5"/>
  <c r="AF294" i="5"/>
  <c r="AY294" i="5"/>
  <c r="AE294" i="5"/>
  <c r="AP294" i="5"/>
  <c r="R294" i="5"/>
  <c r="AO294" i="5"/>
  <c r="AN294" i="5"/>
  <c r="W294" i="5"/>
  <c r="U294" i="5"/>
  <c r="T294" i="5"/>
  <c r="AU294" i="5" s="1"/>
  <c r="AM294" i="5"/>
  <c r="AL294" i="5"/>
  <c r="AK294" i="5"/>
  <c r="AJ294" i="5"/>
  <c r="AI294" i="5"/>
  <c r="V294" i="5"/>
  <c r="S294" i="5"/>
  <c r="AW294" i="5"/>
  <c r="AD294" i="5"/>
  <c r="AT294" i="5"/>
  <c r="AR294" i="5"/>
  <c r="AS294" i="5"/>
  <c r="AQ294" i="5"/>
  <c r="Y294" i="5"/>
  <c r="Z294" i="5"/>
  <c r="X294" i="5"/>
  <c r="AM74" i="5"/>
  <c r="S74" i="5"/>
  <c r="AL74" i="5"/>
  <c r="R74" i="5"/>
  <c r="AK74" i="5"/>
  <c r="AP74" i="5"/>
  <c r="AN74" i="5"/>
  <c r="AJ74" i="5"/>
  <c r="AD74" i="5"/>
  <c r="AC74" i="5"/>
  <c r="AA74" i="5"/>
  <c r="AE74" i="5"/>
  <c r="AB74" i="5"/>
  <c r="AO74" i="5"/>
  <c r="AF74" i="5"/>
  <c r="Z74" i="5"/>
  <c r="AI74" i="5"/>
  <c r="AG74" i="5"/>
  <c r="AH74" i="5"/>
  <c r="V74" i="5"/>
  <c r="U74" i="5"/>
  <c r="T74" i="5"/>
  <c r="AU74" i="5" s="1"/>
  <c r="AY74" i="5"/>
  <c r="AW74" i="5"/>
  <c r="T138" i="5"/>
  <c r="AU138" i="5"/>
  <c r="AQ362" i="5"/>
  <c r="V53" i="5"/>
  <c r="AT74" i="5"/>
  <c r="AK96" i="5"/>
  <c r="AJ96" i="5"/>
  <c r="AI96" i="5"/>
  <c r="AS96" i="5"/>
  <c r="V96" i="5"/>
  <c r="AQ96" i="5"/>
  <c r="T96" i="5"/>
  <c r="AU96" i="5" s="1"/>
  <c r="AP96" i="5"/>
  <c r="S96" i="5"/>
  <c r="AO96" i="5"/>
  <c r="AN96" i="5"/>
  <c r="AL96" i="5"/>
  <c r="R96" i="5"/>
  <c r="AW96" i="5"/>
  <c r="AR96" i="5"/>
  <c r="AF96" i="5"/>
  <c r="AM96" i="5"/>
  <c r="AG96" i="5"/>
  <c r="AH96" i="5"/>
  <c r="AE96" i="5"/>
  <c r="AY96" i="5"/>
  <c r="AT96" i="5"/>
  <c r="AD96" i="5"/>
  <c r="Y96" i="5"/>
  <c r="X126" i="5"/>
  <c r="Z139" i="5"/>
  <c r="AJ273" i="5"/>
  <c r="AW309" i="5"/>
  <c r="AC309" i="5"/>
  <c r="AB309" i="5"/>
  <c r="AE309" i="5"/>
  <c r="AD309" i="5"/>
  <c r="AY309" i="5"/>
  <c r="AA309" i="5"/>
  <c r="Z309" i="5"/>
  <c r="AF309" i="5"/>
  <c r="Y309" i="5"/>
  <c r="X309" i="5"/>
  <c r="AQ309" i="5"/>
  <c r="AO309" i="5"/>
  <c r="AN309" i="5"/>
  <c r="T309" i="5"/>
  <c r="AU309" i="5" s="1"/>
  <c r="S309" i="5"/>
  <c r="R309" i="5"/>
  <c r="W309" i="5"/>
  <c r="V309" i="5"/>
  <c r="AT309" i="5"/>
  <c r="AR309" i="5"/>
  <c r="AS309" i="5"/>
  <c r="AH309" i="5"/>
  <c r="AG309" i="5"/>
  <c r="U309" i="5"/>
  <c r="AL309" i="5"/>
  <c r="AH129" i="5"/>
  <c r="AG129" i="5"/>
  <c r="AF129" i="5"/>
  <c r="AM129" i="5"/>
  <c r="AK129" i="5"/>
  <c r="AJ129" i="5"/>
  <c r="AA129" i="5"/>
  <c r="Z129" i="5"/>
  <c r="X129" i="5"/>
  <c r="AU129" i="5"/>
  <c r="R129" i="5"/>
  <c r="AT129" i="5"/>
  <c r="AR129" i="5"/>
  <c r="AE129" i="5"/>
  <c r="AD129" i="5"/>
  <c r="W129" i="5"/>
  <c r="AC129" i="5"/>
  <c r="AB129" i="5"/>
  <c r="Y129" i="5"/>
  <c r="AW129" i="5"/>
  <c r="AY129" i="5"/>
  <c r="AS129" i="5"/>
  <c r="AQ129" i="5"/>
  <c r="AP129" i="5"/>
  <c r="AO129" i="5"/>
  <c r="U53" i="5"/>
  <c r="AN129" i="5"/>
  <c r="AT362" i="5"/>
  <c r="Z362" i="5"/>
  <c r="AS362" i="5"/>
  <c r="Y362" i="5"/>
  <c r="AR362" i="5"/>
  <c r="X362" i="5"/>
  <c r="AY362" i="5"/>
  <c r="AB362" i="5"/>
  <c r="AA362" i="5"/>
  <c r="AW362" i="5"/>
  <c r="W362" i="5"/>
  <c r="V362" i="5"/>
  <c r="AF362" i="5"/>
  <c r="AE362" i="5"/>
  <c r="AD362" i="5"/>
  <c r="AL362" i="5"/>
  <c r="AJ362" i="5"/>
  <c r="AI362" i="5"/>
  <c r="AN362" i="5"/>
  <c r="AM362" i="5"/>
  <c r="AK362" i="5"/>
  <c r="AH362" i="5"/>
  <c r="AG362" i="5"/>
  <c r="AO362" i="5"/>
  <c r="AC362" i="5"/>
  <c r="T362" i="5"/>
  <c r="AU362" i="5" s="1"/>
  <c r="U362" i="5"/>
  <c r="T38" i="5"/>
  <c r="AU38" i="5" s="1"/>
  <c r="AR39" i="5"/>
  <c r="X39" i="5"/>
  <c r="AQ39" i="5"/>
  <c r="W39" i="5"/>
  <c r="AP39" i="5"/>
  <c r="V39" i="5"/>
  <c r="AJ39" i="5"/>
  <c r="AH39" i="5"/>
  <c r="AG39" i="5"/>
  <c r="AT39" i="5"/>
  <c r="AS39" i="5"/>
  <c r="AN39" i="5"/>
  <c r="AM39" i="5"/>
  <c r="AL39" i="5"/>
  <c r="AK39" i="5"/>
  <c r="AC39" i="5"/>
  <c r="AI39" i="5"/>
  <c r="AF39" i="5"/>
  <c r="AE39" i="5"/>
  <c r="AD39" i="5"/>
  <c r="AY39" i="5"/>
  <c r="AW39" i="5"/>
  <c r="AU39" i="5"/>
  <c r="U39" i="5"/>
  <c r="Z96" i="5"/>
  <c r="AB126" i="5"/>
  <c r="AA139" i="5"/>
  <c r="S166" i="5"/>
  <c r="AV208" i="5"/>
  <c r="AX208" i="5"/>
  <c r="AN273" i="5"/>
  <c r="AN288" i="5"/>
  <c r="T288" i="5"/>
  <c r="AU288" i="5" s="1"/>
  <c r="AM288" i="5"/>
  <c r="S288" i="5"/>
  <c r="AL288" i="5"/>
  <c r="R288" i="5"/>
  <c r="AK288" i="5"/>
  <c r="AY288" i="5"/>
  <c r="AA288" i="5"/>
  <c r="Z288" i="5"/>
  <c r="AW288" i="5"/>
  <c r="Y288" i="5"/>
  <c r="W288" i="5"/>
  <c r="U288" i="5"/>
  <c r="AG288" i="5"/>
  <c r="AF288" i="5"/>
  <c r="AD288" i="5"/>
  <c r="AB288" i="5"/>
  <c r="X288" i="5"/>
  <c r="V288" i="5"/>
  <c r="AH288" i="5"/>
  <c r="AE288" i="5"/>
  <c r="AC288" i="5"/>
  <c r="AP288" i="5"/>
  <c r="AM309" i="5"/>
  <c r="AI363" i="5"/>
  <c r="AH363" i="5"/>
  <c r="AG363" i="5"/>
  <c r="AQ363" i="5"/>
  <c r="T363" i="5"/>
  <c r="AP363" i="5"/>
  <c r="S363" i="5"/>
  <c r="AO363" i="5"/>
  <c r="R363" i="5"/>
  <c r="AN363" i="5"/>
  <c r="AE363" i="5"/>
  <c r="AD363" i="5"/>
  <c r="AC363" i="5"/>
  <c r="AU363" i="5"/>
  <c r="AS363" i="5"/>
  <c r="AR363" i="5"/>
  <c r="AY363" i="5"/>
  <c r="AW363" i="5"/>
  <c r="AL363" i="5"/>
  <c r="AK363" i="5"/>
  <c r="AF363" i="5"/>
  <c r="AB363" i="5"/>
  <c r="AA363" i="5"/>
  <c r="AJ363" i="5"/>
  <c r="AT363" i="5"/>
  <c r="AM363" i="5"/>
  <c r="Z363" i="5"/>
  <c r="Y363" i="5"/>
  <c r="X363" i="5"/>
  <c r="AB400" i="5"/>
  <c r="AA400" i="5"/>
  <c r="AT400" i="5"/>
  <c r="Z400" i="5"/>
  <c r="AE400" i="5"/>
  <c r="AC400" i="5"/>
  <c r="AJ400" i="5"/>
  <c r="AI400" i="5"/>
  <c r="AH400" i="5"/>
  <c r="AG400" i="5"/>
  <c r="T400" i="5"/>
  <c r="AU400" i="5" s="1"/>
  <c r="AY400" i="5"/>
  <c r="S400" i="5"/>
  <c r="R400" i="5"/>
  <c r="AL400" i="5"/>
  <c r="AF400" i="5"/>
  <c r="AD400" i="5"/>
  <c r="AO400" i="5"/>
  <c r="AN400" i="5"/>
  <c r="AK400" i="5"/>
  <c r="AW400" i="5"/>
  <c r="AS400" i="5"/>
  <c r="AP400" i="5"/>
  <c r="AR400" i="5"/>
  <c r="AQ400" i="5"/>
  <c r="AM400" i="5"/>
  <c r="Y400" i="5"/>
  <c r="X400" i="5"/>
  <c r="AK321" i="5"/>
  <c r="AJ321" i="5"/>
  <c r="AO321" i="5"/>
  <c r="S321" i="5"/>
  <c r="AN321" i="5"/>
  <c r="R321" i="5"/>
  <c r="AM321" i="5"/>
  <c r="AL321" i="5"/>
  <c r="U321" i="5"/>
  <c r="AT321" i="5"/>
  <c r="T321" i="5"/>
  <c r="AU321" i="5" s="1"/>
  <c r="AS321" i="5"/>
  <c r="Z321" i="5"/>
  <c r="X321" i="5"/>
  <c r="W321" i="5"/>
  <c r="AG321" i="5"/>
  <c r="AF321" i="5"/>
  <c r="AE321" i="5"/>
  <c r="AD321" i="5"/>
  <c r="AC321" i="5"/>
  <c r="Y321" i="5"/>
  <c r="V321" i="5"/>
  <c r="AH321" i="5"/>
  <c r="AY321" i="5"/>
  <c r="AW321" i="5"/>
  <c r="AD53" i="5"/>
  <c r="AW53" i="5"/>
  <c r="AC53" i="5"/>
  <c r="AB53" i="5"/>
  <c r="Z53" i="5"/>
  <c r="X53" i="5"/>
  <c r="AT53" i="5"/>
  <c r="W53" i="5"/>
  <c r="AQ53" i="5"/>
  <c r="AP53" i="5"/>
  <c r="AN53" i="5"/>
  <c r="AK53" i="5"/>
  <c r="AJ53" i="5"/>
  <c r="AH53" i="5"/>
  <c r="AA53" i="5"/>
  <c r="AG53" i="5"/>
  <c r="Y53" i="5"/>
  <c r="AF53" i="5"/>
  <c r="AE53" i="5"/>
  <c r="AY53" i="5"/>
  <c r="AS53" i="5"/>
  <c r="AR53" i="5"/>
  <c r="AS74" i="5"/>
  <c r="Y39" i="5"/>
  <c r="AL53" i="5"/>
  <c r="AY72" i="5"/>
  <c r="AA96" i="5"/>
  <c r="AC126" i="5"/>
  <c r="AQ288" i="5"/>
  <c r="AP309" i="5"/>
  <c r="AY225" i="5"/>
  <c r="AK423" i="5"/>
  <c r="T21" i="5"/>
  <c r="AU21" i="5" s="1"/>
  <c r="AL21" i="5"/>
  <c r="AG21" i="5"/>
  <c r="AD21" i="5"/>
  <c r="AK21" i="5"/>
  <c r="AJ21" i="5"/>
  <c r="AB21" i="5"/>
  <c r="AA21" i="5"/>
  <c r="Z21" i="5"/>
  <c r="AY21" i="5"/>
  <c r="AI33" i="5"/>
  <c r="AR139" i="5"/>
  <c r="X139" i="5"/>
  <c r="AQ139" i="5"/>
  <c r="W139" i="5"/>
  <c r="AP139" i="5"/>
  <c r="V139" i="5"/>
  <c r="AJ139" i="5"/>
  <c r="AH139" i="5"/>
  <c r="AG139" i="5"/>
  <c r="AO139" i="5"/>
  <c r="AN139" i="5"/>
  <c r="AL139" i="5"/>
  <c r="AS139" i="5"/>
  <c r="AM139" i="5"/>
  <c r="AI139" i="5"/>
  <c r="R139" i="5"/>
  <c r="AW139" i="5"/>
  <c r="AY139" i="5"/>
  <c r="AF139" i="5"/>
  <c r="AK139" i="5"/>
  <c r="AE139" i="5"/>
  <c r="AT139" i="5"/>
  <c r="AD139" i="5"/>
  <c r="AC139" i="5"/>
  <c r="AE21" i="5"/>
  <c r="AP21" i="5" s="1"/>
  <c r="Z39" i="5"/>
  <c r="AM53" i="5"/>
  <c r="AL85" i="5"/>
  <c r="R85" i="5"/>
  <c r="AK85" i="5"/>
  <c r="AJ85" i="5"/>
  <c r="AD85" i="5"/>
  <c r="AY85" i="5"/>
  <c r="AB85" i="5"/>
  <c r="AA85" i="5"/>
  <c r="X85" i="5"/>
  <c r="AW85" i="5"/>
  <c r="W85" i="5"/>
  <c r="AU85" i="5"/>
  <c r="U85" i="5"/>
  <c r="AT85" i="5"/>
  <c r="AS85" i="5"/>
  <c r="AP85" i="5"/>
  <c r="AR85" i="5"/>
  <c r="AQ85" i="5"/>
  <c r="AM85" i="5"/>
  <c r="AO85" i="5"/>
  <c r="AN85" i="5"/>
  <c r="AI85" i="5"/>
  <c r="AH85" i="5"/>
  <c r="AG85" i="5"/>
  <c r="Y85" i="5"/>
  <c r="AB96" i="5"/>
  <c r="AD126" i="5"/>
  <c r="AA166" i="5"/>
  <c r="AT166" i="5"/>
  <c r="Z166" i="5"/>
  <c r="AS166" i="5"/>
  <c r="Y166" i="5"/>
  <c r="AC166" i="5"/>
  <c r="X166" i="5"/>
  <c r="AW166" i="5"/>
  <c r="W166" i="5"/>
  <c r="AF166" i="5"/>
  <c r="AE166" i="5"/>
  <c r="AB166" i="5"/>
  <c r="AN166" i="5"/>
  <c r="AM166" i="5"/>
  <c r="AK166" i="5"/>
  <c r="AY166" i="5"/>
  <c r="AR166" i="5"/>
  <c r="AO166" i="5"/>
  <c r="AJ166" i="5"/>
  <c r="AH166" i="5"/>
  <c r="AG166" i="5"/>
  <c r="AQ166" i="5"/>
  <c r="AP166" i="5"/>
  <c r="AL166" i="5"/>
  <c r="AI166" i="5"/>
  <c r="AD166" i="5"/>
  <c r="V166" i="5"/>
  <c r="U166" i="5"/>
  <c r="T197" i="5"/>
  <c r="AU197" i="5" s="1"/>
  <c r="AR288" i="5"/>
  <c r="AW184" i="5"/>
  <c r="AC184" i="5"/>
  <c r="AB184" i="5"/>
  <c r="AA184" i="5"/>
  <c r="AK184" i="5"/>
  <c r="AI184" i="5"/>
  <c r="AH184" i="5"/>
  <c r="W184" i="5"/>
  <c r="AY184" i="5"/>
  <c r="V184" i="5"/>
  <c r="AT184" i="5"/>
  <c r="T184" i="5"/>
  <c r="AU184" i="5" s="1"/>
  <c r="S184" i="5"/>
  <c r="R184" i="5"/>
  <c r="AS184" i="5"/>
  <c r="U184" i="5"/>
  <c r="AR184" i="5"/>
  <c r="AG184" i="5"/>
  <c r="Y184" i="5"/>
  <c r="AJ332" i="5"/>
  <c r="AI332" i="5"/>
  <c r="AK332" i="5"/>
  <c r="AH332" i="5"/>
  <c r="AG332" i="5"/>
  <c r="AF332" i="5"/>
  <c r="AB332" i="5"/>
  <c r="AA332" i="5"/>
  <c r="Z332" i="5"/>
  <c r="AT332" i="5"/>
  <c r="AR332" i="5"/>
  <c r="AQ332" i="5"/>
  <c r="AM332" i="5"/>
  <c r="AL332" i="5"/>
  <c r="AE332" i="5"/>
  <c r="AD332" i="5"/>
  <c r="AC332" i="5"/>
  <c r="Y332" i="5"/>
  <c r="X332" i="5"/>
  <c r="V332" i="5"/>
  <c r="AY332" i="5"/>
  <c r="AW332" i="5"/>
  <c r="AX434" i="5"/>
  <c r="AV434" i="5"/>
  <c r="AI27" i="5"/>
  <c r="AH27" i="5"/>
  <c r="AL27" i="5"/>
  <c r="AY27" i="5"/>
  <c r="AG27" i="5"/>
  <c r="AE27" i="5"/>
  <c r="Y27" i="5" s="1"/>
  <c r="AD27" i="5"/>
  <c r="AY12" i="5"/>
  <c r="AQ12" i="5"/>
  <c r="AK12" i="5"/>
  <c r="AW164" i="5"/>
  <c r="AC164" i="5"/>
  <c r="AB164" i="5"/>
  <c r="AA164" i="5"/>
  <c r="AO164" i="5"/>
  <c r="R164" i="5"/>
  <c r="AM164" i="5"/>
  <c r="AL164" i="5"/>
  <c r="AI164" i="5"/>
  <c r="AH164" i="5"/>
  <c r="AF164" i="5"/>
  <c r="AK164" i="5"/>
  <c r="AJ164" i="5"/>
  <c r="AE164" i="5"/>
  <c r="AQ164" i="5"/>
  <c r="AD164" i="5"/>
  <c r="AP164" i="5"/>
  <c r="AG164" i="5"/>
  <c r="Z164" i="5"/>
  <c r="AN164" i="5"/>
  <c r="AE184" i="5"/>
  <c r="AD193" i="5"/>
  <c r="AW193" i="5"/>
  <c r="AC193" i="5"/>
  <c r="AB193" i="5"/>
  <c r="AO193" i="5"/>
  <c r="R193" i="5"/>
  <c r="AM193" i="5"/>
  <c r="AL193" i="5"/>
  <c r="AR193" i="5"/>
  <c r="AQ193" i="5"/>
  <c r="AN193" i="5"/>
  <c r="U193" i="5"/>
  <c r="T193" i="5"/>
  <c r="AU193" i="5"/>
  <c r="AY193" i="5"/>
  <c r="AP193" i="5"/>
  <c r="AK193" i="5"/>
  <c r="AJ193" i="5"/>
  <c r="AT193" i="5"/>
  <c r="AS193" i="5"/>
  <c r="S193" i="5"/>
  <c r="AY236" i="5"/>
  <c r="AE236" i="5"/>
  <c r="AD236" i="5"/>
  <c r="AI236" i="5"/>
  <c r="AH236" i="5"/>
  <c r="AG236" i="5"/>
  <c r="V236" i="5"/>
  <c r="AS236" i="5"/>
  <c r="T236" i="5"/>
  <c r="AU236" i="5" s="1"/>
  <c r="AR236" i="5"/>
  <c r="S236" i="5"/>
  <c r="AM236" i="5"/>
  <c r="AL236" i="5"/>
  <c r="AJ236" i="5"/>
  <c r="Z236" i="5"/>
  <c r="Y236" i="5"/>
  <c r="W236" i="5"/>
  <c r="AO236" i="5"/>
  <c r="AB236" i="5"/>
  <c r="AN236" i="5"/>
  <c r="AC236" i="5"/>
  <c r="AK236" i="5"/>
  <c r="AF236" i="5"/>
  <c r="U236" i="5"/>
  <c r="AB380" i="5"/>
  <c r="AA380" i="5"/>
  <c r="AT380" i="5"/>
  <c r="Z380" i="5"/>
  <c r="AM380" i="5"/>
  <c r="AL380" i="5"/>
  <c r="AK380" i="5"/>
  <c r="AJ380" i="5"/>
  <c r="T380" i="5"/>
  <c r="AU380" i="5" s="1"/>
  <c r="AW380" i="5"/>
  <c r="S380" i="5"/>
  <c r="AS380" i="5"/>
  <c r="R380" i="5"/>
  <c r="AQ380" i="5"/>
  <c r="AO380" i="5"/>
  <c r="AN380" i="5"/>
  <c r="AH380" i="5"/>
  <c r="AG380" i="5"/>
  <c r="AF380" i="5"/>
  <c r="AE380" i="5"/>
  <c r="AD380" i="5"/>
  <c r="AY380" i="5"/>
  <c r="AR380" i="5"/>
  <c r="AP380" i="5"/>
  <c r="X380" i="5"/>
  <c r="AY387" i="5"/>
  <c r="AE387" i="5"/>
  <c r="AD387" i="5"/>
  <c r="AW387" i="5"/>
  <c r="AC387" i="5"/>
  <c r="AH387" i="5"/>
  <c r="AG387" i="5"/>
  <c r="AF387" i="5"/>
  <c r="AB387" i="5"/>
  <c r="X387" i="5"/>
  <c r="W387" i="5"/>
  <c r="V387" i="5"/>
  <c r="AS387" i="5"/>
  <c r="AR387" i="5"/>
  <c r="AN387" i="5"/>
  <c r="AM387" i="5"/>
  <c r="AL387" i="5"/>
  <c r="AK387" i="5"/>
  <c r="AJ387" i="5"/>
  <c r="AT387" i="5"/>
  <c r="AA387" i="5"/>
  <c r="AQ387" i="5"/>
  <c r="AO387" i="5"/>
  <c r="AI387" i="5"/>
  <c r="AP387" i="5"/>
  <c r="Z387" i="5"/>
  <c r="Y387" i="5"/>
  <c r="U387" i="5"/>
  <c r="AL105" i="5"/>
  <c r="R105" i="5"/>
  <c r="AK105" i="5"/>
  <c r="AJ105" i="5"/>
  <c r="AW105" i="5"/>
  <c r="Z105" i="5"/>
  <c r="AU105" i="5"/>
  <c r="X105" i="5"/>
  <c r="AT105" i="5"/>
  <c r="W105" i="5"/>
  <c r="AI105" i="5"/>
  <c r="AH105" i="5"/>
  <c r="AF105" i="5"/>
  <c r="AS105" i="5"/>
  <c r="AP105" i="5"/>
  <c r="AG105" i="5"/>
  <c r="AO105" i="5"/>
  <c r="AN105" i="5"/>
  <c r="AM105" i="5"/>
  <c r="AE105" i="5"/>
  <c r="W164" i="5"/>
  <c r="AB175" i="5"/>
  <c r="AA175" i="5"/>
  <c r="AT175" i="5"/>
  <c r="Z175" i="5"/>
  <c r="AH175" i="5"/>
  <c r="AF175" i="5"/>
  <c r="AE175" i="5"/>
  <c r="W175" i="5"/>
  <c r="AY175" i="5"/>
  <c r="V175" i="5"/>
  <c r="AW175" i="5"/>
  <c r="T175" i="5"/>
  <c r="AU175" i="5" s="1"/>
  <c r="AN175" i="5"/>
  <c r="AM175" i="5"/>
  <c r="AK175" i="5"/>
  <c r="AR175" i="5"/>
  <c r="AO175" i="5"/>
  <c r="AL175" i="5"/>
  <c r="AJ175" i="5"/>
  <c r="AQ175" i="5"/>
  <c r="AP175" i="5"/>
  <c r="AG175" i="5"/>
  <c r="AY222" i="5"/>
  <c r="AE222" i="5"/>
  <c r="AD222" i="5"/>
  <c r="AW222" i="5"/>
  <c r="AC222" i="5"/>
  <c r="AM222" i="5"/>
  <c r="AK222" i="5"/>
  <c r="AJ222" i="5"/>
  <c r="AR222" i="5"/>
  <c r="R222" i="5"/>
  <c r="AQ222" i="5"/>
  <c r="AO222" i="5"/>
  <c r="S222" i="5"/>
  <c r="AS222" i="5"/>
  <c r="AT222" i="5"/>
  <c r="AL222" i="5"/>
  <c r="AP222" i="5"/>
  <c r="AI222" i="5"/>
  <c r="AH222" i="5"/>
  <c r="AN222" i="5"/>
  <c r="Y222" i="5"/>
  <c r="T222" i="5"/>
  <c r="AU222" i="5" s="1"/>
  <c r="W332" i="5"/>
  <c r="Y380" i="5"/>
  <c r="Y193" i="5"/>
  <c r="AP236" i="5"/>
  <c r="U332" i="5"/>
  <c r="AB360" i="5"/>
  <c r="AA360" i="5"/>
  <c r="AT360" i="5"/>
  <c r="Z360" i="5"/>
  <c r="AO360" i="5"/>
  <c r="R360" i="5"/>
  <c r="AN360" i="5"/>
  <c r="AM360" i="5"/>
  <c r="AL360" i="5"/>
  <c r="AG360" i="5"/>
  <c r="AF360" i="5"/>
  <c r="AE360" i="5"/>
  <c r="AD360" i="5"/>
  <c r="Y360" i="5"/>
  <c r="X360" i="5"/>
  <c r="T360" i="5"/>
  <c r="AU360" i="5" s="1"/>
  <c r="S360" i="5"/>
  <c r="AS360" i="5"/>
  <c r="AR360" i="5"/>
  <c r="AP360" i="5"/>
  <c r="AI360" i="5"/>
  <c r="W360" i="5"/>
  <c r="V360" i="5"/>
  <c r="U360" i="5"/>
  <c r="Z17" i="5"/>
  <c r="AY17" i="5"/>
  <c r="AG17" i="5"/>
  <c r="AL17" i="5"/>
  <c r="AV41" i="5"/>
  <c r="V105" i="5"/>
  <c r="X175" i="5"/>
  <c r="AF184" i="5"/>
  <c r="Z193" i="5"/>
  <c r="X222" i="5"/>
  <c r="AQ236" i="5"/>
  <c r="AQ360" i="5"/>
  <c r="Y93" i="5"/>
  <c r="AY107" i="5"/>
  <c r="D53" i="1"/>
  <c r="D60" i="1"/>
  <c r="Y18" i="5"/>
  <c r="AH49" i="5"/>
  <c r="AG49" i="5"/>
  <c r="AF49" i="5"/>
  <c r="AI49" i="5"/>
  <c r="AD49" i="5"/>
  <c r="AC49" i="5"/>
  <c r="AM49" i="5"/>
  <c r="AL49" i="5"/>
  <c r="AJ49" i="5"/>
  <c r="S49" i="5"/>
  <c r="R49" i="5"/>
  <c r="AO49" i="5"/>
  <c r="AE49" i="5"/>
  <c r="AA49" i="5"/>
  <c r="AN49" i="5"/>
  <c r="AB49" i="5"/>
  <c r="AK49" i="5"/>
  <c r="AO120" i="5"/>
  <c r="AW124" i="5"/>
  <c r="AC124" i="5"/>
  <c r="AB124" i="5"/>
  <c r="AA124" i="5"/>
  <c r="Z124" i="5"/>
  <c r="X124" i="5"/>
  <c r="AT124" i="5"/>
  <c r="W124" i="5"/>
  <c r="AP124" i="5"/>
  <c r="AO124" i="5"/>
  <c r="AM124" i="5"/>
  <c r="R124" i="5"/>
  <c r="AY124" i="5"/>
  <c r="AR124" i="5"/>
  <c r="AN124" i="5"/>
  <c r="AL124" i="5"/>
  <c r="AI124" i="5"/>
  <c r="AH124" i="5"/>
  <c r="AK124" i="5"/>
  <c r="AJ124" i="5"/>
  <c r="AI158" i="5"/>
  <c r="AH158" i="5"/>
  <c r="AG158" i="5"/>
  <c r="AN158" i="5"/>
  <c r="AL158" i="5"/>
  <c r="AK158" i="5"/>
  <c r="AD158" i="5"/>
  <c r="AC158" i="5"/>
  <c r="AA158" i="5"/>
  <c r="S158" i="5"/>
  <c r="R158" i="5"/>
  <c r="AS158" i="5"/>
  <c r="AF158" i="5"/>
  <c r="X158" i="5"/>
  <c r="AE158" i="5"/>
  <c r="Z158" i="5"/>
  <c r="Y158" i="5"/>
  <c r="AB158" i="5"/>
  <c r="AW158" i="5"/>
  <c r="AF179" i="5"/>
  <c r="AX181" i="5"/>
  <c r="AM184" i="5"/>
  <c r="AF193" i="5"/>
  <c r="Y202" i="5"/>
  <c r="AW236" i="5"/>
  <c r="V260" i="5"/>
  <c r="Y281" i="5"/>
  <c r="AY360" i="5"/>
  <c r="AL367" i="5"/>
  <c r="Z18" i="5"/>
  <c r="AK37" i="5"/>
  <c r="U40" i="5"/>
  <c r="W55" i="5"/>
  <c r="Y124" i="5"/>
  <c r="AS164" i="5"/>
  <c r="AT177" i="5"/>
  <c r="Z177" i="5"/>
  <c r="AS177" i="5"/>
  <c r="Y177" i="5"/>
  <c r="AR177" i="5"/>
  <c r="X177" i="5"/>
  <c r="AO177" i="5"/>
  <c r="R177" i="5"/>
  <c r="AM177" i="5"/>
  <c r="AL177" i="5"/>
  <c r="AW177" i="5"/>
  <c r="T177" i="5"/>
  <c r="AU177" i="5" s="1"/>
  <c r="S177" i="5"/>
  <c r="AQ177" i="5"/>
  <c r="AY177" i="5"/>
  <c r="AP177" i="5"/>
  <c r="W177" i="5"/>
  <c r="V177" i="5"/>
  <c r="U177" i="5"/>
  <c r="AH177" i="5"/>
  <c r="AC177" i="5"/>
  <c r="AN184" i="5"/>
  <c r="AF222" i="5"/>
  <c r="Z281" i="5"/>
  <c r="AL327" i="5"/>
  <c r="AM367" i="5"/>
  <c r="T370" i="5"/>
  <c r="AU370" i="5" s="1"/>
  <c r="AY370" i="5"/>
  <c r="AD12" i="5"/>
  <c r="AI16" i="5"/>
  <c r="AC16" i="5"/>
  <c r="AA16" i="5"/>
  <c r="AY16" i="5"/>
  <c r="Y16" i="5"/>
  <c r="Z16" i="5"/>
  <c r="AB16" i="5"/>
  <c r="AD16" i="5"/>
  <c r="AL37" i="5"/>
  <c r="V40" i="5"/>
  <c r="AD105" i="5"/>
  <c r="AQ120" i="5"/>
  <c r="AN143" i="5"/>
  <c r="T143" i="5"/>
  <c r="AU143" i="5" s="1"/>
  <c r="AM143" i="5"/>
  <c r="S143" i="5"/>
  <c r="AL143" i="5"/>
  <c r="R143" i="5"/>
  <c r="AD143" i="5"/>
  <c r="AY143" i="5"/>
  <c r="AB143" i="5"/>
  <c r="AA143" i="5"/>
  <c r="AW143" i="5"/>
  <c r="W143" i="5"/>
  <c r="V143" i="5"/>
  <c r="AT143" i="5"/>
  <c r="AJ143" i="5"/>
  <c r="AI143" i="5"/>
  <c r="AG143" i="5"/>
  <c r="X143" i="5"/>
  <c r="U143" i="5"/>
  <c r="AF143" i="5"/>
  <c r="AK156" i="5"/>
  <c r="AJ156" i="5"/>
  <c r="AI156" i="5"/>
  <c r="AD156" i="5"/>
  <c r="AY156" i="5"/>
  <c r="AB156" i="5"/>
  <c r="AA156" i="5"/>
  <c r="AL156" i="5"/>
  <c r="AH156" i="5"/>
  <c r="AF156" i="5"/>
  <c r="AR156" i="5"/>
  <c r="AQ156" i="5"/>
  <c r="AO156" i="5"/>
  <c r="AW156" i="5"/>
  <c r="AP156" i="5"/>
  <c r="AT156" i="5"/>
  <c r="AS156" i="5"/>
  <c r="AM156" i="5"/>
  <c r="AS175" i="5"/>
  <c r="AF177" i="5"/>
  <c r="AO184" i="5"/>
  <c r="AH193" i="5"/>
  <c r="AA28" i="5"/>
  <c r="Z49" i="5"/>
  <c r="U66" i="5"/>
  <c r="AJ75" i="5"/>
  <c r="Z84" i="5"/>
  <c r="AB97" i="5"/>
  <c r="AR120" i="5"/>
  <c r="AE124" i="5"/>
  <c r="AR135" i="5"/>
  <c r="AU151" i="5"/>
  <c r="AO158" i="5"/>
  <c r="AG177" i="5"/>
  <c r="AB180" i="5"/>
  <c r="AP184" i="5"/>
  <c r="AF202" i="5"/>
  <c r="AC223" i="5"/>
  <c r="U234" i="5"/>
  <c r="W261" i="5"/>
  <c r="AO367" i="5"/>
  <c r="AB28" i="5"/>
  <c r="X40" i="5"/>
  <c r="AP49" i="5"/>
  <c r="AD57" i="5"/>
  <c r="AK66" i="5"/>
  <c r="AD84" i="5"/>
  <c r="AR105" i="5"/>
  <c r="AF124" i="5"/>
  <c r="AS135" i="5"/>
  <c r="AK143" i="5"/>
  <c r="AJ147" i="5"/>
  <c r="AI147" i="5"/>
  <c r="AH147" i="5"/>
  <c r="Y147" i="5"/>
  <c r="AT147" i="5"/>
  <c r="W147" i="5"/>
  <c r="AS147" i="5"/>
  <c r="V147" i="5"/>
  <c r="AO147" i="5"/>
  <c r="AN147" i="5"/>
  <c r="AL147" i="5"/>
  <c r="AY147" i="5"/>
  <c r="S147" i="5"/>
  <c r="R147" i="5"/>
  <c r="X147" i="5"/>
  <c r="U147" i="5"/>
  <c r="T147" i="5"/>
  <c r="AU147" i="5" s="1"/>
  <c r="AC147" i="5"/>
  <c r="W156" i="5"/>
  <c r="AP158" i="5"/>
  <c r="AY164" i="5"/>
  <c r="AI177" i="5"/>
  <c r="AC180" i="5"/>
  <c r="AQ184" i="5"/>
  <c r="AD223" i="5"/>
  <c r="AI232" i="5"/>
  <c r="AH232" i="5"/>
  <c r="Y232" i="5"/>
  <c r="AT232" i="5"/>
  <c r="X232" i="5"/>
  <c r="AS232" i="5"/>
  <c r="W232" i="5"/>
  <c r="AR232" i="5"/>
  <c r="S232" i="5"/>
  <c r="AP232" i="5"/>
  <c r="AO232" i="5"/>
  <c r="AW232" i="5"/>
  <c r="AN232" i="5"/>
  <c r="T232" i="5"/>
  <c r="AU232" i="5" s="1"/>
  <c r="R232" i="5"/>
  <c r="AY232" i="5"/>
  <c r="AM232" i="5"/>
  <c r="AL232" i="5"/>
  <c r="AK232" i="5"/>
  <c r="AQ232" i="5"/>
  <c r="AJ232" i="5"/>
  <c r="AA232" i="5"/>
  <c r="AD237" i="5"/>
  <c r="AY301" i="5"/>
  <c r="AI313" i="5"/>
  <c r="AY347" i="5"/>
  <c r="AE347" i="5"/>
  <c r="AD347" i="5"/>
  <c r="AO347" i="5"/>
  <c r="S347" i="5"/>
  <c r="AN347" i="5"/>
  <c r="R347" i="5"/>
  <c r="AM347" i="5"/>
  <c r="AL347" i="5"/>
  <c r="AA347" i="5"/>
  <c r="Z347" i="5"/>
  <c r="Y347" i="5"/>
  <c r="AQ347" i="5"/>
  <c r="AK347" i="5"/>
  <c r="AJ347" i="5"/>
  <c r="AH347" i="5"/>
  <c r="AG347" i="5"/>
  <c r="AF347" i="5"/>
  <c r="AC347" i="5"/>
  <c r="AB347" i="5"/>
  <c r="AW347" i="5"/>
  <c r="W347" i="5"/>
  <c r="AP367" i="5"/>
  <c r="AY32" i="5"/>
  <c r="AD93" i="5"/>
  <c r="AW93" i="5"/>
  <c r="AC93" i="5"/>
  <c r="AB93" i="5"/>
  <c r="AO93" i="5"/>
  <c r="R93" i="5"/>
  <c r="AM93" i="5"/>
  <c r="AL93" i="5"/>
  <c r="AT93" i="5"/>
  <c r="T93" i="5"/>
  <c r="AS93" i="5"/>
  <c r="S93" i="5"/>
  <c r="AQ93" i="5"/>
  <c r="AJ93" i="5"/>
  <c r="AI93" i="5"/>
  <c r="U93" i="5"/>
  <c r="AY93" i="5"/>
  <c r="AU93" i="5"/>
  <c r="Y105" i="5"/>
  <c r="AV118" i="5"/>
  <c r="AX118" i="5"/>
  <c r="AG120" i="5"/>
  <c r="AF120" i="5"/>
  <c r="AY120" i="5"/>
  <c r="AE120" i="5"/>
  <c r="AI120" i="5"/>
  <c r="AD120" i="5"/>
  <c r="AC120" i="5"/>
  <c r="AM120" i="5"/>
  <c r="AL120" i="5"/>
  <c r="AJ120" i="5"/>
  <c r="W120" i="5"/>
  <c r="V120" i="5"/>
  <c r="AW120" i="5"/>
  <c r="T120" i="5"/>
  <c r="AU120" i="5" s="1"/>
  <c r="AK120" i="5"/>
  <c r="Z120" i="5"/>
  <c r="AH120" i="5"/>
  <c r="AA120" i="5"/>
  <c r="AB120" i="5"/>
  <c r="Y120" i="5"/>
  <c r="X120" i="5"/>
  <c r="X164" i="5"/>
  <c r="Y175" i="5"/>
  <c r="AR179" i="5"/>
  <c r="X179" i="5"/>
  <c r="AQ179" i="5"/>
  <c r="W179" i="5"/>
  <c r="AP179" i="5"/>
  <c r="V179" i="5"/>
  <c r="AY179" i="5"/>
  <c r="AB179" i="5"/>
  <c r="AW179" i="5"/>
  <c r="Z179" i="5"/>
  <c r="Y179" i="5"/>
  <c r="AM179" i="5"/>
  <c r="AL179" i="5"/>
  <c r="AJ179" i="5"/>
  <c r="S179" i="5"/>
  <c r="R179" i="5"/>
  <c r="AS179" i="5"/>
  <c r="AO179" i="5"/>
  <c r="AH179" i="5"/>
  <c r="AN179" i="5"/>
  <c r="AK179" i="5"/>
  <c r="AI179" i="5"/>
  <c r="AG179" i="5"/>
  <c r="AA179" i="5"/>
  <c r="AD179" i="5"/>
  <c r="AJ184" i="5"/>
  <c r="AA193" i="5"/>
  <c r="Z222" i="5"/>
  <c r="AT236" i="5"/>
  <c r="AA271" i="5"/>
  <c r="AT271" i="5"/>
  <c r="Z271" i="5"/>
  <c r="AS271" i="5"/>
  <c r="Y271" i="5"/>
  <c r="AR271" i="5"/>
  <c r="X271" i="5"/>
  <c r="AC271" i="5"/>
  <c r="AB271" i="5"/>
  <c r="AY271" i="5"/>
  <c r="W271" i="5"/>
  <c r="AK271" i="5"/>
  <c r="AI271" i="5"/>
  <c r="AH271" i="5"/>
  <c r="AQ271" i="5"/>
  <c r="AP271" i="5"/>
  <c r="AN271" i="5"/>
  <c r="AL271" i="5"/>
  <c r="AW271" i="5"/>
  <c r="AM271" i="5"/>
  <c r="AO271" i="5"/>
  <c r="AJ271" i="5"/>
  <c r="S271" i="5"/>
  <c r="V271" i="5"/>
  <c r="AB300" i="5"/>
  <c r="AA300" i="5"/>
  <c r="AT300" i="5"/>
  <c r="Z300" i="5"/>
  <c r="AS300" i="5"/>
  <c r="Y300" i="5"/>
  <c r="AF300" i="5"/>
  <c r="AE300" i="5"/>
  <c r="AD300" i="5"/>
  <c r="AI300" i="5"/>
  <c r="AG300" i="5"/>
  <c r="AC300" i="5"/>
  <c r="AP300" i="5"/>
  <c r="AO300" i="5"/>
  <c r="AN300" i="5"/>
  <c r="AM300" i="5"/>
  <c r="AL300" i="5"/>
  <c r="S300" i="5"/>
  <c r="R300" i="5"/>
  <c r="U300" i="5"/>
  <c r="T300" i="5"/>
  <c r="AU300" i="5" s="1"/>
  <c r="AQ300" i="5"/>
  <c r="AK300" i="5"/>
  <c r="AJ300" i="5"/>
  <c r="AH300" i="5"/>
  <c r="AY327" i="5"/>
  <c r="AE327" i="5"/>
  <c r="AD327" i="5"/>
  <c r="AG327" i="5"/>
  <c r="AF327" i="5"/>
  <c r="AC327" i="5"/>
  <c r="AB327" i="5"/>
  <c r="AR327" i="5"/>
  <c r="R327" i="5"/>
  <c r="AQ327" i="5"/>
  <c r="AP327" i="5"/>
  <c r="AS327" i="5"/>
  <c r="AO327" i="5"/>
  <c r="AW327" i="5"/>
  <c r="AT327" i="5"/>
  <c r="AN327" i="5"/>
  <c r="S327" i="5"/>
  <c r="AI327" i="5"/>
  <c r="AH327" i="5"/>
  <c r="X327" i="5"/>
  <c r="AA327" i="5"/>
  <c r="Z327" i="5"/>
  <c r="Y327" i="5"/>
  <c r="W327" i="5"/>
  <c r="AN332" i="5"/>
  <c r="AW360" i="5"/>
  <c r="AI18" i="5"/>
  <c r="AE18" i="5"/>
  <c r="AT37" i="5"/>
  <c r="Z37" i="5"/>
  <c r="AS37" i="5"/>
  <c r="Y37" i="5"/>
  <c r="AR37" i="5"/>
  <c r="X37" i="5"/>
  <c r="AC37" i="5"/>
  <c r="AA37" i="5"/>
  <c r="W37" i="5"/>
  <c r="AY37" i="5"/>
  <c r="V37" i="5"/>
  <c r="T37" i="5"/>
  <c r="AU37" i="5" s="1"/>
  <c r="AN37" i="5"/>
  <c r="AM37" i="5"/>
  <c r="AJ37" i="5"/>
  <c r="AF37" i="5"/>
  <c r="AI37" i="5"/>
  <c r="AG37" i="5"/>
  <c r="AE37" i="5"/>
  <c r="AH37" i="5"/>
  <c r="AB55" i="5"/>
  <c r="AU55" i="5"/>
  <c r="AA55" i="5"/>
  <c r="AT55" i="5"/>
  <c r="Z55" i="5"/>
  <c r="AL55" i="5"/>
  <c r="AJ55" i="5"/>
  <c r="AI55" i="5"/>
  <c r="AP55" i="5"/>
  <c r="AO55" i="5"/>
  <c r="AM55" i="5"/>
  <c r="AQ55" i="5"/>
  <c r="AN55" i="5"/>
  <c r="AR55" i="5"/>
  <c r="AK55" i="5"/>
  <c r="AG55" i="5"/>
  <c r="AF55" i="5"/>
  <c r="AH55" i="5"/>
  <c r="AE55" i="5"/>
  <c r="AB75" i="5"/>
  <c r="AA75" i="5"/>
  <c r="AT75" i="5"/>
  <c r="Z75" i="5"/>
  <c r="AH75" i="5"/>
  <c r="AF75" i="5"/>
  <c r="AE75" i="5"/>
  <c r="Y75" i="5"/>
  <c r="X75" i="5"/>
  <c r="AY75" i="5"/>
  <c r="V75" i="5"/>
  <c r="AI75" i="5"/>
  <c r="AG75" i="5"/>
  <c r="AP75" i="5"/>
  <c r="AK75" i="5"/>
  <c r="AO75" i="5"/>
  <c r="AM75" i="5"/>
  <c r="AL75" i="5"/>
  <c r="AN75" i="5"/>
  <c r="T77" i="5"/>
  <c r="AU77" i="5" s="1"/>
  <c r="Z93" i="5"/>
  <c r="Y164" i="5"/>
  <c r="AC175" i="5"/>
  <c r="U260" i="5"/>
  <c r="AO332" i="5"/>
  <c r="AH334" i="5"/>
  <c r="AG334" i="5"/>
  <c r="AO334" i="5"/>
  <c r="S334" i="5"/>
  <c r="AN334" i="5"/>
  <c r="R334" i="5"/>
  <c r="AM334" i="5"/>
  <c r="AL334" i="5"/>
  <c r="Z334" i="5"/>
  <c r="AY334" i="5"/>
  <c r="Y334" i="5"/>
  <c r="X334" i="5"/>
  <c r="U334" i="5"/>
  <c r="AW334" i="5"/>
  <c r="AT334" i="5"/>
  <c r="AS334" i="5"/>
  <c r="AR334" i="5"/>
  <c r="AQ334" i="5"/>
  <c r="AJ334" i="5"/>
  <c r="AI334" i="5"/>
  <c r="AE334" i="5"/>
  <c r="AF334" i="5"/>
  <c r="AD334" i="5"/>
  <c r="AC334" i="5"/>
  <c r="AP334" i="5"/>
  <c r="AK334" i="5"/>
  <c r="T54" i="5"/>
  <c r="AU54" i="5" s="1"/>
  <c r="V55" i="5"/>
  <c r="W75" i="5"/>
  <c r="AB105" i="5"/>
  <c r="V135" i="5"/>
  <c r="AR164" i="5"/>
  <c r="AD175" i="5"/>
  <c r="AY202" i="5"/>
  <c r="AE202" i="5"/>
  <c r="AD202" i="5"/>
  <c r="AW202" i="5"/>
  <c r="AC202" i="5"/>
  <c r="AQ202" i="5"/>
  <c r="T202" i="5"/>
  <c r="AU202" i="5" s="1"/>
  <c r="AO202" i="5"/>
  <c r="R202" i="5"/>
  <c r="AN202" i="5"/>
  <c r="AL202" i="5"/>
  <c r="AK202" i="5"/>
  <c r="AI202" i="5"/>
  <c r="U202" i="5"/>
  <c r="S202" i="5"/>
  <c r="AT202" i="5"/>
  <c r="AS202" i="5"/>
  <c r="AP202" i="5"/>
  <c r="AM202" i="5"/>
  <c r="AR202" i="5"/>
  <c r="AJ202" i="5"/>
  <c r="AH202" i="5"/>
  <c r="Z202" i="5"/>
  <c r="AB222" i="5"/>
  <c r="AW249" i="5"/>
  <c r="AC249" i="5"/>
  <c r="AB249" i="5"/>
  <c r="AA249" i="5"/>
  <c r="AT249" i="5"/>
  <c r="Z249" i="5"/>
  <c r="AF249" i="5"/>
  <c r="AE249" i="5"/>
  <c r="AD249" i="5"/>
  <c r="V249" i="5"/>
  <c r="AY249" i="5"/>
  <c r="T249" i="5"/>
  <c r="AU249" i="5" s="1"/>
  <c r="S249" i="5"/>
  <c r="AN249" i="5"/>
  <c r="AM249" i="5"/>
  <c r="AK249" i="5"/>
  <c r="AL249" i="5"/>
  <c r="AJ249" i="5"/>
  <c r="AH249" i="5"/>
  <c r="AP249" i="5"/>
  <c r="AQ249" i="5"/>
  <c r="AS249" i="5"/>
  <c r="AR249" i="5"/>
  <c r="AI249" i="5"/>
  <c r="AE271" i="5"/>
  <c r="AK281" i="5"/>
  <c r="AJ281" i="5"/>
  <c r="AI281" i="5"/>
  <c r="AH281" i="5"/>
  <c r="AQ281" i="5"/>
  <c r="S281" i="5"/>
  <c r="AP281" i="5"/>
  <c r="R281" i="5"/>
  <c r="AO281" i="5"/>
  <c r="AM281" i="5"/>
  <c r="AG281" i="5"/>
  <c r="AF281" i="5"/>
  <c r="V281" i="5"/>
  <c r="AY281" i="5"/>
  <c r="U281" i="5"/>
  <c r="AW281" i="5"/>
  <c r="AU281" i="5"/>
  <c r="AS281" i="5"/>
  <c r="AL281" i="5"/>
  <c r="AE281" i="5"/>
  <c r="AR281" i="5"/>
  <c r="AN281" i="5"/>
  <c r="AD281" i="5"/>
  <c r="AP332" i="5"/>
  <c r="AY11" i="5"/>
  <c r="AE11" i="5"/>
  <c r="Y11" i="5" s="1"/>
  <c r="R11" i="5" s="1"/>
  <c r="AD11" i="5"/>
  <c r="AL11" i="5"/>
  <c r="AI11" i="5"/>
  <c r="AH11" i="5"/>
  <c r="AE93" i="5"/>
  <c r="AT97" i="5"/>
  <c r="Z97" i="5"/>
  <c r="AS97" i="5"/>
  <c r="Y97" i="5"/>
  <c r="AR97" i="5"/>
  <c r="X97" i="5"/>
  <c r="AK97" i="5"/>
  <c r="AI97" i="5"/>
  <c r="AH97" i="5"/>
  <c r="AM97" i="5"/>
  <c r="AL97" i="5"/>
  <c r="AG97" i="5"/>
  <c r="AY97" i="5"/>
  <c r="S97" i="5"/>
  <c r="R97" i="5"/>
  <c r="AU97" i="5"/>
  <c r="AP97" i="5"/>
  <c r="AW97" i="5"/>
  <c r="AQ97" i="5"/>
  <c r="AC105" i="5"/>
  <c r="AP120" i="5"/>
  <c r="AT179" i="5"/>
  <c r="AG193" i="5"/>
  <c r="Y249" i="5"/>
  <c r="AA313" i="5"/>
  <c r="AH32" i="5"/>
  <c r="Y49" i="5"/>
  <c r="X55" i="5"/>
  <c r="AB95" i="5"/>
  <c r="AU95" i="5"/>
  <c r="AA95" i="5"/>
  <c r="AT95" i="5"/>
  <c r="Z95" i="5"/>
  <c r="AD95" i="5"/>
  <c r="AY95" i="5"/>
  <c r="Y95" i="5"/>
  <c r="X95" i="5"/>
  <c r="AO95" i="5"/>
  <c r="AN95" i="5"/>
  <c r="AL95" i="5"/>
  <c r="AR95" i="5"/>
  <c r="AQ95" i="5"/>
  <c r="AG95" i="5"/>
  <c r="AF95" i="5"/>
  <c r="V95" i="5"/>
  <c r="AE95" i="5"/>
  <c r="AC95" i="5"/>
  <c r="W95" i="5"/>
  <c r="AE143" i="5"/>
  <c r="U156" i="5"/>
  <c r="AB202" i="5"/>
  <c r="AA281" i="5"/>
  <c r="AG313" i="5"/>
  <c r="AL16" i="5"/>
  <c r="AO37" i="5"/>
  <c r="W40" i="5"/>
  <c r="Y55" i="5"/>
  <c r="AH95" i="5"/>
  <c r="AH143" i="5"/>
  <c r="AS188" i="5"/>
  <c r="Y188" i="5"/>
  <c r="AR188" i="5"/>
  <c r="X188" i="5"/>
  <c r="AQ188" i="5"/>
  <c r="W188" i="5"/>
  <c r="AF188" i="5"/>
  <c r="AD188" i="5"/>
  <c r="AC188" i="5"/>
  <c r="AO188" i="5"/>
  <c r="AN188" i="5"/>
  <c r="AL188" i="5"/>
  <c r="AJ188" i="5"/>
  <c r="AI188" i="5"/>
  <c r="AG188" i="5"/>
  <c r="R188" i="5"/>
  <c r="AW188" i="5"/>
  <c r="AY188" i="5"/>
  <c r="AM188" i="5"/>
  <c r="AR219" i="5"/>
  <c r="X219" i="5"/>
  <c r="AQ219" i="5"/>
  <c r="W219" i="5"/>
  <c r="AP219" i="5"/>
  <c r="V219" i="5"/>
  <c r="AN219" i="5"/>
  <c r="AL219" i="5"/>
  <c r="AK219" i="5"/>
  <c r="AJ219" i="5"/>
  <c r="AI219" i="5"/>
  <c r="AG219" i="5"/>
  <c r="AD219" i="5"/>
  <c r="AC219" i="5"/>
  <c r="AA219" i="5"/>
  <c r="AY219" i="5"/>
  <c r="AW219" i="5"/>
  <c r="AG234" i="5"/>
  <c r="AF234" i="5"/>
  <c r="AY234" i="5"/>
  <c r="AC234" i="5"/>
  <c r="AB234" i="5"/>
  <c r="AW234" i="5"/>
  <c r="AA234" i="5"/>
  <c r="AK234" i="5"/>
  <c r="AI234" i="5"/>
  <c r="AH234" i="5"/>
  <c r="AS234" i="5"/>
  <c r="AR234" i="5"/>
  <c r="AP234" i="5"/>
  <c r="Z234" i="5"/>
  <c r="Y234" i="5"/>
  <c r="W234" i="5"/>
  <c r="AL234" i="5"/>
  <c r="AD234" i="5"/>
  <c r="AJ234" i="5"/>
  <c r="X234" i="5"/>
  <c r="AE234" i="5"/>
  <c r="V234" i="5"/>
  <c r="AK261" i="5"/>
  <c r="AJ261" i="5"/>
  <c r="AI261" i="5"/>
  <c r="AH261" i="5"/>
  <c r="AG261" i="5"/>
  <c r="AF261" i="5"/>
  <c r="AE261" i="5"/>
  <c r="AB261" i="5"/>
  <c r="Z261" i="5"/>
  <c r="Y261" i="5"/>
  <c r="AR261" i="5"/>
  <c r="AQ261" i="5"/>
  <c r="AO261" i="5"/>
  <c r="AT261" i="5"/>
  <c r="AP261" i="5"/>
  <c r="R261" i="5"/>
  <c r="AW261" i="5"/>
  <c r="AY261" i="5"/>
  <c r="X261" i="5"/>
  <c r="S261" i="5"/>
  <c r="AD18" i="5"/>
  <c r="AK36" i="5"/>
  <c r="AJ36" i="5"/>
  <c r="AI36" i="5"/>
  <c r="AH36" i="5"/>
  <c r="AF36" i="5"/>
  <c r="AC36" i="5"/>
  <c r="AB36" i="5"/>
  <c r="AY36" i="5"/>
  <c r="Z36" i="5"/>
  <c r="AP36" i="5"/>
  <c r="AO36" i="5"/>
  <c r="AE36" i="5"/>
  <c r="W36" i="5"/>
  <c r="AD36" i="5"/>
  <c r="X36" i="5"/>
  <c r="AA36" i="5"/>
  <c r="Y36" i="5"/>
  <c r="U36" i="5"/>
  <c r="AQ37" i="5"/>
  <c r="AA46" i="5"/>
  <c r="AT46" i="5"/>
  <c r="Z46" i="5"/>
  <c r="AS46" i="5"/>
  <c r="Y46" i="5"/>
  <c r="AG46" i="5"/>
  <c r="AE46" i="5"/>
  <c r="AD46" i="5"/>
  <c r="S46" i="5"/>
  <c r="AR46" i="5"/>
  <c r="R46" i="5"/>
  <c r="AP46" i="5"/>
  <c r="AQ46" i="5"/>
  <c r="AO46" i="5"/>
  <c r="T46" i="5"/>
  <c r="AU46" i="5" s="1"/>
  <c r="AY46" i="5"/>
  <c r="AW46" i="5"/>
  <c r="X46" i="5"/>
  <c r="AQ49" i="5"/>
  <c r="AD55" i="5"/>
  <c r="AR75" i="5"/>
  <c r="AK93" i="5"/>
  <c r="AJ95" i="5"/>
  <c r="AD97" i="5"/>
  <c r="AT120" i="5"/>
  <c r="AG124" i="5"/>
  <c r="AO143" i="5"/>
  <c r="AD147" i="5"/>
  <c r="T149" i="5"/>
  <c r="AU149" i="5"/>
  <c r="AY149" i="5"/>
  <c r="X156" i="5"/>
  <c r="AQ158" i="5"/>
  <c r="AJ177" i="5"/>
  <c r="AA188" i="5"/>
  <c r="AG200" i="5"/>
  <c r="AF200" i="5"/>
  <c r="AY200" i="5"/>
  <c r="AE200" i="5"/>
  <c r="AM200" i="5"/>
  <c r="AK200" i="5"/>
  <c r="AJ200" i="5"/>
  <c r="Y200" i="5"/>
  <c r="X200" i="5"/>
  <c r="V200" i="5"/>
  <c r="AC200" i="5"/>
  <c r="AB200" i="5"/>
  <c r="Z200" i="5"/>
  <c r="AW200" i="5"/>
  <c r="AS200" i="5"/>
  <c r="AR200" i="5"/>
  <c r="AU200" i="5"/>
  <c r="AT200" i="5"/>
  <c r="AQ200" i="5"/>
  <c r="AD200" i="5"/>
  <c r="S200" i="5"/>
  <c r="W200" i="5"/>
  <c r="AT217" i="5"/>
  <c r="Z217" i="5"/>
  <c r="AS217" i="5"/>
  <c r="Y217" i="5"/>
  <c r="AR217" i="5"/>
  <c r="X217" i="5"/>
  <c r="AG217" i="5"/>
  <c r="AE217" i="5"/>
  <c r="AD217" i="5"/>
  <c r="AQ217" i="5"/>
  <c r="AP217" i="5"/>
  <c r="AN217" i="5"/>
  <c r="AB217" i="5"/>
  <c r="AA217" i="5"/>
  <c r="V217" i="5"/>
  <c r="AL217" i="5"/>
  <c r="AK217" i="5"/>
  <c r="AI217" i="5"/>
  <c r="AH217" i="5"/>
  <c r="AJ217" i="5"/>
  <c r="AF217" i="5"/>
  <c r="U217" i="5"/>
  <c r="Z219" i="5"/>
  <c r="AB232" i="5"/>
  <c r="AN234" i="5"/>
  <c r="AC261" i="5"/>
  <c r="AT281" i="5"/>
  <c r="AT302" i="5"/>
  <c r="Z302" i="5"/>
  <c r="AS302" i="5"/>
  <c r="Y302" i="5"/>
  <c r="AR302" i="5"/>
  <c r="X302" i="5"/>
  <c r="AQ302" i="5"/>
  <c r="W302" i="5"/>
  <c r="AP302" i="5"/>
  <c r="R302" i="5"/>
  <c r="AO302" i="5"/>
  <c r="AN302" i="5"/>
  <c r="AF302" i="5"/>
  <c r="AD302" i="5"/>
  <c r="AC302" i="5"/>
  <c r="AY302" i="5"/>
  <c r="AW302" i="5"/>
  <c r="AM302" i="5"/>
  <c r="T302" i="5"/>
  <c r="AU302" i="5" s="1"/>
  <c r="S302" i="5"/>
  <c r="AB302" i="5"/>
  <c r="X347" i="5"/>
  <c r="AC380" i="5"/>
  <c r="AB37" i="5"/>
  <c r="U55" i="5"/>
  <c r="U75" i="5"/>
  <c r="AA105" i="5"/>
  <c r="AN120" i="5"/>
  <c r="AE179" i="5"/>
  <c r="AL184" i="5"/>
  <c r="AE193" i="5"/>
  <c r="AA222" i="5"/>
  <c r="AB260" i="5"/>
  <c r="AU260" i="5"/>
  <c r="AA260" i="5"/>
  <c r="AT260" i="5"/>
  <c r="Z260" i="5"/>
  <c r="AS260" i="5"/>
  <c r="Y260" i="5"/>
  <c r="AN260" i="5"/>
  <c r="AM260" i="5"/>
  <c r="AL260" i="5"/>
  <c r="AF260" i="5"/>
  <c r="AD260" i="5"/>
  <c r="AC260" i="5"/>
  <c r="AO260" i="5"/>
  <c r="AK260" i="5"/>
  <c r="AI260" i="5"/>
  <c r="AJ260" i="5"/>
  <c r="AH260" i="5"/>
  <c r="AE260" i="5"/>
  <c r="AW260" i="5"/>
  <c r="X260" i="5"/>
  <c r="AR260" i="5"/>
  <c r="AG260" i="5"/>
  <c r="AQ260" i="5"/>
  <c r="AP260" i="5"/>
  <c r="W260" i="5"/>
  <c r="AD271" i="5"/>
  <c r="AR300" i="5"/>
  <c r="AJ327" i="5"/>
  <c r="AA334" i="5"/>
  <c r="AI380" i="5"/>
  <c r="AJ14" i="5"/>
  <c r="AD37" i="5"/>
  <c r="W49" i="5"/>
  <c r="AA93" i="5"/>
  <c r="V124" i="5"/>
  <c r="AB135" i="5"/>
  <c r="AU135" i="5"/>
  <c r="AA135" i="5"/>
  <c r="AT135" i="5"/>
  <c r="Z135" i="5"/>
  <c r="AP135" i="5"/>
  <c r="S135" i="5"/>
  <c r="AN135" i="5"/>
  <c r="AM135" i="5"/>
  <c r="AC135" i="5"/>
  <c r="Y135" i="5"/>
  <c r="W135" i="5"/>
  <c r="AI135" i="5"/>
  <c r="AH135" i="5"/>
  <c r="AF135" i="5"/>
  <c r="AK135" i="5"/>
  <c r="AD135" i="5"/>
  <c r="AJ135" i="5"/>
  <c r="AE135" i="5"/>
  <c r="X135" i="5"/>
  <c r="AG135" i="5"/>
  <c r="AY135" i="5"/>
  <c r="AQ135" i="5"/>
  <c r="W158" i="5"/>
  <c r="AK327" i="5"/>
  <c r="AY367" i="5"/>
  <c r="AE367" i="5"/>
  <c r="AD367" i="5"/>
  <c r="AW367" i="5"/>
  <c r="AC367" i="5"/>
  <c r="AJ367" i="5"/>
  <c r="AI367" i="5"/>
  <c r="AH367" i="5"/>
  <c r="AG367" i="5"/>
  <c r="T367" i="5"/>
  <c r="AU367" i="5" s="1"/>
  <c r="AT367" i="5"/>
  <c r="S367" i="5"/>
  <c r="AS367" i="5"/>
  <c r="R367" i="5"/>
  <c r="AR367" i="5"/>
  <c r="AQ367" i="5"/>
  <c r="AK367" i="5"/>
  <c r="AF367" i="5"/>
  <c r="AB367" i="5"/>
  <c r="AA367" i="5"/>
  <c r="Z367" i="5"/>
  <c r="V367" i="5"/>
  <c r="U367" i="5"/>
  <c r="AG40" i="5"/>
  <c r="AF40" i="5"/>
  <c r="AY40" i="5"/>
  <c r="AE40" i="5"/>
  <c r="AB40" i="5"/>
  <c r="AW40" i="5"/>
  <c r="Z40" i="5"/>
  <c r="Y40" i="5"/>
  <c r="AO40" i="5"/>
  <c r="AN40" i="5"/>
  <c r="AL40" i="5"/>
  <c r="AQ40" i="5"/>
  <c r="AP40" i="5"/>
  <c r="AS40" i="5"/>
  <c r="AJ40" i="5"/>
  <c r="AR40" i="5"/>
  <c r="AI40" i="5"/>
  <c r="AM40" i="5"/>
  <c r="AK40" i="5"/>
  <c r="X49" i="5"/>
  <c r="AC75" i="5"/>
  <c r="AW84" i="5"/>
  <c r="AC84" i="5"/>
  <c r="AB84" i="5"/>
  <c r="AU84" i="5"/>
  <c r="AA84" i="5"/>
  <c r="AK84" i="5"/>
  <c r="AI84" i="5"/>
  <c r="AH84" i="5"/>
  <c r="Y84" i="5"/>
  <c r="X84" i="5"/>
  <c r="AY84" i="5"/>
  <c r="V84" i="5"/>
  <c r="AQ84" i="5"/>
  <c r="AP84" i="5"/>
  <c r="AR84" i="5"/>
  <c r="AJ84" i="5"/>
  <c r="AO84" i="5"/>
  <c r="AL84" i="5"/>
  <c r="AN84" i="5"/>
  <c r="AM84" i="5"/>
  <c r="U84" i="5"/>
  <c r="W97" i="5"/>
  <c r="AL135" i="5"/>
  <c r="AJ158" i="5"/>
  <c r="AI175" i="5"/>
  <c r="AE177" i="5"/>
  <c r="AA202" i="5"/>
  <c r="AN237" i="5"/>
  <c r="T237" i="5"/>
  <c r="AU237" i="5" s="1"/>
  <c r="AM237" i="5"/>
  <c r="S237" i="5"/>
  <c r="AB237" i="5"/>
  <c r="AW237" i="5"/>
  <c r="AA237" i="5"/>
  <c r="Z237" i="5"/>
  <c r="AS237" i="5"/>
  <c r="R237" i="5"/>
  <c r="AQ237" i="5"/>
  <c r="AP237" i="5"/>
  <c r="AO237" i="5"/>
  <c r="AL237" i="5"/>
  <c r="AJ237" i="5"/>
  <c r="AH237" i="5"/>
  <c r="AG237" i="5"/>
  <c r="AE237" i="5"/>
  <c r="AY237" i="5"/>
  <c r="AR237" i="5"/>
  <c r="X237" i="5"/>
  <c r="AF271" i="5"/>
  <c r="AY300" i="5"/>
  <c r="AS313" i="5"/>
  <c r="Y313" i="5"/>
  <c r="AR313" i="5"/>
  <c r="X313" i="5"/>
  <c r="AN313" i="5"/>
  <c r="R313" i="5"/>
  <c r="AM313" i="5"/>
  <c r="AL313" i="5"/>
  <c r="AK313" i="5"/>
  <c r="AT313" i="5"/>
  <c r="AQ313" i="5"/>
  <c r="AP313" i="5"/>
  <c r="AW313" i="5"/>
  <c r="AO313" i="5"/>
  <c r="AF313" i="5"/>
  <c r="AE313" i="5"/>
  <c r="AD313" i="5"/>
  <c r="AC313" i="5"/>
  <c r="AB313" i="5"/>
  <c r="T313" i="5"/>
  <c r="AU313" i="5" s="1"/>
  <c r="S313" i="5"/>
  <c r="AY313" i="5"/>
  <c r="V313" i="5"/>
  <c r="AS332" i="5"/>
  <c r="AY23" i="5"/>
  <c r="AB23" i="5"/>
  <c r="AA23" i="5"/>
  <c r="Z23" i="5"/>
  <c r="AI23" i="5"/>
  <c r="AA18" i="5"/>
  <c r="Y28" i="5"/>
  <c r="AL28" i="5"/>
  <c r="AC28" i="5"/>
  <c r="AY28" i="5"/>
  <c r="Z28" i="5"/>
  <c r="AT57" i="5"/>
  <c r="Z57" i="5"/>
  <c r="AS57" i="5"/>
  <c r="Y57" i="5"/>
  <c r="AR57" i="5"/>
  <c r="X57" i="5"/>
  <c r="V57" i="5"/>
  <c r="AQ57" i="5"/>
  <c r="T57" i="5"/>
  <c r="AU57" i="5" s="1"/>
  <c r="AP57" i="5"/>
  <c r="S57" i="5"/>
  <c r="AK57" i="5"/>
  <c r="AJ57" i="5"/>
  <c r="AH57" i="5"/>
  <c r="AW57" i="5"/>
  <c r="R57" i="5"/>
  <c r="AY57" i="5"/>
  <c r="AB57" i="5"/>
  <c r="AD75" i="5"/>
  <c r="W84" i="5"/>
  <c r="AF93" i="5"/>
  <c r="U95" i="5"/>
  <c r="AA97" i="5"/>
  <c r="AD124" i="5"/>
  <c r="AO135" i="5"/>
  <c r="AM158" i="5"/>
  <c r="AT164" i="5"/>
  <c r="AG222" i="5"/>
  <c r="Y237" i="5"/>
  <c r="AG249" i="5"/>
  <c r="AK301" i="5"/>
  <c r="AJ301" i="5"/>
  <c r="AI301" i="5"/>
  <c r="AH301" i="5"/>
  <c r="AW301" i="5"/>
  <c r="Y301" i="5"/>
  <c r="X301" i="5"/>
  <c r="W301" i="5"/>
  <c r="AE301" i="5"/>
  <c r="AC301" i="5"/>
  <c r="AB301" i="5"/>
  <c r="AS301" i="5"/>
  <c r="AR301" i="5"/>
  <c r="AQ301" i="5"/>
  <c r="AP301" i="5"/>
  <c r="AO301" i="5"/>
  <c r="AG301" i="5"/>
  <c r="AF301" i="5"/>
  <c r="AA301" i="5"/>
  <c r="AM301" i="5"/>
  <c r="AL301" i="5"/>
  <c r="AT301" i="5"/>
  <c r="AD301" i="5"/>
  <c r="AN301" i="5"/>
  <c r="S301" i="5"/>
  <c r="AB18" i="5"/>
  <c r="AC57" i="5"/>
  <c r="AU66" i="5"/>
  <c r="AA66" i="5"/>
  <c r="AT66" i="5"/>
  <c r="Z66" i="5"/>
  <c r="AS66" i="5"/>
  <c r="Y66" i="5"/>
  <c r="AC66" i="5"/>
  <c r="X66" i="5"/>
  <c r="AW66" i="5"/>
  <c r="W66" i="5"/>
  <c r="AH66" i="5"/>
  <c r="AG66" i="5"/>
  <c r="AE66" i="5"/>
  <c r="AM66" i="5"/>
  <c r="AL66" i="5"/>
  <c r="AJ66" i="5"/>
  <c r="AB66" i="5"/>
  <c r="AI66" i="5"/>
  <c r="AD66" i="5"/>
  <c r="V66" i="5"/>
  <c r="AF66" i="5"/>
  <c r="AG93" i="5"/>
  <c r="AQ105" i="5"/>
  <c r="V156" i="5"/>
  <c r="AX167" i="5"/>
  <c r="AV167" i="5"/>
  <c r="AG180" i="5"/>
  <c r="AF180" i="5"/>
  <c r="AY180" i="5"/>
  <c r="AE180" i="5"/>
  <c r="AQ180" i="5"/>
  <c r="T180" i="5"/>
  <c r="AU180" i="5" s="1"/>
  <c r="AO180" i="5"/>
  <c r="R180" i="5"/>
  <c r="AN180" i="5"/>
  <c r="AM180" i="5"/>
  <c r="AL180" i="5"/>
  <c r="AJ180" i="5"/>
  <c r="Y180" i="5"/>
  <c r="X180" i="5"/>
  <c r="V180" i="5"/>
  <c r="S180" i="5"/>
  <c r="AW180" i="5"/>
  <c r="U180" i="5"/>
  <c r="V188" i="5"/>
  <c r="AI193" i="5"/>
  <c r="U219" i="5"/>
  <c r="AN223" i="5"/>
  <c r="T223" i="5"/>
  <c r="AU223" i="5" s="1"/>
  <c r="AM223" i="5"/>
  <c r="S223" i="5"/>
  <c r="AL223" i="5"/>
  <c r="R223" i="5"/>
  <c r="AH223" i="5"/>
  <c r="AF223" i="5"/>
  <c r="AE223" i="5"/>
  <c r="AS223" i="5"/>
  <c r="AR223" i="5"/>
  <c r="AP223" i="5"/>
  <c r="W223" i="5"/>
  <c r="AY223" i="5"/>
  <c r="V223" i="5"/>
  <c r="AW223" i="5"/>
  <c r="Y223" i="5"/>
  <c r="X223" i="5"/>
  <c r="U223" i="5"/>
  <c r="AC237" i="5"/>
  <c r="AO249" i="5"/>
  <c r="AB281" i="5"/>
  <c r="Z301" i="5"/>
  <c r="AH313" i="5"/>
  <c r="T405" i="5"/>
  <c r="AU405" i="5" s="1"/>
  <c r="D55" i="1"/>
  <c r="AH9" i="5"/>
  <c r="AG9" i="5"/>
  <c r="AF9" i="5"/>
  <c r="AA9" i="5"/>
  <c r="T9" i="5"/>
  <c r="AU9" i="5" s="1"/>
  <c r="AK9" i="5"/>
  <c r="AJ9" i="5"/>
  <c r="AI9" i="5"/>
  <c r="AE9" i="5"/>
  <c r="Y9" i="5" s="1"/>
  <c r="AD9" i="5"/>
  <c r="AL14" i="5"/>
  <c r="AM14" i="5" s="1"/>
  <c r="AK14" i="5"/>
  <c r="AQ14" i="5"/>
  <c r="AQ15" i="5" s="1"/>
  <c r="T14" i="5"/>
  <c r="AU14" i="5" s="1"/>
  <c r="AE14" i="5"/>
  <c r="Z14" i="5"/>
  <c r="Y14" i="5"/>
  <c r="R14" i="5" s="1"/>
  <c r="AB14" i="5"/>
  <c r="AY14" i="5"/>
  <c r="AA14" i="5"/>
  <c r="Z11" i="5"/>
  <c r="AL20" i="5"/>
  <c r="AI20" i="5"/>
  <c r="AC40" i="5"/>
  <c r="AR49" i="5"/>
  <c r="AS55" i="5"/>
  <c r="AF57" i="5"/>
  <c r="AY62" i="5"/>
  <c r="AE62" i="5"/>
  <c r="AD62" i="5"/>
  <c r="AW62" i="5"/>
  <c r="AC62" i="5"/>
  <c r="AB62" i="5"/>
  <c r="Z62" i="5"/>
  <c r="Y62" i="5"/>
  <c r="AO62" i="5"/>
  <c r="AN62" i="5"/>
  <c r="AL62" i="5"/>
  <c r="AH62" i="5"/>
  <c r="AG62" i="5"/>
  <c r="S62" i="5"/>
  <c r="R62" i="5"/>
  <c r="AT62" i="5"/>
  <c r="AS62" i="5"/>
  <c r="W62" i="5"/>
  <c r="AO66" i="5"/>
  <c r="AS75" i="5"/>
  <c r="AF84" i="5"/>
  <c r="AN93" i="5"/>
  <c r="AK95" i="5"/>
  <c r="AE97" i="5"/>
  <c r="AW104" i="5"/>
  <c r="AC104" i="5"/>
  <c r="AB104" i="5"/>
  <c r="AA104" i="5"/>
  <c r="AG104" i="5"/>
  <c r="AE104" i="5"/>
  <c r="AD104" i="5"/>
  <c r="AM104" i="5"/>
  <c r="AL104" i="5"/>
  <c r="AJ104" i="5"/>
  <c r="AR104" i="5"/>
  <c r="AQ104" i="5"/>
  <c r="AI104" i="5"/>
  <c r="AH104" i="5"/>
  <c r="X104" i="5"/>
  <c r="AF104" i="5"/>
  <c r="Z104" i="5"/>
  <c r="Y104" i="5"/>
  <c r="U104" i="5"/>
  <c r="AY105" i="5"/>
  <c r="AF111" i="5"/>
  <c r="AY111" i="5"/>
  <c r="AE111" i="5"/>
  <c r="AD111" i="5"/>
  <c r="AA111" i="5"/>
  <c r="Y111" i="5"/>
  <c r="X111" i="5"/>
  <c r="AQ111" i="5"/>
  <c r="AP111" i="5"/>
  <c r="AN111" i="5"/>
  <c r="T111" i="5"/>
  <c r="AU111" i="5" s="1"/>
  <c r="S111" i="5"/>
  <c r="AI111" i="5"/>
  <c r="Z111" i="5"/>
  <c r="AH111" i="5"/>
  <c r="AG111" i="5"/>
  <c r="AC111" i="5"/>
  <c r="AB111" i="5"/>
  <c r="W111" i="5"/>
  <c r="AK116" i="5"/>
  <c r="AJ116" i="5"/>
  <c r="AI116" i="5"/>
  <c r="AO116" i="5"/>
  <c r="R116" i="5"/>
  <c r="AM116" i="5"/>
  <c r="AL116" i="5"/>
  <c r="X116" i="5"/>
  <c r="AW116" i="5"/>
  <c r="W116" i="5"/>
  <c r="AU116" i="5"/>
  <c r="U116" i="5"/>
  <c r="AT116" i="5"/>
  <c r="AS116" i="5"/>
  <c r="AQ116" i="5"/>
  <c r="AH116" i="5"/>
  <c r="AG116" i="5"/>
  <c r="AE116" i="5"/>
  <c r="AD116" i="5"/>
  <c r="AF116" i="5"/>
  <c r="AC116" i="5"/>
  <c r="Y116" i="5"/>
  <c r="AQ124" i="5"/>
  <c r="AP143" i="5"/>
  <c r="AE147" i="5"/>
  <c r="AD153" i="5"/>
  <c r="AW153" i="5"/>
  <c r="AC153" i="5"/>
  <c r="AB153" i="5"/>
  <c r="Z153" i="5"/>
  <c r="X153" i="5"/>
  <c r="AT153" i="5"/>
  <c r="W153" i="5"/>
  <c r="AO153" i="5"/>
  <c r="AN153" i="5"/>
  <c r="AL153" i="5"/>
  <c r="AM153" i="5"/>
  <c r="AK153" i="5"/>
  <c r="AI153" i="5"/>
  <c r="AH153" i="5"/>
  <c r="Y153" i="5"/>
  <c r="AG153" i="5"/>
  <c r="AA153" i="5"/>
  <c r="AF153" i="5"/>
  <c r="AE153" i="5"/>
  <c r="U153" i="5"/>
  <c r="Y156" i="5"/>
  <c r="AR158" i="5"/>
  <c r="AK177" i="5"/>
  <c r="AH180" i="5"/>
  <c r="AB188" i="5"/>
  <c r="AB219" i="5"/>
  <c r="AI223" i="5"/>
  <c r="AC232" i="5"/>
  <c r="AO234" i="5"/>
  <c r="AI237" i="5"/>
  <c r="AD261" i="5"/>
  <c r="AI347" i="5"/>
  <c r="AU145" i="5"/>
  <c r="AU146" i="5"/>
  <c r="AA146" i="5"/>
  <c r="AT146" i="5"/>
  <c r="Z146" i="5"/>
  <c r="AS146" i="5"/>
  <c r="Y146" i="5"/>
  <c r="AG146" i="5"/>
  <c r="AE146" i="5"/>
  <c r="AD146" i="5"/>
  <c r="AQ146" i="5"/>
  <c r="AP146" i="5"/>
  <c r="AN146" i="5"/>
  <c r="R146" i="5"/>
  <c r="AW146" i="5"/>
  <c r="AR146" i="5"/>
  <c r="AY146" i="5"/>
  <c r="AM146" i="5"/>
  <c r="AO146" i="5"/>
  <c r="AL146" i="5"/>
  <c r="AK146" i="5"/>
  <c r="V146" i="5"/>
  <c r="AL165" i="5"/>
  <c r="R165" i="5"/>
  <c r="AK165" i="5"/>
  <c r="AJ165" i="5"/>
  <c r="AH165" i="5"/>
  <c r="AF165" i="5"/>
  <c r="AE165" i="5"/>
  <c r="AG165" i="5"/>
  <c r="AD165" i="5"/>
  <c r="AB165" i="5"/>
  <c r="AP165" i="5"/>
  <c r="AO165" i="5"/>
  <c r="AM165" i="5"/>
  <c r="AR165" i="5"/>
  <c r="AS165" i="5"/>
  <c r="AT165" i="5"/>
  <c r="AQ165" i="5"/>
  <c r="V165" i="5"/>
  <c r="AT197" i="5"/>
  <c r="Z197" i="5"/>
  <c r="AS197" i="5"/>
  <c r="Y197" i="5"/>
  <c r="AR197" i="5"/>
  <c r="X197" i="5"/>
  <c r="AK197" i="5"/>
  <c r="AI197" i="5"/>
  <c r="AH197" i="5"/>
  <c r="AJ197" i="5"/>
  <c r="AG197" i="5"/>
  <c r="AE197" i="5"/>
  <c r="AC197" i="5"/>
  <c r="AB197" i="5"/>
  <c r="W197" i="5"/>
  <c r="AP197" i="5"/>
  <c r="AF197" i="5"/>
  <c r="AO197" i="5"/>
  <c r="AM197" i="5"/>
  <c r="AL197" i="5"/>
  <c r="AN197" i="5"/>
  <c r="U197" i="5"/>
  <c r="AJ207" i="5"/>
  <c r="AI207" i="5"/>
  <c r="AH207" i="5"/>
  <c r="AG207" i="5"/>
  <c r="AE207" i="5"/>
  <c r="AD207" i="5"/>
  <c r="AA207" i="5"/>
  <c r="Z207" i="5"/>
  <c r="X207" i="5"/>
  <c r="AK207" i="5"/>
  <c r="AF207" i="5"/>
  <c r="AB207" i="5"/>
  <c r="AS207" i="5"/>
  <c r="AR207" i="5"/>
  <c r="AT207" i="5"/>
  <c r="AQ207" i="5"/>
  <c r="U207" i="5"/>
  <c r="AV210" i="5"/>
  <c r="T220" i="5"/>
  <c r="AU220" i="5" s="1"/>
  <c r="AH254" i="5"/>
  <c r="AG254" i="5"/>
  <c r="AF254" i="5"/>
  <c r="AY254" i="5"/>
  <c r="AE254" i="5"/>
  <c r="Z254" i="5"/>
  <c r="AW254" i="5"/>
  <c r="Y254" i="5"/>
  <c r="X254" i="5"/>
  <c r="T254" i="5"/>
  <c r="AU254" i="5" s="1"/>
  <c r="AS254" i="5"/>
  <c r="R254" i="5"/>
  <c r="AR254" i="5"/>
  <c r="AO254" i="5"/>
  <c r="AN254" i="5"/>
  <c r="AL254" i="5"/>
  <c r="V254" i="5"/>
  <c r="U254" i="5"/>
  <c r="AT254" i="5"/>
  <c r="AQ254" i="5"/>
  <c r="AB254" i="5"/>
  <c r="T345" i="5"/>
  <c r="AU345" i="5" s="1"/>
  <c r="AF376" i="5"/>
  <c r="AY376" i="5"/>
  <c r="AE376" i="5"/>
  <c r="AD376" i="5"/>
  <c r="AQ376" i="5"/>
  <c r="T376" i="5"/>
  <c r="AU376" i="5" s="1"/>
  <c r="AP376" i="5"/>
  <c r="S376" i="5"/>
  <c r="AO376" i="5"/>
  <c r="R376" i="5"/>
  <c r="AN376" i="5"/>
  <c r="AC376" i="5"/>
  <c r="AB376" i="5"/>
  <c r="AA376" i="5"/>
  <c r="AK376" i="5"/>
  <c r="AI376" i="5"/>
  <c r="AH376" i="5"/>
  <c r="AW376" i="5"/>
  <c r="U376" i="5"/>
  <c r="Y376" i="5"/>
  <c r="S394" i="5"/>
  <c r="AA409" i="5"/>
  <c r="AH409" i="5"/>
  <c r="AG409" i="5"/>
  <c r="AF409" i="5"/>
  <c r="AK409" i="5"/>
  <c r="AI409" i="5"/>
  <c r="AQ409" i="5"/>
  <c r="AP409" i="5"/>
  <c r="AO409" i="5"/>
  <c r="AN409" i="5"/>
  <c r="AS409" i="5"/>
  <c r="AR409" i="5"/>
  <c r="AM409" i="5"/>
  <c r="AT409" i="5"/>
  <c r="AL409" i="5"/>
  <c r="AJ409" i="5"/>
  <c r="AE409" i="5"/>
  <c r="AD409" i="5"/>
  <c r="AC409" i="5"/>
  <c r="Z409" i="5"/>
  <c r="Y409" i="5"/>
  <c r="W409" i="5"/>
  <c r="AY409" i="5"/>
  <c r="U409" i="5"/>
  <c r="AT427" i="5"/>
  <c r="Z427" i="5"/>
  <c r="AI427" i="5"/>
  <c r="AD427" i="5"/>
  <c r="AY427" i="5"/>
  <c r="AC427" i="5"/>
  <c r="AB427" i="5"/>
  <c r="X427" i="5"/>
  <c r="AW427" i="5"/>
  <c r="W427" i="5"/>
  <c r="V427" i="5"/>
  <c r="AF427" i="5"/>
  <c r="AE427" i="5"/>
  <c r="AA427" i="5"/>
  <c r="Y427" i="5"/>
  <c r="AK427" i="5"/>
  <c r="AJ427" i="5"/>
  <c r="AH427" i="5"/>
  <c r="R427" i="5"/>
  <c r="AS427" i="5"/>
  <c r="AU427" i="5"/>
  <c r="AR427" i="5"/>
  <c r="AQ427" i="5"/>
  <c r="AG427" i="5"/>
  <c r="AN268" i="5"/>
  <c r="T268" i="5"/>
  <c r="AU268" i="5" s="1"/>
  <c r="AM268" i="5"/>
  <c r="S268" i="5"/>
  <c r="AL268" i="5"/>
  <c r="R268" i="5"/>
  <c r="AK268" i="5"/>
  <c r="AS268" i="5"/>
  <c r="U268" i="5"/>
  <c r="AR268" i="5"/>
  <c r="AQ268" i="5"/>
  <c r="AO268" i="5"/>
  <c r="AI268" i="5"/>
  <c r="AH268" i="5"/>
  <c r="AP268" i="5"/>
  <c r="AJ268" i="5"/>
  <c r="AF268" i="5"/>
  <c r="V268" i="5"/>
  <c r="AE268" i="5"/>
  <c r="AD268" i="5"/>
  <c r="AT268" i="5"/>
  <c r="AG268" i="5"/>
  <c r="Z268" i="5"/>
  <c r="AF316" i="5"/>
  <c r="AY316" i="5"/>
  <c r="AE316" i="5"/>
  <c r="AK316" i="5"/>
  <c r="AJ316" i="5"/>
  <c r="AI316" i="5"/>
  <c r="AH316" i="5"/>
  <c r="AC316" i="5"/>
  <c r="AB316" i="5"/>
  <c r="AA316" i="5"/>
  <c r="AR316" i="5"/>
  <c r="AP316" i="5"/>
  <c r="AO316" i="5"/>
  <c r="AT316" i="5"/>
  <c r="AS316" i="5"/>
  <c r="AQ316" i="5"/>
  <c r="AN316" i="5"/>
  <c r="AM316" i="5"/>
  <c r="AW316" i="5"/>
  <c r="AL316" i="5"/>
  <c r="U316" i="5"/>
  <c r="AA268" i="5"/>
  <c r="AY287" i="5"/>
  <c r="AE287" i="5"/>
  <c r="AD287" i="5"/>
  <c r="AW287" i="5"/>
  <c r="AC287" i="5"/>
  <c r="AB287" i="5"/>
  <c r="AA287" i="5"/>
  <c r="Z287" i="5"/>
  <c r="Y287" i="5"/>
  <c r="T287" i="5"/>
  <c r="AU287" i="5" s="1"/>
  <c r="AS287" i="5"/>
  <c r="R287" i="5"/>
  <c r="AR287" i="5"/>
  <c r="V287" i="5"/>
  <c r="U287" i="5"/>
  <c r="AO287" i="5"/>
  <c r="AN287" i="5"/>
  <c r="AL287" i="5"/>
  <c r="AT287" i="5"/>
  <c r="AM287" i="5"/>
  <c r="AK287" i="5"/>
  <c r="AQ287" i="5"/>
  <c r="AP287" i="5"/>
  <c r="AJ287" i="5"/>
  <c r="AF287" i="5"/>
  <c r="V316" i="5"/>
  <c r="AG345" i="5"/>
  <c r="AF345" i="5"/>
  <c r="AK345" i="5"/>
  <c r="AJ345" i="5"/>
  <c r="AI345" i="5"/>
  <c r="AH345" i="5"/>
  <c r="AN345" i="5"/>
  <c r="AM345" i="5"/>
  <c r="AL345" i="5"/>
  <c r="R345" i="5"/>
  <c r="AS345" i="5"/>
  <c r="AR345" i="5"/>
  <c r="AD345" i="5"/>
  <c r="AC345" i="5"/>
  <c r="AB345" i="5"/>
  <c r="AA345" i="5"/>
  <c r="Z345" i="5"/>
  <c r="AW345" i="5"/>
  <c r="AQ345" i="5"/>
  <c r="AT345" i="5"/>
  <c r="AE345" i="5"/>
  <c r="AP345" i="5"/>
  <c r="X345" i="5"/>
  <c r="AO345" i="5"/>
  <c r="Y345" i="5"/>
  <c r="V345" i="5"/>
  <c r="AH394" i="5"/>
  <c r="AG394" i="5"/>
  <c r="AF394" i="5"/>
  <c r="Y394" i="5"/>
  <c r="AT394" i="5"/>
  <c r="W394" i="5"/>
  <c r="AN394" i="5"/>
  <c r="AM394" i="5"/>
  <c r="AL394" i="5"/>
  <c r="AK394" i="5"/>
  <c r="AB394" i="5"/>
  <c r="AA394" i="5"/>
  <c r="Z394" i="5"/>
  <c r="AW394" i="5"/>
  <c r="AS394" i="5"/>
  <c r="AR394" i="5"/>
  <c r="AY394" i="5"/>
  <c r="AU394" i="5"/>
  <c r="U394" i="5"/>
  <c r="AT137" i="5"/>
  <c r="Z137" i="5"/>
  <c r="AS137" i="5"/>
  <c r="Y137" i="5"/>
  <c r="AR137" i="5"/>
  <c r="X137" i="5"/>
  <c r="AC137" i="5"/>
  <c r="AA137" i="5"/>
  <c r="AW137" i="5"/>
  <c r="W137" i="5"/>
  <c r="S137" i="5"/>
  <c r="R137" i="5"/>
  <c r="AP137" i="5"/>
  <c r="AM137" i="5"/>
  <c r="AL137" i="5"/>
  <c r="AJ137" i="5"/>
  <c r="AK137" i="5"/>
  <c r="AY137" i="5"/>
  <c r="AN137" i="5"/>
  <c r="AQ137" i="5"/>
  <c r="AO137" i="5"/>
  <c r="AB137" i="5"/>
  <c r="AF146" i="5"/>
  <c r="AA165" i="5"/>
  <c r="AL207" i="5"/>
  <c r="AW268" i="5"/>
  <c r="AI287" i="5"/>
  <c r="Y316" i="5"/>
  <c r="AY345" i="5"/>
  <c r="AM376" i="5"/>
  <c r="AC394" i="5"/>
  <c r="AD474" i="5"/>
  <c r="AF474" i="5"/>
  <c r="AP474" i="5"/>
  <c r="T474" i="5"/>
  <c r="AU474" i="5" s="1"/>
  <c r="AO474" i="5"/>
  <c r="S474" i="5"/>
  <c r="AN474" i="5"/>
  <c r="R474" i="5"/>
  <c r="V474" i="5"/>
  <c r="AT474" i="5"/>
  <c r="U474" i="5"/>
  <c r="AS474" i="5"/>
  <c r="X474" i="5"/>
  <c r="AI474" i="5"/>
  <c r="AH474" i="5"/>
  <c r="AG474" i="5"/>
  <c r="AE474" i="5"/>
  <c r="Y474" i="5"/>
  <c r="W474" i="5"/>
  <c r="AR474" i="5"/>
  <c r="AQ474" i="5"/>
  <c r="AM474" i="5"/>
  <c r="Z474" i="5"/>
  <c r="AW474" i="5"/>
  <c r="AJ474" i="5"/>
  <c r="V48" i="5"/>
  <c r="U59" i="5"/>
  <c r="V65" i="5"/>
  <c r="AS148" i="5"/>
  <c r="Y148" i="5"/>
  <c r="AR148" i="5"/>
  <c r="X148" i="5"/>
  <c r="AQ148" i="5"/>
  <c r="W148" i="5"/>
  <c r="AN148" i="5"/>
  <c r="AL148" i="5"/>
  <c r="AK148" i="5"/>
  <c r="AJ148" i="5"/>
  <c r="AI148" i="5"/>
  <c r="AG148" i="5"/>
  <c r="T148" i="5"/>
  <c r="AU148" i="5" s="1"/>
  <c r="AY148" i="5"/>
  <c r="S148" i="5"/>
  <c r="AW148" i="5"/>
  <c r="Z148" i="5"/>
  <c r="AY162" i="5"/>
  <c r="AE162" i="5"/>
  <c r="AD162" i="5"/>
  <c r="AW162" i="5"/>
  <c r="AC162" i="5"/>
  <c r="AB162" i="5"/>
  <c r="Z162" i="5"/>
  <c r="Y162" i="5"/>
  <c r="AM162" i="5"/>
  <c r="AL162" i="5"/>
  <c r="AJ162" i="5"/>
  <c r="AI162" i="5"/>
  <c r="AH162" i="5"/>
  <c r="AF162" i="5"/>
  <c r="X424" i="5"/>
  <c r="AP482" i="5"/>
  <c r="V482" i="5"/>
  <c r="AK482" i="5"/>
  <c r="AM482" i="5"/>
  <c r="AL482" i="5"/>
  <c r="AJ482" i="5"/>
  <c r="AG482" i="5"/>
  <c r="AF482" i="5"/>
  <c r="AE482" i="5"/>
  <c r="S482" i="5"/>
  <c r="T482" i="5"/>
  <c r="AU482" i="5" s="1"/>
  <c r="AW482" i="5"/>
  <c r="R482" i="5"/>
  <c r="AT482" i="5"/>
  <c r="AS482" i="5"/>
  <c r="AR482" i="5"/>
  <c r="AQ482" i="5"/>
  <c r="AO482" i="5"/>
  <c r="AY482" i="5"/>
  <c r="AH482" i="5"/>
  <c r="AC482" i="5"/>
  <c r="AB482" i="5"/>
  <c r="X482" i="5"/>
  <c r="W482" i="5"/>
  <c r="U482" i="5"/>
  <c r="Y482" i="5"/>
  <c r="T508" i="5"/>
  <c r="AU508" i="5" s="1"/>
  <c r="AY508" i="5"/>
  <c r="AB15" i="5"/>
  <c r="AA15" i="5"/>
  <c r="Z15" i="5"/>
  <c r="AI15" i="5"/>
  <c r="AE15" i="5"/>
  <c r="AD15" i="5"/>
  <c r="Y15" i="5"/>
  <c r="R15" i="5" s="1"/>
  <c r="V35" i="5"/>
  <c r="Y59" i="5"/>
  <c r="V71" i="5"/>
  <c r="W100" i="5"/>
  <c r="Z196" i="5"/>
  <c r="AH274" i="5"/>
  <c r="AG274" i="5"/>
  <c r="AF274" i="5"/>
  <c r="AY274" i="5"/>
  <c r="AE274" i="5"/>
  <c r="AJ274" i="5"/>
  <c r="AI274" i="5"/>
  <c r="AD274" i="5"/>
  <c r="Z274" i="5"/>
  <c r="X274" i="5"/>
  <c r="W274" i="5"/>
  <c r="AW274" i="5"/>
  <c r="S274" i="5"/>
  <c r="R274" i="5"/>
  <c r="AT274" i="5"/>
  <c r="V274" i="5"/>
  <c r="U274" i="5"/>
  <c r="AB274" i="5"/>
  <c r="AJ410" i="5"/>
  <c r="AS410" i="5"/>
  <c r="X410" i="5"/>
  <c r="AR410" i="5"/>
  <c r="W410" i="5"/>
  <c r="AQ410" i="5"/>
  <c r="V410" i="5"/>
  <c r="AD410" i="5"/>
  <c r="AB410" i="5"/>
  <c r="AM410" i="5"/>
  <c r="AL410" i="5"/>
  <c r="AK410" i="5"/>
  <c r="AI410" i="5"/>
  <c r="AT410" i="5"/>
  <c r="S410" i="5"/>
  <c r="R410" i="5"/>
  <c r="AY410" i="5"/>
  <c r="AN413" i="5"/>
  <c r="T413" i="5"/>
  <c r="AU413" i="5" s="1"/>
  <c r="AT413" i="5"/>
  <c r="Y413" i="5"/>
  <c r="AL413" i="5"/>
  <c r="AK413" i="5"/>
  <c r="AJ413" i="5"/>
  <c r="AM413" i="5"/>
  <c r="AH413" i="5"/>
  <c r="AD413" i="5"/>
  <c r="AC413" i="5"/>
  <c r="AB413" i="5"/>
  <c r="AA413" i="5"/>
  <c r="AY413" i="5"/>
  <c r="R413" i="5"/>
  <c r="AW413" i="5"/>
  <c r="AO413" i="5"/>
  <c r="AG413" i="5"/>
  <c r="AF413" i="5"/>
  <c r="AS413" i="5"/>
  <c r="AK477" i="5"/>
  <c r="AS477" i="5"/>
  <c r="X477" i="5"/>
  <c r="AM477" i="5"/>
  <c r="AL477" i="5"/>
  <c r="AJ477" i="5"/>
  <c r="AF477" i="5"/>
  <c r="AE477" i="5"/>
  <c r="AD477" i="5"/>
  <c r="AY477" i="5"/>
  <c r="V477" i="5"/>
  <c r="AP477" i="5"/>
  <c r="AO477" i="5"/>
  <c r="AN477" i="5"/>
  <c r="AI477" i="5"/>
  <c r="AR477" i="5"/>
  <c r="AQ477" i="5"/>
  <c r="AH477" i="5"/>
  <c r="AG477" i="5"/>
  <c r="AT477" i="5"/>
  <c r="R477" i="5"/>
  <c r="AW477" i="5"/>
  <c r="AC477" i="5"/>
  <c r="AB477" i="5"/>
  <c r="AA477" i="5"/>
  <c r="Z477" i="5"/>
  <c r="S477" i="5"/>
  <c r="AN482" i="5"/>
  <c r="AE500" i="5"/>
  <c r="AE504" i="5"/>
  <c r="AI58" i="5"/>
  <c r="AH58" i="5"/>
  <c r="AG58" i="5"/>
  <c r="AN58" i="5"/>
  <c r="AL58" i="5"/>
  <c r="AK58" i="5"/>
  <c r="AF58" i="5"/>
  <c r="AE58" i="5"/>
  <c r="AC58" i="5"/>
  <c r="S58" i="5"/>
  <c r="R58" i="5"/>
  <c r="W71" i="5"/>
  <c r="AI78" i="5"/>
  <c r="AH78" i="5"/>
  <c r="AG78" i="5"/>
  <c r="AJ78" i="5"/>
  <c r="AE78" i="5"/>
  <c r="AD78" i="5"/>
  <c r="AT78" i="5"/>
  <c r="T78" i="5"/>
  <c r="AU78" i="5" s="1"/>
  <c r="AS78" i="5"/>
  <c r="S78" i="5"/>
  <c r="AQ78" i="5"/>
  <c r="AR78" i="5"/>
  <c r="AP78" i="5"/>
  <c r="Y100" i="5"/>
  <c r="Z103" i="5"/>
  <c r="AD113" i="5"/>
  <c r="AW113" i="5"/>
  <c r="AC113" i="5"/>
  <c r="AB113" i="5"/>
  <c r="AK113" i="5"/>
  <c r="AI113" i="5"/>
  <c r="AH113" i="5"/>
  <c r="AF113" i="5"/>
  <c r="AE113" i="5"/>
  <c r="Z113" i="5"/>
  <c r="AR113" i="5"/>
  <c r="AQ113" i="5"/>
  <c r="W238" i="5"/>
  <c r="X270" i="5"/>
  <c r="AL365" i="5"/>
  <c r="AQ500" i="5"/>
  <c r="AJ20" i="5"/>
  <c r="AC15" i="5"/>
  <c r="AJ47" i="5"/>
  <c r="AI47" i="5"/>
  <c r="AH47" i="5"/>
  <c r="Y47" i="5"/>
  <c r="AT47" i="5"/>
  <c r="W47" i="5"/>
  <c r="AS47" i="5"/>
  <c r="V47" i="5"/>
  <c r="AQ47" i="5"/>
  <c r="AP47" i="5"/>
  <c r="AN47" i="5"/>
  <c r="AW47" i="5"/>
  <c r="AU47" i="5"/>
  <c r="U47" i="5"/>
  <c r="AB48" i="5"/>
  <c r="X58" i="5"/>
  <c r="AB59" i="5"/>
  <c r="X71" i="5"/>
  <c r="X78" i="5"/>
  <c r="AD79" i="5"/>
  <c r="Y94" i="5"/>
  <c r="AB100" i="5"/>
  <c r="AA103" i="5"/>
  <c r="V113" i="5"/>
  <c r="AC148" i="5"/>
  <c r="X162" i="5"/>
  <c r="AF171" i="5"/>
  <c r="AY171" i="5"/>
  <c r="AE171" i="5"/>
  <c r="AD171" i="5"/>
  <c r="AL171" i="5"/>
  <c r="AJ171" i="5"/>
  <c r="AI171" i="5"/>
  <c r="AM171" i="5"/>
  <c r="AK171" i="5"/>
  <c r="AG171" i="5"/>
  <c r="AN171" i="5"/>
  <c r="AH171" i="5"/>
  <c r="AB171" i="5"/>
  <c r="U171" i="5"/>
  <c r="AD196" i="5"/>
  <c r="W241" i="5"/>
  <c r="AS253" i="5"/>
  <c r="Y253" i="5"/>
  <c r="AR253" i="5"/>
  <c r="X253" i="5"/>
  <c r="AQ253" i="5"/>
  <c r="W253" i="5"/>
  <c r="AP253" i="5"/>
  <c r="V253" i="5"/>
  <c r="AG253" i="5"/>
  <c r="AF253" i="5"/>
  <c r="AE253" i="5"/>
  <c r="AY253" i="5"/>
  <c r="T253" i="5"/>
  <c r="AU253" i="5" s="1"/>
  <c r="AW253" i="5"/>
  <c r="R253" i="5"/>
  <c r="AJ253" i="5"/>
  <c r="AI253" i="5"/>
  <c r="AD253" i="5"/>
  <c r="AO253" i="5"/>
  <c r="AA253" i="5"/>
  <c r="Y270" i="5"/>
  <c r="AK274" i="5"/>
  <c r="AI285" i="5"/>
  <c r="AB340" i="5"/>
  <c r="AU340" i="5"/>
  <c r="AA340" i="5"/>
  <c r="AJ340" i="5"/>
  <c r="AI340" i="5"/>
  <c r="AH340" i="5"/>
  <c r="AG340" i="5"/>
  <c r="Z340" i="5"/>
  <c r="Y340" i="5"/>
  <c r="X340" i="5"/>
  <c r="AQ340" i="5"/>
  <c r="AO340" i="5"/>
  <c r="AN340" i="5"/>
  <c r="AY340" i="5"/>
  <c r="AW340" i="5"/>
  <c r="AT340" i="5"/>
  <c r="AS340" i="5"/>
  <c r="AL340" i="5"/>
  <c r="AK340" i="5"/>
  <c r="AE340" i="5"/>
  <c r="U340" i="5"/>
  <c r="AM365" i="5"/>
  <c r="AJ372" i="5"/>
  <c r="AI372" i="5"/>
  <c r="AH372" i="5"/>
  <c r="AW372" i="5"/>
  <c r="Z372" i="5"/>
  <c r="Y372" i="5"/>
  <c r="AU372" i="5"/>
  <c r="X372" i="5"/>
  <c r="AT372" i="5"/>
  <c r="W372" i="5"/>
  <c r="AN372" i="5"/>
  <c r="AM372" i="5"/>
  <c r="AL372" i="5"/>
  <c r="AD372" i="5"/>
  <c r="AB372" i="5"/>
  <c r="AA372" i="5"/>
  <c r="AG372" i="5"/>
  <c r="AF372" i="5"/>
  <c r="AE372" i="5"/>
  <c r="AC372" i="5"/>
  <c r="V372" i="5"/>
  <c r="AS372" i="5"/>
  <c r="AQ372" i="5"/>
  <c r="U372" i="5"/>
  <c r="AC410" i="5"/>
  <c r="Z413" i="5"/>
  <c r="AT478" i="5"/>
  <c r="Z478" i="5"/>
  <c r="AI478" i="5"/>
  <c r="AD478" i="5"/>
  <c r="AY478" i="5"/>
  <c r="AC478" i="5"/>
  <c r="AB478" i="5"/>
  <c r="AA478" i="5"/>
  <c r="Y478" i="5"/>
  <c r="X478" i="5"/>
  <c r="AW478" i="5"/>
  <c r="T478" i="5"/>
  <c r="AU478" i="5" s="1"/>
  <c r="AP478" i="5"/>
  <c r="AO478" i="5"/>
  <c r="AN478" i="5"/>
  <c r="AM478" i="5"/>
  <c r="AS478" i="5"/>
  <c r="AG478" i="5"/>
  <c r="AF478" i="5"/>
  <c r="W478" i="5"/>
  <c r="R478" i="5"/>
  <c r="AR478" i="5"/>
  <c r="AQ478" i="5"/>
  <c r="U478" i="5"/>
  <c r="S478" i="5"/>
  <c r="AJ478" i="5"/>
  <c r="T486" i="5"/>
  <c r="AU486" i="5"/>
  <c r="AS500" i="5"/>
  <c r="AL504" i="5"/>
  <c r="AL65" i="5"/>
  <c r="R65" i="5"/>
  <c r="AK65" i="5"/>
  <c r="AJ65" i="5"/>
  <c r="AH65" i="5"/>
  <c r="AF65" i="5"/>
  <c r="AE65" i="5"/>
  <c r="AM65" i="5"/>
  <c r="AI65" i="5"/>
  <c r="AD65" i="5"/>
  <c r="AO65" i="5"/>
  <c r="AN65" i="5"/>
  <c r="U71" i="5"/>
  <c r="U79" i="5"/>
  <c r="X103" i="5"/>
  <c r="U162" i="5"/>
  <c r="X196" i="5"/>
  <c r="V270" i="5"/>
  <c r="AM424" i="5"/>
  <c r="S424" i="5"/>
  <c r="AR424" i="5"/>
  <c r="W424" i="5"/>
  <c r="AH424" i="5"/>
  <c r="AG424" i="5"/>
  <c r="AF424" i="5"/>
  <c r="AO424" i="5"/>
  <c r="AL424" i="5"/>
  <c r="AD424" i="5"/>
  <c r="AC424" i="5"/>
  <c r="AB424" i="5"/>
  <c r="AA424" i="5"/>
  <c r="AW424" i="5"/>
  <c r="T424" i="5"/>
  <c r="AU424" i="5" s="1"/>
  <c r="AY424" i="5"/>
  <c r="AT424" i="5"/>
  <c r="AS424" i="5"/>
  <c r="AI482" i="5"/>
  <c r="AC24" i="5"/>
  <c r="AB24" i="5"/>
  <c r="AA24" i="5"/>
  <c r="AY24" i="5"/>
  <c r="AB35" i="5"/>
  <c r="AA35" i="5"/>
  <c r="AT35" i="5"/>
  <c r="Z35" i="5"/>
  <c r="AP35" i="5"/>
  <c r="S35" i="5"/>
  <c r="AN35" i="5"/>
  <c r="AI35" i="5"/>
  <c r="AH35" i="5"/>
  <c r="AF35" i="5"/>
  <c r="AO35" i="5"/>
  <c r="AM35" i="5"/>
  <c r="W65" i="5"/>
  <c r="AA148" i="5"/>
  <c r="V162" i="5"/>
  <c r="AH314" i="5"/>
  <c r="AG314" i="5"/>
  <c r="AE314" i="5"/>
  <c r="AD314" i="5"/>
  <c r="AY314" i="5"/>
  <c r="AC314" i="5"/>
  <c r="AB314" i="5"/>
  <c r="AO314" i="5"/>
  <c r="AN314" i="5"/>
  <c r="AM314" i="5"/>
  <c r="R314" i="5"/>
  <c r="AS314" i="5"/>
  <c r="AR314" i="5"/>
  <c r="AQ314" i="5"/>
  <c r="AP314" i="5"/>
  <c r="AL314" i="5"/>
  <c r="AK314" i="5"/>
  <c r="AJ314" i="5"/>
  <c r="AI314" i="5"/>
  <c r="AF314" i="5"/>
  <c r="Z314" i="5"/>
  <c r="V365" i="5"/>
  <c r="W413" i="5"/>
  <c r="Y477" i="5"/>
  <c r="W35" i="5"/>
  <c r="AA48" i="5"/>
  <c r="W58" i="5"/>
  <c r="Z59" i="5"/>
  <c r="X65" i="5"/>
  <c r="W78" i="5"/>
  <c r="AC79" i="5"/>
  <c r="X94" i="5"/>
  <c r="U113" i="5"/>
  <c r="AC196" i="5"/>
  <c r="AD238" i="5"/>
  <c r="AW238" i="5"/>
  <c r="AC238" i="5"/>
  <c r="AB238" i="5"/>
  <c r="AP238" i="5"/>
  <c r="S238" i="5"/>
  <c r="AO238" i="5"/>
  <c r="R238" i="5"/>
  <c r="AN238" i="5"/>
  <c r="AS238" i="5"/>
  <c r="AQ238" i="5"/>
  <c r="AM238" i="5"/>
  <c r="AY238" i="5"/>
  <c r="AT238" i="5"/>
  <c r="AL238" i="5"/>
  <c r="AR238" i="5"/>
  <c r="AJ238" i="5"/>
  <c r="U241" i="5"/>
  <c r="AH285" i="5"/>
  <c r="W314" i="5"/>
  <c r="AD378" i="5"/>
  <c r="AW378" i="5"/>
  <c r="AC378" i="5"/>
  <c r="AB378" i="5"/>
  <c r="AA378" i="5"/>
  <c r="Z378" i="5"/>
  <c r="AY378" i="5"/>
  <c r="Y378" i="5"/>
  <c r="X378" i="5"/>
  <c r="T378" i="5"/>
  <c r="AU378" i="5" s="1"/>
  <c r="AT378" i="5"/>
  <c r="S378" i="5"/>
  <c r="AS378" i="5"/>
  <c r="R378" i="5"/>
  <c r="AK378" i="5"/>
  <c r="AI378" i="5"/>
  <c r="AH378" i="5"/>
  <c r="V378" i="5"/>
  <c r="U378" i="5"/>
  <c r="AF378" i="5"/>
  <c r="AE378" i="5"/>
  <c r="AL378" i="5"/>
  <c r="AA410" i="5"/>
  <c r="X413" i="5"/>
  <c r="Z424" i="5"/>
  <c r="AM34" i="5"/>
  <c r="S34" i="5"/>
  <c r="AL34" i="5"/>
  <c r="R34" i="5"/>
  <c r="AK34" i="5"/>
  <c r="AA34" i="5"/>
  <c r="Y34" i="5"/>
  <c r="AN34" i="5"/>
  <c r="AJ34" i="5"/>
  <c r="AH34" i="5"/>
  <c r="AP34" i="5"/>
  <c r="AO34" i="5"/>
  <c r="W34" i="5"/>
  <c r="Y35" i="5"/>
  <c r="X47" i="5"/>
  <c r="Y58" i="5"/>
  <c r="AW64" i="5"/>
  <c r="AC64" i="5"/>
  <c r="AB64" i="5"/>
  <c r="AU64" i="5"/>
  <c r="AA64" i="5"/>
  <c r="AO64" i="5"/>
  <c r="R64" i="5"/>
  <c r="AM64" i="5"/>
  <c r="AL64" i="5"/>
  <c r="AK64" i="5"/>
  <c r="AJ64" i="5"/>
  <c r="AH64" i="5"/>
  <c r="AG64" i="5"/>
  <c r="AF64" i="5"/>
  <c r="V64" i="5"/>
  <c r="Z65" i="5"/>
  <c r="Y78" i="5"/>
  <c r="W113" i="5"/>
  <c r="AG140" i="5"/>
  <c r="AF140" i="5"/>
  <c r="AY140" i="5"/>
  <c r="AE140" i="5"/>
  <c r="AB140" i="5"/>
  <c r="AW140" i="5"/>
  <c r="Z140" i="5"/>
  <c r="Y140" i="5"/>
  <c r="AM140" i="5"/>
  <c r="AL140" i="5"/>
  <c r="AJ140" i="5"/>
  <c r="AQ140" i="5"/>
  <c r="AP140" i="5"/>
  <c r="AN140" i="5"/>
  <c r="U140" i="5"/>
  <c r="AD148" i="5"/>
  <c r="AA162" i="5"/>
  <c r="AH169" i="5"/>
  <c r="AG169" i="5"/>
  <c r="AF169" i="5"/>
  <c r="AY169" i="5"/>
  <c r="AB169" i="5"/>
  <c r="AW169" i="5"/>
  <c r="Z169" i="5"/>
  <c r="Y169" i="5"/>
  <c r="AT169" i="5"/>
  <c r="T169" i="5"/>
  <c r="AU169" i="5" s="1"/>
  <c r="AS169" i="5"/>
  <c r="S169" i="5"/>
  <c r="AQ169" i="5"/>
  <c r="AO169" i="5"/>
  <c r="AN169" i="5"/>
  <c r="AL169" i="5"/>
  <c r="W169" i="5"/>
  <c r="V171" i="5"/>
  <c r="AW204" i="5"/>
  <c r="AC204" i="5"/>
  <c r="AB204" i="5"/>
  <c r="AA204" i="5"/>
  <c r="AG204" i="5"/>
  <c r="AE204" i="5"/>
  <c r="AD204" i="5"/>
  <c r="AK204" i="5"/>
  <c r="AJ204" i="5"/>
  <c r="AH204" i="5"/>
  <c r="W204" i="5"/>
  <c r="V204" i="5"/>
  <c r="T204" i="5"/>
  <c r="AU204" i="5" s="1"/>
  <c r="X204" i="5"/>
  <c r="AF211" i="5"/>
  <c r="AY211" i="5"/>
  <c r="AE211" i="5"/>
  <c r="AD211" i="5"/>
  <c r="AA211" i="5"/>
  <c r="Y211" i="5"/>
  <c r="AU211" i="5"/>
  <c r="X211" i="5"/>
  <c r="AO211" i="5"/>
  <c r="AN211" i="5"/>
  <c r="AL211" i="5"/>
  <c r="AH211" i="5"/>
  <c r="AG211" i="5"/>
  <c r="AB211" i="5"/>
  <c r="U211" i="5"/>
  <c r="Y238" i="5"/>
  <c r="AL250" i="5"/>
  <c r="R250" i="5"/>
  <c r="AK250" i="5"/>
  <c r="AJ250" i="5"/>
  <c r="AI250" i="5"/>
  <c r="Z250" i="5"/>
  <c r="AW250" i="5"/>
  <c r="Y250" i="5"/>
  <c r="X250" i="5"/>
  <c r="W250" i="5"/>
  <c r="AY250" i="5"/>
  <c r="U250" i="5"/>
  <c r="T250" i="5"/>
  <c r="AU250" i="5" s="1"/>
  <c r="AT250" i="5"/>
  <c r="AS250" i="5"/>
  <c r="AQ250" i="5"/>
  <c r="AR250" i="5"/>
  <c r="AB250" i="5"/>
  <c r="AB253" i="5"/>
  <c r="AL274" i="5"/>
  <c r="AM279" i="5"/>
  <c r="S279" i="5"/>
  <c r="AL279" i="5"/>
  <c r="R279" i="5"/>
  <c r="AK279" i="5"/>
  <c r="AJ279" i="5"/>
  <c r="AC279" i="5"/>
  <c r="AB279" i="5"/>
  <c r="AY279" i="5"/>
  <c r="AA279" i="5"/>
  <c r="AQ279" i="5"/>
  <c r="AO279" i="5"/>
  <c r="AN279" i="5"/>
  <c r="T279" i="5"/>
  <c r="AW279" i="5"/>
  <c r="AU279" i="5"/>
  <c r="AP279" i="5"/>
  <c r="AI279" i="5"/>
  <c r="AG279" i="5"/>
  <c r="X279" i="5"/>
  <c r="Y314" i="5"/>
  <c r="AY317" i="5"/>
  <c r="AG325" i="5"/>
  <c r="AF325" i="5"/>
  <c r="AW325" i="5"/>
  <c r="AA325" i="5"/>
  <c r="Z325" i="5"/>
  <c r="Y325" i="5"/>
  <c r="AT325" i="5"/>
  <c r="X325" i="5"/>
  <c r="AD325" i="5"/>
  <c r="AC325" i="5"/>
  <c r="AB325" i="5"/>
  <c r="T325" i="5"/>
  <c r="AU325" i="5" s="1"/>
  <c r="AY325" i="5"/>
  <c r="R325" i="5"/>
  <c r="AS325" i="5"/>
  <c r="AR325" i="5"/>
  <c r="AQ325" i="5"/>
  <c r="AP325" i="5"/>
  <c r="W325" i="5"/>
  <c r="V340" i="5"/>
  <c r="AH354" i="5"/>
  <c r="AG354" i="5"/>
  <c r="AF354" i="5"/>
  <c r="AL354" i="5"/>
  <c r="AK354" i="5"/>
  <c r="AJ354" i="5"/>
  <c r="AI354" i="5"/>
  <c r="Y354" i="5"/>
  <c r="AY354" i="5"/>
  <c r="X354" i="5"/>
  <c r="W354" i="5"/>
  <c r="AR354" i="5"/>
  <c r="AP354" i="5"/>
  <c r="AO354" i="5"/>
  <c r="S354" i="5"/>
  <c r="R354" i="5"/>
  <c r="AW354" i="5"/>
  <c r="U354" i="5"/>
  <c r="T354" i="5"/>
  <c r="AU354" i="5" s="1"/>
  <c r="AB354" i="5"/>
  <c r="AD358" i="5"/>
  <c r="AW358" i="5"/>
  <c r="AC358" i="5"/>
  <c r="AB358" i="5"/>
  <c r="AF358" i="5"/>
  <c r="AE358" i="5"/>
  <c r="AA358" i="5"/>
  <c r="Z358" i="5"/>
  <c r="AI358" i="5"/>
  <c r="AH358" i="5"/>
  <c r="AG358" i="5"/>
  <c r="V358" i="5"/>
  <c r="T358" i="5"/>
  <c r="AU358" i="5" s="1"/>
  <c r="S358" i="5"/>
  <c r="AS358" i="5"/>
  <c r="AR358" i="5"/>
  <c r="AQ358" i="5"/>
  <c r="AP358" i="5"/>
  <c r="AO358" i="5"/>
  <c r="X358" i="5"/>
  <c r="AK372" i="5"/>
  <c r="AN378" i="5"/>
  <c r="AE410" i="5"/>
  <c r="AE413" i="5"/>
  <c r="AI424" i="5"/>
  <c r="AN453" i="5"/>
  <c r="T453" i="5"/>
  <c r="AU453" i="5" s="1"/>
  <c r="AH453" i="5"/>
  <c r="AG453" i="5"/>
  <c r="AJ453" i="5"/>
  <c r="AI453" i="5"/>
  <c r="AF453" i="5"/>
  <c r="AB453" i="5"/>
  <c r="AA453" i="5"/>
  <c r="Z453" i="5"/>
  <c r="AY453" i="5"/>
  <c r="Y453" i="5"/>
  <c r="AW453" i="5"/>
  <c r="R453" i="5"/>
  <c r="AT453" i="5"/>
  <c r="AL453" i="5"/>
  <c r="AK453" i="5"/>
  <c r="AD453" i="5"/>
  <c r="AC453" i="5"/>
  <c r="X453" i="5"/>
  <c r="AS453" i="5"/>
  <c r="AR453" i="5"/>
  <c r="AQ453" i="5"/>
  <c r="AP453" i="5"/>
  <c r="AO453" i="5"/>
  <c r="V453" i="5"/>
  <c r="U453" i="5"/>
  <c r="AM453" i="5"/>
  <c r="AY462" i="5"/>
  <c r="T462" i="5"/>
  <c r="AU462" i="5" s="1"/>
  <c r="AX470" i="5"/>
  <c r="AV470" i="5"/>
  <c r="AK478" i="5"/>
  <c r="AS48" i="5"/>
  <c r="Y48" i="5"/>
  <c r="AR48" i="5"/>
  <c r="X48" i="5"/>
  <c r="AQ48" i="5"/>
  <c r="W48" i="5"/>
  <c r="AN48" i="5"/>
  <c r="AL48" i="5"/>
  <c r="AK48" i="5"/>
  <c r="AO48" i="5"/>
  <c r="AM48" i="5"/>
  <c r="AI48" i="5"/>
  <c r="R48" i="5"/>
  <c r="AW48" i="5"/>
  <c r="AR59" i="5"/>
  <c r="X59" i="5"/>
  <c r="AQ59" i="5"/>
  <c r="W59" i="5"/>
  <c r="AP59" i="5"/>
  <c r="V59" i="5"/>
  <c r="AF59" i="5"/>
  <c r="AD59" i="5"/>
  <c r="AC59" i="5"/>
  <c r="AG59" i="5"/>
  <c r="AE59" i="5"/>
  <c r="AA59" i="5"/>
  <c r="AW59" i="5"/>
  <c r="AF71" i="5"/>
  <c r="AY71" i="5"/>
  <c r="AE71" i="5"/>
  <c r="AD71" i="5"/>
  <c r="AL71" i="5"/>
  <c r="AJ71" i="5"/>
  <c r="AI71" i="5"/>
  <c r="AO71" i="5"/>
  <c r="AN71" i="5"/>
  <c r="AK71" i="5"/>
  <c r="AA71" i="5"/>
  <c r="Z71" i="5"/>
  <c r="AR79" i="5"/>
  <c r="X79" i="5"/>
  <c r="AQ79" i="5"/>
  <c r="W79" i="5"/>
  <c r="AP79" i="5"/>
  <c r="V79" i="5"/>
  <c r="AY79" i="5"/>
  <c r="AB79" i="5"/>
  <c r="AW79" i="5"/>
  <c r="Z79" i="5"/>
  <c r="Y79" i="5"/>
  <c r="AO79" i="5"/>
  <c r="AN79" i="5"/>
  <c r="AL79" i="5"/>
  <c r="AU79" i="5"/>
  <c r="AT79" i="5"/>
  <c r="AN103" i="5"/>
  <c r="T103" i="5"/>
  <c r="AU103" i="5" s="1"/>
  <c r="AM103" i="5"/>
  <c r="S103" i="5"/>
  <c r="AL103" i="5"/>
  <c r="R103" i="5"/>
  <c r="AO103" i="5"/>
  <c r="AJ103" i="5"/>
  <c r="AI103" i="5"/>
  <c r="AR103" i="5"/>
  <c r="AQ103" i="5"/>
  <c r="AK103" i="5"/>
  <c r="AT103" i="5"/>
  <c r="AS103" i="5"/>
  <c r="AK196" i="5"/>
  <c r="AJ196" i="5"/>
  <c r="AI196" i="5"/>
  <c r="AS196" i="5"/>
  <c r="V196" i="5"/>
  <c r="AQ196" i="5"/>
  <c r="T196" i="5"/>
  <c r="AU196" i="5" s="1"/>
  <c r="AP196" i="5"/>
  <c r="S196" i="5"/>
  <c r="AM196" i="5"/>
  <c r="AL196" i="5"/>
  <c r="AG196" i="5"/>
  <c r="AB196" i="5"/>
  <c r="AA196" i="5"/>
  <c r="Y196" i="5"/>
  <c r="AL270" i="5"/>
  <c r="R270" i="5"/>
  <c r="AK270" i="5"/>
  <c r="AJ270" i="5"/>
  <c r="AI270" i="5"/>
  <c r="AF270" i="5"/>
  <c r="AE270" i="5"/>
  <c r="AD270" i="5"/>
  <c r="AO270" i="5"/>
  <c r="AM270" i="5"/>
  <c r="AH270" i="5"/>
  <c r="AU270" i="5"/>
  <c r="AS270" i="5"/>
  <c r="AN270" i="5"/>
  <c r="AG270" i="5"/>
  <c r="AB270" i="5"/>
  <c r="AR500" i="5"/>
  <c r="X500" i="5"/>
  <c r="AY500" i="5"/>
  <c r="AD500" i="5"/>
  <c r="AO500" i="5"/>
  <c r="S500" i="5"/>
  <c r="AN500" i="5"/>
  <c r="R500" i="5"/>
  <c r="AM500" i="5"/>
  <c r="V500" i="5"/>
  <c r="U500" i="5"/>
  <c r="AT500" i="5"/>
  <c r="T500" i="5"/>
  <c r="AU500" i="5" s="1"/>
  <c r="Y500" i="5"/>
  <c r="W500" i="5"/>
  <c r="AL500" i="5"/>
  <c r="AK500" i="5"/>
  <c r="AJ500" i="5"/>
  <c r="AI500" i="5"/>
  <c r="AP500" i="5"/>
  <c r="AH500" i="5"/>
  <c r="AG500" i="5"/>
  <c r="AF500" i="5"/>
  <c r="AC500" i="5"/>
  <c r="AN504" i="5"/>
  <c r="T504" i="5"/>
  <c r="AU504" i="5" s="1"/>
  <c r="AG504" i="5"/>
  <c r="AD504" i="5"/>
  <c r="AY504" i="5"/>
  <c r="AC504" i="5"/>
  <c r="AB504" i="5"/>
  <c r="Y504" i="5"/>
  <c r="AW504" i="5"/>
  <c r="X504" i="5"/>
  <c r="W504" i="5"/>
  <c r="AS504" i="5"/>
  <c r="AR504" i="5"/>
  <c r="AQ504" i="5"/>
  <c r="AT504" i="5"/>
  <c r="AP504" i="5"/>
  <c r="AO504" i="5"/>
  <c r="AJ504" i="5"/>
  <c r="AI504" i="5"/>
  <c r="AH504" i="5"/>
  <c r="AF504" i="5"/>
  <c r="S504" i="5"/>
  <c r="R504" i="5"/>
  <c r="AA504" i="5"/>
  <c r="Z48" i="5"/>
  <c r="AA79" i="5"/>
  <c r="AG100" i="5"/>
  <c r="AF100" i="5"/>
  <c r="AY100" i="5"/>
  <c r="AE100" i="5"/>
  <c r="AM100" i="5"/>
  <c r="AK100" i="5"/>
  <c r="AJ100" i="5"/>
  <c r="AA100" i="5"/>
  <c r="Z100" i="5"/>
  <c r="X100" i="5"/>
  <c r="S100" i="5"/>
  <c r="R100" i="5"/>
  <c r="Y103" i="5"/>
  <c r="W270" i="5"/>
  <c r="AG285" i="5"/>
  <c r="AF285" i="5"/>
  <c r="AY285" i="5"/>
  <c r="AE285" i="5"/>
  <c r="AD285" i="5"/>
  <c r="AQ285" i="5"/>
  <c r="S285" i="5"/>
  <c r="AP285" i="5"/>
  <c r="R285" i="5"/>
  <c r="AO285" i="5"/>
  <c r="AC285" i="5"/>
  <c r="AA285" i="5"/>
  <c r="Z285" i="5"/>
  <c r="Y285" i="5"/>
  <c r="X285" i="5"/>
  <c r="V285" i="5"/>
  <c r="AN285" i="5"/>
  <c r="AM285" i="5"/>
  <c r="AK285" i="5"/>
  <c r="AB285" i="5"/>
  <c r="V314" i="5"/>
  <c r="AG365" i="5"/>
  <c r="AF365" i="5"/>
  <c r="AY365" i="5"/>
  <c r="AE365" i="5"/>
  <c r="AA365" i="5"/>
  <c r="AW365" i="5"/>
  <c r="Z365" i="5"/>
  <c r="Y365" i="5"/>
  <c r="X365" i="5"/>
  <c r="AD365" i="5"/>
  <c r="AC365" i="5"/>
  <c r="AB365" i="5"/>
  <c r="R365" i="5"/>
  <c r="AT365" i="5"/>
  <c r="AS365" i="5"/>
  <c r="AK365" i="5"/>
  <c r="AJ365" i="5"/>
  <c r="AI365" i="5"/>
  <c r="AH365" i="5"/>
  <c r="W365" i="5"/>
  <c r="Z410" i="5"/>
  <c r="Y424" i="5"/>
  <c r="AM94" i="5"/>
  <c r="S94" i="5"/>
  <c r="AL94" i="5"/>
  <c r="R94" i="5"/>
  <c r="AK94" i="5"/>
  <c r="AI94" i="5"/>
  <c r="AG94" i="5"/>
  <c r="AF94" i="5"/>
  <c r="AT94" i="5"/>
  <c r="T94" i="5"/>
  <c r="AU94" i="5" s="1"/>
  <c r="AS94" i="5"/>
  <c r="AQ94" i="5"/>
  <c r="AR94" i="5"/>
  <c r="AP94" i="5"/>
  <c r="AB148" i="5"/>
  <c r="W162" i="5"/>
  <c r="AK241" i="5"/>
  <c r="AJ241" i="5"/>
  <c r="AI241" i="5"/>
  <c r="AH241" i="5"/>
  <c r="AY241" i="5"/>
  <c r="AA241" i="5"/>
  <c r="Z241" i="5"/>
  <c r="AW241" i="5"/>
  <c r="Y241" i="5"/>
  <c r="AQ241" i="5"/>
  <c r="AO241" i="5"/>
  <c r="AN241" i="5"/>
  <c r="AB241" i="5"/>
  <c r="X241" i="5"/>
  <c r="V241" i="5"/>
  <c r="AP241" i="5"/>
  <c r="AM241" i="5"/>
  <c r="AG241" i="5"/>
  <c r="AC274" i="5"/>
  <c r="AK504" i="5"/>
  <c r="AG15" i="5"/>
  <c r="X34" i="5"/>
  <c r="AC35" i="5"/>
  <c r="Z47" i="5"/>
  <c r="AD48" i="5"/>
  <c r="Z58" i="5"/>
  <c r="AI59" i="5"/>
  <c r="W64" i="5"/>
  <c r="AA65" i="5"/>
  <c r="AB71" i="5"/>
  <c r="Z78" i="5"/>
  <c r="AF79" i="5"/>
  <c r="AF91" i="5"/>
  <c r="AY91" i="5"/>
  <c r="AE91" i="5"/>
  <c r="AD91" i="5"/>
  <c r="AH91" i="5"/>
  <c r="AC91" i="5"/>
  <c r="AB91" i="5"/>
  <c r="AG91" i="5"/>
  <c r="AA91" i="5"/>
  <c r="Y91" i="5"/>
  <c r="AR91" i="5"/>
  <c r="AQ91" i="5"/>
  <c r="U91" i="5"/>
  <c r="AA94" i="5"/>
  <c r="AI98" i="5"/>
  <c r="AH98" i="5"/>
  <c r="AG98" i="5"/>
  <c r="AC98" i="5"/>
  <c r="AA98" i="5"/>
  <c r="AW98" i="5"/>
  <c r="Z98" i="5"/>
  <c r="AK98" i="5"/>
  <c r="AJ98" i="5"/>
  <c r="AE98" i="5"/>
  <c r="AY98" i="5"/>
  <c r="T98" i="5"/>
  <c r="AU98" i="5" s="1"/>
  <c r="S98" i="5"/>
  <c r="W98" i="5"/>
  <c r="AD100" i="5"/>
  <c r="AY102" i="5"/>
  <c r="AE102" i="5"/>
  <c r="AD102" i="5"/>
  <c r="AW102" i="5"/>
  <c r="AC102" i="5"/>
  <c r="AQ102" i="5"/>
  <c r="T102" i="5"/>
  <c r="AU102" i="5" s="1"/>
  <c r="AO102" i="5"/>
  <c r="R102" i="5"/>
  <c r="AN102" i="5"/>
  <c r="AP102" i="5"/>
  <c r="AM102" i="5"/>
  <c r="AK102" i="5"/>
  <c r="AJ102" i="5"/>
  <c r="AI102" i="5"/>
  <c r="W102" i="5"/>
  <c r="AC103" i="5"/>
  <c r="AJ107" i="5"/>
  <c r="AI107" i="5"/>
  <c r="AH107" i="5"/>
  <c r="AG107" i="5"/>
  <c r="AE107" i="5"/>
  <c r="AD107" i="5"/>
  <c r="AC107" i="5"/>
  <c r="AB107" i="5"/>
  <c r="Z107" i="5"/>
  <c r="AW107" i="5"/>
  <c r="T107" i="5"/>
  <c r="AU107" i="5" s="1"/>
  <c r="S107" i="5"/>
  <c r="W107" i="5"/>
  <c r="X113" i="5"/>
  <c r="AY122" i="5"/>
  <c r="AE122" i="5"/>
  <c r="AD122" i="5"/>
  <c r="AW122" i="5"/>
  <c r="AC122" i="5"/>
  <c r="AM122" i="5"/>
  <c r="AK122" i="5"/>
  <c r="AJ122" i="5"/>
  <c r="AT122" i="5"/>
  <c r="T122" i="5"/>
  <c r="AU122" i="5" s="1"/>
  <c r="AS122" i="5"/>
  <c r="S122" i="5"/>
  <c r="AQ122" i="5"/>
  <c r="AO122" i="5"/>
  <c r="AN122" i="5"/>
  <c r="AI122" i="5"/>
  <c r="W122" i="5"/>
  <c r="AJ127" i="5"/>
  <c r="AI127" i="5"/>
  <c r="AH127" i="5"/>
  <c r="AC127" i="5"/>
  <c r="AA127" i="5"/>
  <c r="AW127" i="5"/>
  <c r="Z127" i="5"/>
  <c r="AK127" i="5"/>
  <c r="AG127" i="5"/>
  <c r="AE127" i="5"/>
  <c r="S127" i="5"/>
  <c r="R127" i="5"/>
  <c r="AS127" i="5"/>
  <c r="W127" i="5"/>
  <c r="AM134" i="5"/>
  <c r="S134" i="5"/>
  <c r="AL134" i="5"/>
  <c r="R134" i="5"/>
  <c r="AK134" i="5"/>
  <c r="AA134" i="5"/>
  <c r="Y134" i="5"/>
  <c r="AU134" i="5"/>
  <c r="X134" i="5"/>
  <c r="AD134" i="5"/>
  <c r="AC134" i="5"/>
  <c r="Z134" i="5"/>
  <c r="AG134" i="5"/>
  <c r="AF134" i="5"/>
  <c r="AB134" i="5"/>
  <c r="W134" i="5"/>
  <c r="V140" i="5"/>
  <c r="AE148" i="5"/>
  <c r="AG162" i="5"/>
  <c r="X169" i="5"/>
  <c r="W171" i="5"/>
  <c r="AD173" i="5"/>
  <c r="AW173" i="5"/>
  <c r="AC173" i="5"/>
  <c r="AB173" i="5"/>
  <c r="AS173" i="5"/>
  <c r="V173" i="5"/>
  <c r="AQ173" i="5"/>
  <c r="T173" i="5"/>
  <c r="AU173" i="5" s="1"/>
  <c r="AP173" i="5"/>
  <c r="S173" i="5"/>
  <c r="AE173" i="5"/>
  <c r="AA173" i="5"/>
  <c r="Y173" i="5"/>
  <c r="AI173" i="5"/>
  <c r="AH173" i="5"/>
  <c r="AF173" i="5"/>
  <c r="X173" i="5"/>
  <c r="AF196" i="5"/>
  <c r="Y204" i="5"/>
  <c r="AH209" i="5"/>
  <c r="AG209" i="5"/>
  <c r="AF209" i="5"/>
  <c r="AQ209" i="5"/>
  <c r="T209" i="5"/>
  <c r="AU209" i="5" s="1"/>
  <c r="AO209" i="5"/>
  <c r="R209" i="5"/>
  <c r="AN209" i="5"/>
  <c r="AY209" i="5"/>
  <c r="Y209" i="5"/>
  <c r="X209" i="5"/>
  <c r="V209" i="5"/>
  <c r="AL209" i="5"/>
  <c r="AK209" i="5"/>
  <c r="AI209" i="5"/>
  <c r="Z209" i="5"/>
  <c r="V211" i="5"/>
  <c r="AD213" i="5"/>
  <c r="AW213" i="5"/>
  <c r="AC213" i="5"/>
  <c r="AB213" i="5"/>
  <c r="AK213" i="5"/>
  <c r="AI213" i="5"/>
  <c r="AH213" i="5"/>
  <c r="AA213" i="5"/>
  <c r="Z213" i="5"/>
  <c r="X213" i="5"/>
  <c r="W213" i="5"/>
  <c r="V213" i="5"/>
  <c r="T213" i="5"/>
  <c r="AU213" i="5" s="1"/>
  <c r="Y213" i="5"/>
  <c r="AG220" i="5"/>
  <c r="AF220" i="5"/>
  <c r="AY220" i="5"/>
  <c r="AE220" i="5"/>
  <c r="AI220" i="5"/>
  <c r="AD220" i="5"/>
  <c r="AC220" i="5"/>
  <c r="AK220" i="5"/>
  <c r="AJ220" i="5"/>
  <c r="AB220" i="5"/>
  <c r="AH220" i="5"/>
  <c r="AA220" i="5"/>
  <c r="Y220" i="5"/>
  <c r="U220" i="5"/>
  <c r="AR233" i="5"/>
  <c r="X233" i="5"/>
  <c r="AQ233" i="5"/>
  <c r="W233" i="5"/>
  <c r="AL233" i="5"/>
  <c r="AK233" i="5"/>
  <c r="AJ233" i="5"/>
  <c r="AO233" i="5"/>
  <c r="AM233" i="5"/>
  <c r="AI233" i="5"/>
  <c r="R233" i="5"/>
  <c r="AS233" i="5"/>
  <c r="Z233" i="5"/>
  <c r="Y233" i="5"/>
  <c r="U233" i="5"/>
  <c r="AA233" i="5"/>
  <c r="Z238" i="5"/>
  <c r="AD241" i="5"/>
  <c r="AC253" i="5"/>
  <c r="AA270" i="5"/>
  <c r="AM274" i="5"/>
  <c r="Y279" i="5"/>
  <c r="AL285" i="5"/>
  <c r="AL290" i="5"/>
  <c r="R290" i="5"/>
  <c r="AK290" i="5"/>
  <c r="AJ290" i="5"/>
  <c r="AI290" i="5"/>
  <c r="AP290" i="5"/>
  <c r="AO290" i="5"/>
  <c r="AN290" i="5"/>
  <c r="Z290" i="5"/>
  <c r="AY290" i="5"/>
  <c r="X290" i="5"/>
  <c r="W290" i="5"/>
  <c r="AU290" i="5"/>
  <c r="AS290" i="5"/>
  <c r="AR290" i="5"/>
  <c r="AW290" i="5"/>
  <c r="AQ290" i="5"/>
  <c r="V290" i="5"/>
  <c r="AY297" i="5"/>
  <c r="AN308" i="5"/>
  <c r="T308" i="5"/>
  <c r="AU308" i="5" s="1"/>
  <c r="AM308" i="5"/>
  <c r="S308" i="5"/>
  <c r="AL308" i="5"/>
  <c r="R308" i="5"/>
  <c r="AK308" i="5"/>
  <c r="AG308" i="5"/>
  <c r="AF308" i="5"/>
  <c r="AE308" i="5"/>
  <c r="AS308" i="5"/>
  <c r="AQ308" i="5"/>
  <c r="AP308" i="5"/>
  <c r="AY308" i="5"/>
  <c r="U308" i="5"/>
  <c r="AW308" i="5"/>
  <c r="AT308" i="5"/>
  <c r="AR308" i="5"/>
  <c r="AJ308" i="5"/>
  <c r="Y308" i="5"/>
  <c r="AA314" i="5"/>
  <c r="W340" i="5"/>
  <c r="AO365" i="5"/>
  <c r="AO372" i="5"/>
  <c r="AO378" i="5"/>
  <c r="AI383" i="5"/>
  <c r="AH383" i="5"/>
  <c r="AG383" i="5"/>
  <c r="AO383" i="5"/>
  <c r="R383" i="5"/>
  <c r="AN383" i="5"/>
  <c r="AM383" i="5"/>
  <c r="AL383" i="5"/>
  <c r="AP383" i="5"/>
  <c r="AK383" i="5"/>
  <c r="AJ383" i="5"/>
  <c r="AW383" i="5"/>
  <c r="S383" i="5"/>
  <c r="AT383" i="5"/>
  <c r="V383" i="5"/>
  <c r="U383" i="5"/>
  <c r="T383" i="5"/>
  <c r="AU383" i="5" s="1"/>
  <c r="AY383" i="5"/>
  <c r="AR383" i="5"/>
  <c r="Z383" i="5"/>
  <c r="AG385" i="5"/>
  <c r="AF385" i="5"/>
  <c r="AY385" i="5"/>
  <c r="AE385" i="5"/>
  <c r="Y385" i="5"/>
  <c r="X385" i="5"/>
  <c r="AT385" i="5"/>
  <c r="W385" i="5"/>
  <c r="AS385" i="5"/>
  <c r="V385" i="5"/>
  <c r="AK385" i="5"/>
  <c r="AJ385" i="5"/>
  <c r="AI385" i="5"/>
  <c r="T385" i="5"/>
  <c r="AU385" i="5" s="1"/>
  <c r="R385" i="5"/>
  <c r="AP385" i="5"/>
  <c r="AO385" i="5"/>
  <c r="AN385" i="5"/>
  <c r="AM385" i="5"/>
  <c r="AL385" i="5"/>
  <c r="AW385" i="5"/>
  <c r="AQ385" i="5"/>
  <c r="AA385" i="5"/>
  <c r="AS393" i="5"/>
  <c r="Y393" i="5"/>
  <c r="AR393" i="5"/>
  <c r="X393" i="5"/>
  <c r="AQ393" i="5"/>
  <c r="W393" i="5"/>
  <c r="AG393" i="5"/>
  <c r="AE393" i="5"/>
  <c r="AT393" i="5"/>
  <c r="R393" i="5"/>
  <c r="AP393" i="5"/>
  <c r="AO393" i="5"/>
  <c r="AN393" i="5"/>
  <c r="AB393" i="5"/>
  <c r="AA393" i="5"/>
  <c r="Z393" i="5"/>
  <c r="AM393" i="5"/>
  <c r="AK393" i="5"/>
  <c r="AJ393" i="5"/>
  <c r="AL393" i="5"/>
  <c r="AI393" i="5"/>
  <c r="AH393" i="5"/>
  <c r="AD393" i="5"/>
  <c r="AC393" i="5"/>
  <c r="U393" i="5"/>
  <c r="AF393" i="5"/>
  <c r="AF410" i="5"/>
  <c r="AI413" i="5"/>
  <c r="AJ424" i="5"/>
  <c r="AA456" i="5"/>
  <c r="Z456" i="5"/>
  <c r="AT456" i="5"/>
  <c r="Y456" i="5"/>
  <c r="AK456" i="5"/>
  <c r="AJ456" i="5"/>
  <c r="AI456" i="5"/>
  <c r="AS456" i="5"/>
  <c r="S456" i="5"/>
  <c r="AR456" i="5"/>
  <c r="R456" i="5"/>
  <c r="AQ456" i="5"/>
  <c r="AP456" i="5"/>
  <c r="V456" i="5"/>
  <c r="U456" i="5"/>
  <c r="T456" i="5"/>
  <c r="AU456" i="5" s="1"/>
  <c r="AY456" i="5"/>
  <c r="AW456" i="5"/>
  <c r="AG456" i="5"/>
  <c r="AE456" i="5"/>
  <c r="AD456" i="5"/>
  <c r="AB456" i="5"/>
  <c r="X456" i="5"/>
  <c r="W456" i="5"/>
  <c r="AL456" i="5"/>
  <c r="AP471" i="5"/>
  <c r="V471" i="5"/>
  <c r="Z471" i="5"/>
  <c r="AT471" i="5"/>
  <c r="Y471" i="5"/>
  <c r="AS471" i="5"/>
  <c r="X471" i="5"/>
  <c r="AG471" i="5"/>
  <c r="AF471" i="5"/>
  <c r="AE471" i="5"/>
  <c r="AY471" i="5"/>
  <c r="T471" i="5"/>
  <c r="AU471" i="5" s="1"/>
  <c r="S471" i="5"/>
  <c r="AW471" i="5"/>
  <c r="R471" i="5"/>
  <c r="AR471" i="5"/>
  <c r="AH471" i="5"/>
  <c r="AD471" i="5"/>
  <c r="AC471" i="5"/>
  <c r="AM471" i="5"/>
  <c r="AK471" i="5"/>
  <c r="AJ471" i="5"/>
  <c r="AQ471" i="5"/>
  <c r="AO471" i="5"/>
  <c r="AB471" i="5"/>
  <c r="AL478" i="5"/>
  <c r="AL506" i="5"/>
  <c r="R506" i="5"/>
  <c r="AI506" i="5"/>
  <c r="AJ506" i="5"/>
  <c r="AH506" i="5"/>
  <c r="AG506" i="5"/>
  <c r="AR506" i="5"/>
  <c r="S506" i="5"/>
  <c r="AQ506" i="5"/>
  <c r="AP506" i="5"/>
  <c r="AT506" i="5"/>
  <c r="AS506" i="5"/>
  <c r="U506" i="5"/>
  <c r="AY506" i="5"/>
  <c r="T506" i="5"/>
  <c r="AU506" i="5" s="1"/>
  <c r="AW506" i="5"/>
  <c r="AO506" i="5"/>
  <c r="AN506" i="5"/>
  <c r="AM506" i="5"/>
  <c r="AK506" i="5"/>
  <c r="AE506" i="5"/>
  <c r="AD506" i="5"/>
  <c r="AF506" i="5"/>
  <c r="AC506" i="5"/>
  <c r="AB506" i="5"/>
  <c r="Y506" i="5"/>
  <c r="AD133" i="5"/>
  <c r="AW133" i="5"/>
  <c r="AC133" i="5"/>
  <c r="AB133" i="5"/>
  <c r="AG133" i="5"/>
  <c r="AE133" i="5"/>
  <c r="AA133" i="5"/>
  <c r="AF133" i="5"/>
  <c r="Z133" i="5"/>
  <c r="X133" i="5"/>
  <c r="U133" i="5"/>
  <c r="AA186" i="5"/>
  <c r="AT186" i="5"/>
  <c r="Z186" i="5"/>
  <c r="AS186" i="5"/>
  <c r="Y186" i="5"/>
  <c r="V186" i="5"/>
  <c r="AQ186" i="5"/>
  <c r="T186" i="5"/>
  <c r="AU186" i="5" s="1"/>
  <c r="AP186" i="5"/>
  <c r="S186" i="5"/>
  <c r="AY186" i="5"/>
  <c r="U186" i="5"/>
  <c r="R186" i="5"/>
  <c r="AR186" i="5"/>
  <c r="AC186" i="5"/>
  <c r="AF191" i="5"/>
  <c r="AY191" i="5"/>
  <c r="AE191" i="5"/>
  <c r="AD191" i="5"/>
  <c r="AH191" i="5"/>
  <c r="AC191" i="5"/>
  <c r="AB191" i="5"/>
  <c r="Z191" i="5"/>
  <c r="Y191" i="5"/>
  <c r="AW191" i="5"/>
  <c r="W191" i="5"/>
  <c r="U191" i="5"/>
  <c r="AL205" i="5"/>
  <c r="R205" i="5"/>
  <c r="AK205" i="5"/>
  <c r="AJ205" i="5"/>
  <c r="AW205" i="5"/>
  <c r="Z205" i="5"/>
  <c r="AU205" i="5"/>
  <c r="X205" i="5"/>
  <c r="AT205" i="5"/>
  <c r="W205" i="5"/>
  <c r="AG205" i="5"/>
  <c r="AF205" i="5"/>
  <c r="AD205" i="5"/>
  <c r="V205" i="5"/>
  <c r="AM214" i="5"/>
  <c r="S214" i="5"/>
  <c r="AL214" i="5"/>
  <c r="R214" i="5"/>
  <c r="AK214" i="5"/>
  <c r="AE214" i="5"/>
  <c r="AC214" i="5"/>
  <c r="AY214" i="5"/>
  <c r="AB214" i="5"/>
  <c r="AA214" i="5"/>
  <c r="Z214" i="5"/>
  <c r="X214" i="5"/>
  <c r="W214" i="5"/>
  <c r="AI243" i="5"/>
  <c r="AH243" i="5"/>
  <c r="AG243" i="5"/>
  <c r="AF243" i="5"/>
  <c r="AO243" i="5"/>
  <c r="AN243" i="5"/>
  <c r="AM243" i="5"/>
  <c r="AS243" i="5"/>
  <c r="R243" i="5"/>
  <c r="AQ243" i="5"/>
  <c r="AP243" i="5"/>
  <c r="AL243" i="5"/>
  <c r="AK243" i="5"/>
  <c r="AE243" i="5"/>
  <c r="V243" i="5"/>
  <c r="AG245" i="5"/>
  <c r="AF245" i="5"/>
  <c r="AY245" i="5"/>
  <c r="AE245" i="5"/>
  <c r="AD245" i="5"/>
  <c r="AA245" i="5"/>
  <c r="Z245" i="5"/>
  <c r="AW245" i="5"/>
  <c r="Y245" i="5"/>
  <c r="AL245" i="5"/>
  <c r="AJ245" i="5"/>
  <c r="AI245" i="5"/>
  <c r="AN245" i="5"/>
  <c r="AM245" i="5"/>
  <c r="AH245" i="5"/>
  <c r="U245" i="5"/>
  <c r="AW269" i="5"/>
  <c r="AC269" i="5"/>
  <c r="AB269" i="5"/>
  <c r="AA269" i="5"/>
  <c r="AT269" i="5"/>
  <c r="Z269" i="5"/>
  <c r="AL269" i="5"/>
  <c r="AK269" i="5"/>
  <c r="AJ269" i="5"/>
  <c r="AN269" i="5"/>
  <c r="AI269" i="5"/>
  <c r="AH269" i="5"/>
  <c r="AR269" i="5"/>
  <c r="AQ269" i="5"/>
  <c r="AO269" i="5"/>
  <c r="U269" i="5"/>
  <c r="AD278" i="5"/>
  <c r="AW278" i="5"/>
  <c r="AC278" i="5"/>
  <c r="AB278" i="5"/>
  <c r="AU278" i="5"/>
  <c r="AA278" i="5"/>
  <c r="AH278" i="5"/>
  <c r="AG278" i="5"/>
  <c r="AF278" i="5"/>
  <c r="AO278" i="5"/>
  <c r="AM278" i="5"/>
  <c r="AL278" i="5"/>
  <c r="AS278" i="5"/>
  <c r="AR278" i="5"/>
  <c r="AP278" i="5"/>
  <c r="U278" i="5"/>
  <c r="AY307" i="5"/>
  <c r="AE307" i="5"/>
  <c r="AD307" i="5"/>
  <c r="AW307" i="5"/>
  <c r="AC307" i="5"/>
  <c r="AB307" i="5"/>
  <c r="AK307" i="5"/>
  <c r="AJ307" i="5"/>
  <c r="AI307" i="5"/>
  <c r="AP307" i="5"/>
  <c r="AN307" i="5"/>
  <c r="AM307" i="5"/>
  <c r="AS307" i="5"/>
  <c r="AR307" i="5"/>
  <c r="AQ307" i="5"/>
  <c r="AO307" i="5"/>
  <c r="AL307" i="5"/>
  <c r="U307" i="5"/>
  <c r="AR324" i="5"/>
  <c r="X324" i="5"/>
  <c r="AQ324" i="5"/>
  <c r="W324" i="5"/>
  <c r="AJ324" i="5"/>
  <c r="AI324" i="5"/>
  <c r="AH324" i="5"/>
  <c r="AG324" i="5"/>
  <c r="AE324" i="5"/>
  <c r="AD324" i="5"/>
  <c r="AC324" i="5"/>
  <c r="AY324" i="5"/>
  <c r="T324" i="5"/>
  <c r="AU324" i="5" s="1"/>
  <c r="AW324" i="5"/>
  <c r="R324" i="5"/>
  <c r="AP324" i="5"/>
  <c r="AO324" i="5"/>
  <c r="AN324" i="5"/>
  <c r="AM324" i="5"/>
  <c r="AL324" i="5"/>
  <c r="Y324" i="5"/>
  <c r="AN348" i="5"/>
  <c r="T348" i="5"/>
  <c r="AU348" i="5" s="1"/>
  <c r="AM348" i="5"/>
  <c r="S348" i="5"/>
  <c r="AH348" i="5"/>
  <c r="AG348" i="5"/>
  <c r="AF348" i="5"/>
  <c r="AE348" i="5"/>
  <c r="Z348" i="5"/>
  <c r="AY348" i="5"/>
  <c r="Y348" i="5"/>
  <c r="X348" i="5"/>
  <c r="AS348" i="5"/>
  <c r="AQ348" i="5"/>
  <c r="AP348" i="5"/>
  <c r="AT348" i="5"/>
  <c r="AR348" i="5"/>
  <c r="AO348" i="5"/>
  <c r="AL348" i="5"/>
  <c r="AK348" i="5"/>
  <c r="W348" i="5"/>
  <c r="AK381" i="5"/>
  <c r="AJ381" i="5"/>
  <c r="AI381" i="5"/>
  <c r="AE381" i="5"/>
  <c r="AD381" i="5"/>
  <c r="AC381" i="5"/>
  <c r="AY381" i="5"/>
  <c r="AB381" i="5"/>
  <c r="AT381" i="5"/>
  <c r="S381" i="5"/>
  <c r="AS381" i="5"/>
  <c r="R381" i="5"/>
  <c r="AR381" i="5"/>
  <c r="T381" i="5"/>
  <c r="AU381" i="5" s="1"/>
  <c r="AW381" i="5"/>
  <c r="AQ381" i="5"/>
  <c r="AP381" i="5"/>
  <c r="X381" i="5"/>
  <c r="T422" i="5"/>
  <c r="AY422" i="5"/>
  <c r="AD73" i="5"/>
  <c r="AW73" i="5"/>
  <c r="AC73" i="5"/>
  <c r="AB73" i="5"/>
  <c r="AS73" i="5"/>
  <c r="V73" i="5"/>
  <c r="AQ73" i="5"/>
  <c r="T73" i="5"/>
  <c r="AU73" i="5" s="1"/>
  <c r="AP73" i="5"/>
  <c r="S73" i="5"/>
  <c r="AG73" i="5"/>
  <c r="AF73" i="5"/>
  <c r="AA73" i="5"/>
  <c r="X73" i="5"/>
  <c r="AH109" i="5"/>
  <c r="AG109" i="5"/>
  <c r="AF109" i="5"/>
  <c r="AQ109" i="5"/>
  <c r="T109" i="5"/>
  <c r="AU109" i="5" s="1"/>
  <c r="AO109" i="5"/>
  <c r="R109" i="5"/>
  <c r="AN109" i="5"/>
  <c r="AA109" i="5"/>
  <c r="Z109" i="5"/>
  <c r="X109" i="5"/>
  <c r="W109" i="5"/>
  <c r="AR119" i="5"/>
  <c r="X119" i="5"/>
  <c r="AQ119" i="5"/>
  <c r="W119" i="5"/>
  <c r="AP119" i="5"/>
  <c r="V119" i="5"/>
  <c r="AN119" i="5"/>
  <c r="AL119" i="5"/>
  <c r="AK119" i="5"/>
  <c r="AO119" i="5"/>
  <c r="AM119" i="5"/>
  <c r="AI119" i="5"/>
  <c r="U119" i="5"/>
  <c r="W133" i="5"/>
  <c r="AE186" i="5"/>
  <c r="X191" i="5"/>
  <c r="AM194" i="5"/>
  <c r="S194" i="5"/>
  <c r="AL194" i="5"/>
  <c r="R194" i="5"/>
  <c r="AK194" i="5"/>
  <c r="AI194" i="5"/>
  <c r="AG194" i="5"/>
  <c r="AF194" i="5"/>
  <c r="AR194" i="5"/>
  <c r="AQ194" i="5"/>
  <c r="AO194" i="5"/>
  <c r="W194" i="5"/>
  <c r="AB195" i="5"/>
  <c r="AU195" i="5"/>
  <c r="AA195" i="5"/>
  <c r="AT195" i="5"/>
  <c r="Z195" i="5"/>
  <c r="AD195" i="5"/>
  <c r="AY195" i="5"/>
  <c r="Y195" i="5"/>
  <c r="X195" i="5"/>
  <c r="AM195" i="5"/>
  <c r="AL195" i="5"/>
  <c r="AJ195" i="5"/>
  <c r="U195" i="5"/>
  <c r="AN203" i="5"/>
  <c r="T203" i="5"/>
  <c r="AU203" i="5" s="1"/>
  <c r="AM203" i="5"/>
  <c r="S203" i="5"/>
  <c r="AL203" i="5"/>
  <c r="R203" i="5"/>
  <c r="AO203" i="5"/>
  <c r="AJ203" i="5"/>
  <c r="AI203" i="5"/>
  <c r="AP203" i="5"/>
  <c r="AK203" i="5"/>
  <c r="AG203" i="5"/>
  <c r="X203" i="5"/>
  <c r="AA205" i="5"/>
  <c r="AD214" i="5"/>
  <c r="AJ227" i="5"/>
  <c r="AI227" i="5"/>
  <c r="AH227" i="5"/>
  <c r="AC227" i="5"/>
  <c r="AA227" i="5"/>
  <c r="AW227" i="5"/>
  <c r="Z227" i="5"/>
  <c r="AF227" i="5"/>
  <c r="AE227" i="5"/>
  <c r="AB227" i="5"/>
  <c r="U227" i="5"/>
  <c r="X243" i="5"/>
  <c r="W245" i="5"/>
  <c r="W269" i="5"/>
  <c r="W278" i="5"/>
  <c r="T303" i="5"/>
  <c r="AU303" i="5" s="1"/>
  <c r="W307" i="5"/>
  <c r="AA324" i="5"/>
  <c r="AB348" i="5"/>
  <c r="Z381" i="5"/>
  <c r="AD398" i="5"/>
  <c r="AW398" i="5"/>
  <c r="AC398" i="5"/>
  <c r="AB398" i="5"/>
  <c r="AP398" i="5"/>
  <c r="S398" i="5"/>
  <c r="AN398" i="5"/>
  <c r="AQ398" i="5"/>
  <c r="AO398" i="5"/>
  <c r="AM398" i="5"/>
  <c r="AL398" i="5"/>
  <c r="AY398" i="5"/>
  <c r="R398" i="5"/>
  <c r="AT398" i="5"/>
  <c r="AS398" i="5"/>
  <c r="AK398" i="5"/>
  <c r="AJ398" i="5"/>
  <c r="U398" i="5"/>
  <c r="T398" i="5"/>
  <c r="AU398" i="5" s="1"/>
  <c r="Y398" i="5"/>
  <c r="AU422" i="5"/>
  <c r="AM475" i="5"/>
  <c r="S475" i="5"/>
  <c r="AR475" i="5"/>
  <c r="W475" i="5"/>
  <c r="AH475" i="5"/>
  <c r="AG475" i="5"/>
  <c r="AF475" i="5"/>
  <c r="AQ475" i="5"/>
  <c r="AP475" i="5"/>
  <c r="AO475" i="5"/>
  <c r="X475" i="5"/>
  <c r="AK475" i="5"/>
  <c r="AJ475" i="5"/>
  <c r="AI475" i="5"/>
  <c r="AE475" i="5"/>
  <c r="AB475" i="5"/>
  <c r="AA475" i="5"/>
  <c r="Z475" i="5"/>
  <c r="Y475" i="5"/>
  <c r="AT475" i="5"/>
  <c r="AS475" i="5"/>
  <c r="AL475" i="5"/>
  <c r="AU475" i="5"/>
  <c r="AD475" i="5"/>
  <c r="AC475" i="5"/>
  <c r="V475" i="5"/>
  <c r="Y73" i="5"/>
  <c r="AS88" i="5"/>
  <c r="Y88" i="5"/>
  <c r="AR88" i="5"/>
  <c r="X88" i="5"/>
  <c r="AQ88" i="5"/>
  <c r="W88" i="5"/>
  <c r="AF88" i="5"/>
  <c r="AD88" i="5"/>
  <c r="AC88" i="5"/>
  <c r="AT88" i="5"/>
  <c r="AP88" i="5"/>
  <c r="AN88" i="5"/>
  <c r="U88" i="5"/>
  <c r="AI118" i="5"/>
  <c r="AH118" i="5"/>
  <c r="AG118" i="5"/>
  <c r="Y118" i="5"/>
  <c r="AT118" i="5"/>
  <c r="W118" i="5"/>
  <c r="AS118" i="5"/>
  <c r="V118" i="5"/>
  <c r="AQ118" i="5"/>
  <c r="AP118" i="5"/>
  <c r="AN118" i="5"/>
  <c r="U118" i="5"/>
  <c r="Y119" i="5"/>
  <c r="Y133" i="5"/>
  <c r="AH149" i="5"/>
  <c r="AG149" i="5"/>
  <c r="AF149" i="5"/>
  <c r="AI149" i="5"/>
  <c r="AD149" i="5"/>
  <c r="AC149" i="5"/>
  <c r="AK149" i="5"/>
  <c r="AJ149" i="5"/>
  <c r="AB149" i="5"/>
  <c r="U149" i="5"/>
  <c r="AF186" i="5"/>
  <c r="AA191" i="5"/>
  <c r="Y203" i="5"/>
  <c r="AB205" i="5"/>
  <c r="AF214" i="5"/>
  <c r="AW224" i="5"/>
  <c r="AC224" i="5"/>
  <c r="AB224" i="5"/>
  <c r="AU224" i="5"/>
  <c r="AA224" i="5"/>
  <c r="Z224" i="5"/>
  <c r="X224" i="5"/>
  <c r="AT224" i="5"/>
  <c r="W224" i="5"/>
  <c r="AN224" i="5"/>
  <c r="AM224" i="5"/>
  <c r="AK224" i="5"/>
  <c r="U224" i="5"/>
  <c r="AU226" i="5"/>
  <c r="AA226" i="5"/>
  <c r="AT226" i="5"/>
  <c r="Z226" i="5"/>
  <c r="AS226" i="5"/>
  <c r="Y226" i="5"/>
  <c r="AK226" i="5"/>
  <c r="AI226" i="5"/>
  <c r="AH226" i="5"/>
  <c r="AJ226" i="5"/>
  <c r="AG226" i="5"/>
  <c r="AE226" i="5"/>
  <c r="U226" i="5"/>
  <c r="V227" i="5"/>
  <c r="AH229" i="5"/>
  <c r="AG229" i="5"/>
  <c r="AF229" i="5"/>
  <c r="AM229" i="5"/>
  <c r="AK229" i="5"/>
  <c r="AJ229" i="5"/>
  <c r="AY229" i="5"/>
  <c r="Y229" i="5"/>
  <c r="X229" i="5"/>
  <c r="V229" i="5"/>
  <c r="U229" i="5"/>
  <c r="AM239" i="5"/>
  <c r="S239" i="5"/>
  <c r="AL239" i="5"/>
  <c r="R239" i="5"/>
  <c r="AK239" i="5"/>
  <c r="AJ239" i="5"/>
  <c r="AO239" i="5"/>
  <c r="AN239" i="5"/>
  <c r="AI239" i="5"/>
  <c r="T239" i="5"/>
  <c r="AU239" i="5" s="1"/>
  <c r="AS239" i="5"/>
  <c r="AR239" i="5"/>
  <c r="W239" i="5"/>
  <c r="V239" i="5"/>
  <c r="Z239" i="5"/>
  <c r="Y243" i="5"/>
  <c r="X245" i="5"/>
  <c r="AF256" i="5"/>
  <c r="AY256" i="5"/>
  <c r="AE256" i="5"/>
  <c r="AD256" i="5"/>
  <c r="AW256" i="5"/>
  <c r="AC256" i="5"/>
  <c r="AK256" i="5"/>
  <c r="AJ256" i="5"/>
  <c r="AI256" i="5"/>
  <c r="AN256" i="5"/>
  <c r="AL256" i="5"/>
  <c r="AH256" i="5"/>
  <c r="AM256" i="5"/>
  <c r="AG256" i="5"/>
  <c r="AA256" i="5"/>
  <c r="U256" i="5"/>
  <c r="AD258" i="5"/>
  <c r="AW258" i="5"/>
  <c r="AC258" i="5"/>
  <c r="AB258" i="5"/>
  <c r="AA258" i="5"/>
  <c r="X258" i="5"/>
  <c r="AY258" i="5"/>
  <c r="W258" i="5"/>
  <c r="AT258" i="5"/>
  <c r="V258" i="5"/>
  <c r="AH258" i="5"/>
  <c r="AF258" i="5"/>
  <c r="AE258" i="5"/>
  <c r="AK258" i="5"/>
  <c r="AJ258" i="5"/>
  <c r="AG258" i="5"/>
  <c r="U258" i="5"/>
  <c r="X269" i="5"/>
  <c r="AF276" i="5"/>
  <c r="AY276" i="5"/>
  <c r="AE276" i="5"/>
  <c r="AD276" i="5"/>
  <c r="AW276" i="5"/>
  <c r="AC276" i="5"/>
  <c r="AQ276" i="5"/>
  <c r="S276" i="5"/>
  <c r="AP276" i="5"/>
  <c r="R276" i="5"/>
  <c r="AO276" i="5"/>
  <c r="T276" i="5"/>
  <c r="AU276" i="5" s="1"/>
  <c r="AS276" i="5"/>
  <c r="AR276" i="5"/>
  <c r="AT276" i="5"/>
  <c r="AM276" i="5"/>
  <c r="X276" i="5"/>
  <c r="X278" i="5"/>
  <c r="T282" i="5"/>
  <c r="AU282" i="5" s="1"/>
  <c r="AA291" i="5"/>
  <c r="AT291" i="5"/>
  <c r="Z291" i="5"/>
  <c r="AS291" i="5"/>
  <c r="Y291" i="5"/>
  <c r="AR291" i="5"/>
  <c r="X291" i="5"/>
  <c r="AI291" i="5"/>
  <c r="AH291" i="5"/>
  <c r="AG291" i="5"/>
  <c r="V291" i="5"/>
  <c r="AY291" i="5"/>
  <c r="T291" i="5"/>
  <c r="AU291" i="5" s="1"/>
  <c r="S291" i="5"/>
  <c r="U291" i="5"/>
  <c r="R291" i="5"/>
  <c r="AW291" i="5"/>
  <c r="AD291" i="5"/>
  <c r="AF296" i="5"/>
  <c r="AY296" i="5"/>
  <c r="AE296" i="5"/>
  <c r="AD296" i="5"/>
  <c r="AW296" i="5"/>
  <c r="AC296" i="5"/>
  <c r="Y296" i="5"/>
  <c r="X296" i="5"/>
  <c r="W296" i="5"/>
  <c r="AN296" i="5"/>
  <c r="AL296" i="5"/>
  <c r="AK296" i="5"/>
  <c r="AI296" i="5"/>
  <c r="AH296" i="5"/>
  <c r="AG296" i="5"/>
  <c r="AB296" i="5"/>
  <c r="AA296" i="5"/>
  <c r="U296" i="5"/>
  <c r="X307" i="5"/>
  <c r="AB324" i="5"/>
  <c r="AC348" i="5"/>
  <c r="AA381" i="5"/>
  <c r="T396" i="5"/>
  <c r="AU396" i="5" s="1"/>
  <c r="AV445" i="5"/>
  <c r="AN475" i="5"/>
  <c r="T312" i="5"/>
  <c r="AU312" i="5" s="1"/>
  <c r="T329" i="5"/>
  <c r="AU329" i="5" s="1"/>
  <c r="AI343" i="5"/>
  <c r="AH343" i="5"/>
  <c r="AE343" i="5"/>
  <c r="AD343" i="5"/>
  <c r="AY343" i="5"/>
  <c r="AC343" i="5"/>
  <c r="AB343" i="5"/>
  <c r="AT343" i="5"/>
  <c r="T343" i="5"/>
  <c r="AS343" i="5"/>
  <c r="S343" i="5"/>
  <c r="AR343" i="5"/>
  <c r="R343" i="5"/>
  <c r="U343" i="5"/>
  <c r="AU343" i="5"/>
  <c r="Y343" i="5"/>
  <c r="AK361" i="5"/>
  <c r="AJ361" i="5"/>
  <c r="AI361" i="5"/>
  <c r="AG361" i="5"/>
  <c r="AF361" i="5"/>
  <c r="AE361" i="5"/>
  <c r="AD361" i="5"/>
  <c r="AC361" i="5"/>
  <c r="AB361" i="5"/>
  <c r="AA361" i="5"/>
  <c r="AM361" i="5"/>
  <c r="AH361" i="5"/>
  <c r="Z361" i="5"/>
  <c r="U361" i="5"/>
  <c r="AX402" i="5"/>
  <c r="AV402" i="5"/>
  <c r="AF421" i="5"/>
  <c r="AY421" i="5"/>
  <c r="AD421" i="5"/>
  <c r="AL421" i="5"/>
  <c r="AK421" i="5"/>
  <c r="AJ421" i="5"/>
  <c r="AB421" i="5"/>
  <c r="Z421" i="5"/>
  <c r="AR421" i="5"/>
  <c r="AQ421" i="5"/>
  <c r="AP421" i="5"/>
  <c r="AO421" i="5"/>
  <c r="AT421" i="5"/>
  <c r="AS421" i="5"/>
  <c r="AM421" i="5"/>
  <c r="AI421" i="5"/>
  <c r="U421" i="5"/>
  <c r="AR429" i="5"/>
  <c r="X429" i="5"/>
  <c r="AJ429" i="5"/>
  <c r="AH429" i="5"/>
  <c r="AG429" i="5"/>
  <c r="AF429" i="5"/>
  <c r="AP429" i="5"/>
  <c r="AO429" i="5"/>
  <c r="AN429" i="5"/>
  <c r="Z429" i="5"/>
  <c r="Y429" i="5"/>
  <c r="W429" i="5"/>
  <c r="AY429" i="5"/>
  <c r="V429" i="5"/>
  <c r="AL429" i="5"/>
  <c r="AK429" i="5"/>
  <c r="AI429" i="5"/>
  <c r="AA429" i="5"/>
  <c r="T429" i="5"/>
  <c r="AU429" i="5" s="1"/>
  <c r="S429" i="5"/>
  <c r="AC429" i="5"/>
  <c r="AJ12" i="5"/>
  <c r="AM12" i="5" s="1"/>
  <c r="AH20" i="5"/>
  <c r="AY42" i="5"/>
  <c r="AE42" i="5"/>
  <c r="AD42" i="5"/>
  <c r="AW42" i="5"/>
  <c r="AC42" i="5"/>
  <c r="AI42" i="5"/>
  <c r="AG42" i="5"/>
  <c r="AF42" i="5"/>
  <c r="U42" i="5"/>
  <c r="AU42" i="5"/>
  <c r="AS68" i="5"/>
  <c r="Y68" i="5"/>
  <c r="AR68" i="5"/>
  <c r="X68" i="5"/>
  <c r="AQ68" i="5"/>
  <c r="W68" i="5"/>
  <c r="AJ68" i="5"/>
  <c r="AH68" i="5"/>
  <c r="AG68" i="5"/>
  <c r="U68" i="5"/>
  <c r="AU92" i="5"/>
  <c r="AS108" i="5"/>
  <c r="Y108" i="5"/>
  <c r="AR108" i="5"/>
  <c r="X108" i="5"/>
  <c r="AQ108" i="5"/>
  <c r="W108" i="5"/>
  <c r="AY108" i="5"/>
  <c r="AB108" i="5"/>
  <c r="AW108" i="5"/>
  <c r="Z108" i="5"/>
  <c r="V108" i="5"/>
  <c r="U108" i="5"/>
  <c r="AY115" i="5"/>
  <c r="AK136" i="5"/>
  <c r="AJ136" i="5"/>
  <c r="AI136" i="5"/>
  <c r="AH136" i="5"/>
  <c r="AF136" i="5"/>
  <c r="AE136" i="5"/>
  <c r="U136" i="5"/>
  <c r="AF151" i="5"/>
  <c r="AY151" i="5"/>
  <c r="AE151" i="5"/>
  <c r="AD151" i="5"/>
  <c r="AP151" i="5"/>
  <c r="S151" i="5"/>
  <c r="AN151" i="5"/>
  <c r="AM151" i="5"/>
  <c r="V151" i="5"/>
  <c r="AN183" i="5"/>
  <c r="T183" i="5"/>
  <c r="AU183" i="5" s="1"/>
  <c r="AM183" i="5"/>
  <c r="S183" i="5"/>
  <c r="AL183" i="5"/>
  <c r="R183" i="5"/>
  <c r="AS183" i="5"/>
  <c r="V183" i="5"/>
  <c r="AQ183" i="5"/>
  <c r="AP183" i="5"/>
  <c r="Y183" i="5"/>
  <c r="AY183" i="5"/>
  <c r="T247" i="5"/>
  <c r="AU247" i="5" s="1"/>
  <c r="AI283" i="5"/>
  <c r="AH283" i="5"/>
  <c r="AG283" i="5"/>
  <c r="AF283" i="5"/>
  <c r="AC283" i="5"/>
  <c r="AB283" i="5"/>
  <c r="AY283" i="5"/>
  <c r="AA283" i="5"/>
  <c r="AL283" i="5"/>
  <c r="AJ283" i="5"/>
  <c r="AE283" i="5"/>
  <c r="U283" i="5"/>
  <c r="AJ292" i="5"/>
  <c r="AI292" i="5"/>
  <c r="AH292" i="5"/>
  <c r="AG292" i="5"/>
  <c r="AB292" i="5"/>
  <c r="AY292" i="5"/>
  <c r="AA292" i="5"/>
  <c r="Z292" i="5"/>
  <c r="AW292" i="5"/>
  <c r="V292" i="5"/>
  <c r="T292" i="5"/>
  <c r="AU292" i="5" s="1"/>
  <c r="AT292" i="5"/>
  <c r="S292" i="5"/>
  <c r="X292" i="5"/>
  <c r="Z343" i="5"/>
  <c r="V361" i="5"/>
  <c r="AR384" i="5"/>
  <c r="X384" i="5"/>
  <c r="AQ384" i="5"/>
  <c r="W384" i="5"/>
  <c r="AP384" i="5"/>
  <c r="V384" i="5"/>
  <c r="AG384" i="5"/>
  <c r="AF384" i="5"/>
  <c r="AE384" i="5"/>
  <c r="AD384" i="5"/>
  <c r="AL384" i="5"/>
  <c r="AK384" i="5"/>
  <c r="AJ384" i="5"/>
  <c r="AY384" i="5"/>
  <c r="R384" i="5"/>
  <c r="AW384" i="5"/>
  <c r="Y384" i="5"/>
  <c r="T401" i="5"/>
  <c r="AU401" i="5" s="1"/>
  <c r="AY412" i="5"/>
  <c r="AH412" i="5"/>
  <c r="AT412" i="5"/>
  <c r="Y412" i="5"/>
  <c r="AS412" i="5"/>
  <c r="X412" i="5"/>
  <c r="AR412" i="5"/>
  <c r="W412" i="5"/>
  <c r="AO412" i="5"/>
  <c r="AM412" i="5"/>
  <c r="AF412" i="5"/>
  <c r="AE412" i="5"/>
  <c r="AD412" i="5"/>
  <c r="AC412" i="5"/>
  <c r="AQ412" i="5"/>
  <c r="V412" i="5"/>
  <c r="T412" i="5"/>
  <c r="AU412" i="5" s="1"/>
  <c r="S412" i="5"/>
  <c r="AA412" i="5"/>
  <c r="V421" i="5"/>
  <c r="AD429" i="5"/>
  <c r="AV437" i="5"/>
  <c r="AX437" i="5"/>
  <c r="AJ312" i="5"/>
  <c r="AI312" i="5"/>
  <c r="AW312" i="5"/>
  <c r="AA312" i="5"/>
  <c r="Z312" i="5"/>
  <c r="Y312" i="5"/>
  <c r="AT312" i="5"/>
  <c r="X312" i="5"/>
  <c r="AR312" i="5"/>
  <c r="R312" i="5"/>
  <c r="AQ312" i="5"/>
  <c r="AP312" i="5"/>
  <c r="AO312" i="5"/>
  <c r="AM312" i="5"/>
  <c r="AL312" i="5"/>
  <c r="V312" i="5"/>
  <c r="AW329" i="5"/>
  <c r="AC329" i="5"/>
  <c r="AB329" i="5"/>
  <c r="AM329" i="5"/>
  <c r="AL329" i="5"/>
  <c r="AK329" i="5"/>
  <c r="AJ329" i="5"/>
  <c r="AP329" i="5"/>
  <c r="AO329" i="5"/>
  <c r="AN329" i="5"/>
  <c r="S329" i="5"/>
  <c r="AT329" i="5"/>
  <c r="AS329" i="5"/>
  <c r="V329" i="5"/>
  <c r="W42" i="5"/>
  <c r="AN43" i="5"/>
  <c r="T43" i="5"/>
  <c r="AU43" i="5" s="1"/>
  <c r="AM43" i="5"/>
  <c r="S43" i="5"/>
  <c r="AL43" i="5"/>
  <c r="R43" i="5"/>
  <c r="AD43" i="5"/>
  <c r="AY43" i="5"/>
  <c r="AB43" i="5"/>
  <c r="AA43" i="5"/>
  <c r="X43" i="5"/>
  <c r="AW44" i="5"/>
  <c r="AC44" i="5"/>
  <c r="AB44" i="5"/>
  <c r="AA44" i="5"/>
  <c r="AS44" i="5"/>
  <c r="V44" i="5"/>
  <c r="AQ44" i="5"/>
  <c r="T44" i="5"/>
  <c r="AU44" i="5" s="1"/>
  <c r="AP44" i="5"/>
  <c r="S44" i="5"/>
  <c r="X44" i="5"/>
  <c r="Z68" i="5"/>
  <c r="AH69" i="5"/>
  <c r="AG69" i="5"/>
  <c r="AF69" i="5"/>
  <c r="AY69" i="5"/>
  <c r="AB69" i="5"/>
  <c r="AW69" i="5"/>
  <c r="Z69" i="5"/>
  <c r="Y69" i="5"/>
  <c r="U69" i="5"/>
  <c r="AJ87" i="5"/>
  <c r="AI87" i="5"/>
  <c r="AH87" i="5"/>
  <c r="AN87" i="5"/>
  <c r="AL87" i="5"/>
  <c r="AK87" i="5"/>
  <c r="U87" i="5"/>
  <c r="AU87" i="5"/>
  <c r="AC108" i="5"/>
  <c r="W136" i="5"/>
  <c r="AW136" i="5"/>
  <c r="AY142" i="5"/>
  <c r="AE142" i="5"/>
  <c r="AD142" i="5"/>
  <c r="AW142" i="5"/>
  <c r="AC142" i="5"/>
  <c r="AI142" i="5"/>
  <c r="AG142" i="5"/>
  <c r="AF142" i="5"/>
  <c r="U142" i="5"/>
  <c r="U145" i="5"/>
  <c r="X151" i="5"/>
  <c r="AS168" i="5"/>
  <c r="Y168" i="5"/>
  <c r="AR168" i="5"/>
  <c r="X168" i="5"/>
  <c r="AQ168" i="5"/>
  <c r="W168" i="5"/>
  <c r="AJ168" i="5"/>
  <c r="AH168" i="5"/>
  <c r="AG168" i="5"/>
  <c r="U168" i="5"/>
  <c r="AA183" i="5"/>
  <c r="U185" i="5"/>
  <c r="AS208" i="5"/>
  <c r="Y208" i="5"/>
  <c r="AR208" i="5"/>
  <c r="X208" i="5"/>
  <c r="AQ208" i="5"/>
  <c r="W208" i="5"/>
  <c r="AY208" i="5"/>
  <c r="AB208" i="5"/>
  <c r="AW208" i="5"/>
  <c r="Z208" i="5"/>
  <c r="V208" i="5"/>
  <c r="U208" i="5"/>
  <c r="AY215" i="5"/>
  <c r="U216" i="5"/>
  <c r="AB240" i="5"/>
  <c r="AU240" i="5"/>
  <c r="AA240" i="5"/>
  <c r="AT240" i="5"/>
  <c r="Z240" i="5"/>
  <c r="AS240" i="5"/>
  <c r="Y240" i="5"/>
  <c r="AH240" i="5"/>
  <c r="AG240" i="5"/>
  <c r="AF240" i="5"/>
  <c r="AQ240" i="5"/>
  <c r="AO240" i="5"/>
  <c r="AN240" i="5"/>
  <c r="U240" i="5"/>
  <c r="W283" i="5"/>
  <c r="AC292" i="5"/>
  <c r="T311" i="5"/>
  <c r="W312" i="5"/>
  <c r="W329" i="5"/>
  <c r="AF343" i="5"/>
  <c r="X361" i="5"/>
  <c r="AA384" i="5"/>
  <c r="AG412" i="5"/>
  <c r="AW414" i="5"/>
  <c r="AC414" i="5"/>
  <c r="AJ414" i="5"/>
  <c r="AD414" i="5"/>
  <c r="AY414" i="5"/>
  <c r="AB414" i="5"/>
  <c r="AA414" i="5"/>
  <c r="AH414" i="5"/>
  <c r="AF414" i="5"/>
  <c r="Z414" i="5"/>
  <c r="Y414" i="5"/>
  <c r="X414" i="5"/>
  <c r="W414" i="5"/>
  <c r="T414" i="5"/>
  <c r="AU414" i="5" s="1"/>
  <c r="S414" i="5"/>
  <c r="R414" i="5"/>
  <c r="AT414" i="5"/>
  <c r="AS414" i="5"/>
  <c r="AG414" i="5"/>
  <c r="X421" i="5"/>
  <c r="AM429" i="5"/>
  <c r="T12" i="5"/>
  <c r="AU12" i="5" s="1"/>
  <c r="AE12" i="5"/>
  <c r="AG20" i="5"/>
  <c r="AY20" i="5"/>
  <c r="AE20" i="5"/>
  <c r="Y20" i="5" s="1"/>
  <c r="R20" i="5" s="1"/>
  <c r="AL32" i="5"/>
  <c r="AK20" i="5"/>
  <c r="X42" i="5"/>
  <c r="AA68" i="5"/>
  <c r="AT77" i="5"/>
  <c r="Z77" i="5"/>
  <c r="AS77" i="5"/>
  <c r="Y77" i="5"/>
  <c r="AR77" i="5"/>
  <c r="X77" i="5"/>
  <c r="AO77" i="5"/>
  <c r="R77" i="5"/>
  <c r="AM77" i="5"/>
  <c r="AL77" i="5"/>
  <c r="V77" i="5"/>
  <c r="AY77" i="5"/>
  <c r="AA86" i="5"/>
  <c r="AT86" i="5"/>
  <c r="Z86" i="5"/>
  <c r="AS86" i="5"/>
  <c r="Y86" i="5"/>
  <c r="V86" i="5"/>
  <c r="AQ86" i="5"/>
  <c r="T86" i="5"/>
  <c r="AU86" i="5" s="1"/>
  <c r="AP86" i="5"/>
  <c r="S86" i="5"/>
  <c r="X86" i="5"/>
  <c r="AD108" i="5"/>
  <c r="X136" i="5"/>
  <c r="AL145" i="5"/>
  <c r="R145" i="5"/>
  <c r="AK145" i="5"/>
  <c r="AJ145" i="5"/>
  <c r="AO145" i="5"/>
  <c r="AM145" i="5"/>
  <c r="AI145" i="5"/>
  <c r="V145" i="5"/>
  <c r="Y151" i="5"/>
  <c r="AK176" i="5"/>
  <c r="AJ176" i="5"/>
  <c r="AI176" i="5"/>
  <c r="AW176" i="5"/>
  <c r="Z176" i="5"/>
  <c r="X176" i="5"/>
  <c r="AT176" i="5"/>
  <c r="W176" i="5"/>
  <c r="U176" i="5"/>
  <c r="AB183" i="5"/>
  <c r="AL185" i="5"/>
  <c r="R185" i="5"/>
  <c r="AK185" i="5"/>
  <c r="AJ185" i="5"/>
  <c r="AD185" i="5"/>
  <c r="AY185" i="5"/>
  <c r="AB185" i="5"/>
  <c r="AA185" i="5"/>
  <c r="V185" i="5"/>
  <c r="AK216" i="5"/>
  <c r="AJ216" i="5"/>
  <c r="AI216" i="5"/>
  <c r="AO216" i="5"/>
  <c r="R216" i="5"/>
  <c r="AM216" i="5"/>
  <c r="AL216" i="5"/>
  <c r="V216" i="5"/>
  <c r="AT282" i="5"/>
  <c r="Z282" i="5"/>
  <c r="AS282" i="5"/>
  <c r="Y282" i="5"/>
  <c r="AR282" i="5"/>
  <c r="X282" i="5"/>
  <c r="AQ282" i="5"/>
  <c r="W282" i="5"/>
  <c r="AJ282" i="5"/>
  <c r="AI282" i="5"/>
  <c r="AH282" i="5"/>
  <c r="AL282" i="5"/>
  <c r="AG282" i="5"/>
  <c r="AF282" i="5"/>
  <c r="U282" i="5"/>
  <c r="X283" i="5"/>
  <c r="AD292" i="5"/>
  <c r="AI303" i="5"/>
  <c r="AH303" i="5"/>
  <c r="AG303" i="5"/>
  <c r="AF303" i="5"/>
  <c r="AM303" i="5"/>
  <c r="AL303" i="5"/>
  <c r="AK303" i="5"/>
  <c r="AB303" i="5"/>
  <c r="Z303" i="5"/>
  <c r="Y303" i="5"/>
  <c r="U303" i="5"/>
  <c r="AY303" i="5"/>
  <c r="AB312" i="5"/>
  <c r="X329" i="5"/>
  <c r="AG343" i="5"/>
  <c r="Y361" i="5"/>
  <c r="AR364" i="5"/>
  <c r="X364" i="5"/>
  <c r="AQ364" i="5"/>
  <c r="W364" i="5"/>
  <c r="AP364" i="5"/>
  <c r="V364" i="5"/>
  <c r="AI364" i="5"/>
  <c r="AH364" i="5"/>
  <c r="AG364" i="5"/>
  <c r="AF364" i="5"/>
  <c r="AD364" i="5"/>
  <c r="AC364" i="5"/>
  <c r="AB364" i="5"/>
  <c r="AW364" i="5"/>
  <c r="AT364" i="5"/>
  <c r="U364" i="5"/>
  <c r="AB384" i="5"/>
  <c r="AL390" i="5"/>
  <c r="R390" i="5"/>
  <c r="AK390" i="5"/>
  <c r="AJ390" i="5"/>
  <c r="AN390" i="5"/>
  <c r="AM390" i="5"/>
  <c r="AI390" i="5"/>
  <c r="AH390" i="5"/>
  <c r="AA390" i="5"/>
  <c r="Z390" i="5"/>
  <c r="Y390" i="5"/>
  <c r="AC390" i="5"/>
  <c r="X390" i="5"/>
  <c r="W390" i="5"/>
  <c r="V390" i="5"/>
  <c r="AI412" i="5"/>
  <c r="Y421" i="5"/>
  <c r="AQ429" i="5"/>
  <c r="AG60" i="5"/>
  <c r="AF60" i="5"/>
  <c r="AY60" i="5"/>
  <c r="AE60" i="5"/>
  <c r="U60" i="5"/>
  <c r="AR60" i="5"/>
  <c r="AY82" i="5"/>
  <c r="AE82" i="5"/>
  <c r="AD82" i="5"/>
  <c r="AW82" i="5"/>
  <c r="AC82" i="5"/>
  <c r="U82" i="5"/>
  <c r="AR82" i="5"/>
  <c r="AH89" i="5"/>
  <c r="AG89" i="5"/>
  <c r="AF89" i="5"/>
  <c r="U89" i="5"/>
  <c r="AR89" i="5"/>
  <c r="AG160" i="5"/>
  <c r="AF160" i="5"/>
  <c r="AY160" i="5"/>
  <c r="AE160" i="5"/>
  <c r="U160" i="5"/>
  <c r="AR160" i="5"/>
  <c r="AY182" i="5"/>
  <c r="AE182" i="5"/>
  <c r="AD182" i="5"/>
  <c r="AW182" i="5"/>
  <c r="AC182" i="5"/>
  <c r="U182" i="5"/>
  <c r="AR182" i="5"/>
  <c r="AH189" i="5"/>
  <c r="AG189" i="5"/>
  <c r="AF189" i="5"/>
  <c r="U189" i="5"/>
  <c r="AR189" i="5"/>
  <c r="AJ252" i="5"/>
  <c r="AI252" i="5"/>
  <c r="AH252" i="5"/>
  <c r="AG252" i="5"/>
  <c r="AN252" i="5"/>
  <c r="AM252" i="5"/>
  <c r="AL252" i="5"/>
  <c r="U252" i="5"/>
  <c r="AT262" i="5"/>
  <c r="Z262" i="5"/>
  <c r="AS262" i="5"/>
  <c r="Y262" i="5"/>
  <c r="AR262" i="5"/>
  <c r="X262" i="5"/>
  <c r="AQ262" i="5"/>
  <c r="W262" i="5"/>
  <c r="AD262" i="5"/>
  <c r="AC262" i="5"/>
  <c r="AB262" i="5"/>
  <c r="U262" i="5"/>
  <c r="AT322" i="5"/>
  <c r="Z322" i="5"/>
  <c r="AS322" i="5"/>
  <c r="Y322" i="5"/>
  <c r="AF322" i="5"/>
  <c r="AE322" i="5"/>
  <c r="AD322" i="5"/>
  <c r="AY322" i="5"/>
  <c r="AC322" i="5"/>
  <c r="AP322" i="5"/>
  <c r="AO322" i="5"/>
  <c r="AN322" i="5"/>
  <c r="U322" i="5"/>
  <c r="AU351" i="5"/>
  <c r="AA351" i="5"/>
  <c r="AT351" i="5"/>
  <c r="Z351" i="5"/>
  <c r="AS351" i="5"/>
  <c r="Y351" i="5"/>
  <c r="AJ351" i="5"/>
  <c r="AI351" i="5"/>
  <c r="AH351" i="5"/>
  <c r="AG351" i="5"/>
  <c r="X351" i="5"/>
  <c r="W351" i="5"/>
  <c r="V351" i="5"/>
  <c r="U351" i="5"/>
  <c r="AA371" i="5"/>
  <c r="AT371" i="5"/>
  <c r="Z371" i="5"/>
  <c r="AS371" i="5"/>
  <c r="Y371" i="5"/>
  <c r="AH371" i="5"/>
  <c r="AG371" i="5"/>
  <c r="AF371" i="5"/>
  <c r="AE371" i="5"/>
  <c r="AO371" i="5"/>
  <c r="AN371" i="5"/>
  <c r="AM371" i="5"/>
  <c r="U371" i="5"/>
  <c r="AB425" i="5"/>
  <c r="AH425" i="5"/>
  <c r="Y425" i="5"/>
  <c r="AT425" i="5"/>
  <c r="X425" i="5"/>
  <c r="AS425" i="5"/>
  <c r="W425" i="5"/>
  <c r="AJ425" i="5"/>
  <c r="AI425" i="5"/>
  <c r="AG425" i="5"/>
  <c r="AD425" i="5"/>
  <c r="AC425" i="5"/>
  <c r="AA425" i="5"/>
  <c r="Z425" i="5"/>
  <c r="R425" i="5"/>
  <c r="V425" i="5"/>
  <c r="S38" i="5"/>
  <c r="U54" i="5"/>
  <c r="V60" i="5"/>
  <c r="AS60" i="5"/>
  <c r="AN63" i="5"/>
  <c r="T63" i="5"/>
  <c r="AU63" i="5" s="1"/>
  <c r="AM63" i="5"/>
  <c r="S63" i="5"/>
  <c r="AL63" i="5"/>
  <c r="R63" i="5"/>
  <c r="X63" i="5"/>
  <c r="S67" i="5"/>
  <c r="V82" i="5"/>
  <c r="AS82" i="5"/>
  <c r="V89" i="5"/>
  <c r="AS89" i="5"/>
  <c r="S99" i="5"/>
  <c r="AB115" i="5"/>
  <c r="AA115" i="5"/>
  <c r="AT115" i="5"/>
  <c r="Z115" i="5"/>
  <c r="U115" i="5"/>
  <c r="AR115" i="5"/>
  <c r="T125" i="5"/>
  <c r="AU125" i="5" s="1"/>
  <c r="S128" i="5"/>
  <c r="AF131" i="5"/>
  <c r="AY131" i="5"/>
  <c r="AE131" i="5"/>
  <c r="AD131" i="5"/>
  <c r="U131" i="5"/>
  <c r="AR131" i="5"/>
  <c r="S138" i="5"/>
  <c r="U154" i="5"/>
  <c r="V160" i="5"/>
  <c r="AS160" i="5"/>
  <c r="AN163" i="5"/>
  <c r="T163" i="5"/>
  <c r="AU163" i="5" s="1"/>
  <c r="AM163" i="5"/>
  <c r="S163" i="5"/>
  <c r="AL163" i="5"/>
  <c r="R163" i="5"/>
  <c r="X163" i="5"/>
  <c r="S167" i="5"/>
  <c r="V182" i="5"/>
  <c r="AS182" i="5"/>
  <c r="V189" i="5"/>
  <c r="AS189" i="5"/>
  <c r="S199" i="5"/>
  <c r="AB215" i="5"/>
  <c r="AA215" i="5"/>
  <c r="AT215" i="5"/>
  <c r="Z215" i="5"/>
  <c r="U215" i="5"/>
  <c r="AR215" i="5"/>
  <c r="T225" i="5"/>
  <c r="AU225" i="5" s="1"/>
  <c r="S228" i="5"/>
  <c r="AT231" i="5"/>
  <c r="Z231" i="5"/>
  <c r="AS231" i="5"/>
  <c r="Y231" i="5"/>
  <c r="AH231" i="5"/>
  <c r="AG231" i="5"/>
  <c r="AF231" i="5"/>
  <c r="U231" i="5"/>
  <c r="AY247" i="5"/>
  <c r="AE247" i="5"/>
  <c r="AD247" i="5"/>
  <c r="AW247" i="5"/>
  <c r="AC247" i="5"/>
  <c r="AB247" i="5"/>
  <c r="AM247" i="5"/>
  <c r="AL247" i="5"/>
  <c r="AK247" i="5"/>
  <c r="U247" i="5"/>
  <c r="AN248" i="5"/>
  <c r="T248" i="5"/>
  <c r="AU248" i="5" s="1"/>
  <c r="AM248" i="5"/>
  <c r="S248" i="5"/>
  <c r="AL248" i="5"/>
  <c r="R248" i="5"/>
  <c r="AK248" i="5"/>
  <c r="AI248" i="5"/>
  <c r="AH248" i="5"/>
  <c r="AG248" i="5"/>
  <c r="X248" i="5"/>
  <c r="AY248" i="5"/>
  <c r="V252" i="5"/>
  <c r="AW252" i="5"/>
  <c r="V262" i="5"/>
  <c r="S305" i="5"/>
  <c r="V322" i="5"/>
  <c r="AB351" i="5"/>
  <c r="AL370" i="5"/>
  <c r="R370" i="5"/>
  <c r="AK370" i="5"/>
  <c r="AJ370" i="5"/>
  <c r="AP370" i="5"/>
  <c r="S370" i="5"/>
  <c r="AO370" i="5"/>
  <c r="AN370" i="5"/>
  <c r="AM370" i="5"/>
  <c r="AS370" i="5"/>
  <c r="AR370" i="5"/>
  <c r="AQ370" i="5"/>
  <c r="W370" i="5"/>
  <c r="V371" i="5"/>
  <c r="AG405" i="5"/>
  <c r="AF405" i="5"/>
  <c r="AY405" i="5"/>
  <c r="AE405" i="5"/>
  <c r="AN405" i="5"/>
  <c r="AL405" i="5"/>
  <c r="AM405" i="5"/>
  <c r="AK405" i="5"/>
  <c r="AJ405" i="5"/>
  <c r="AI405" i="5"/>
  <c r="Y405" i="5"/>
  <c r="X405" i="5"/>
  <c r="W405" i="5"/>
  <c r="U405" i="5"/>
  <c r="AE425" i="5"/>
  <c r="AU428" i="5"/>
  <c r="AY428" i="5"/>
  <c r="AF461" i="5"/>
  <c r="AN461" i="5"/>
  <c r="S461" i="5"/>
  <c r="AM461" i="5"/>
  <c r="R461" i="5"/>
  <c r="AW461" i="5"/>
  <c r="Z461" i="5"/>
  <c r="Y461" i="5"/>
  <c r="X461" i="5"/>
  <c r="AE461" i="5"/>
  <c r="AD461" i="5"/>
  <c r="AC461" i="5"/>
  <c r="AB461" i="5"/>
  <c r="AI461" i="5"/>
  <c r="AH461" i="5"/>
  <c r="AG461" i="5"/>
  <c r="AA461" i="5"/>
  <c r="AS461" i="5"/>
  <c r="AR461" i="5"/>
  <c r="AP461" i="5"/>
  <c r="AY461" i="5"/>
  <c r="AT461" i="5"/>
  <c r="W461" i="5"/>
  <c r="AI38" i="5"/>
  <c r="AH38" i="5"/>
  <c r="AG38" i="5"/>
  <c r="U38" i="5"/>
  <c r="AR38" i="5"/>
  <c r="AM54" i="5"/>
  <c r="S54" i="5"/>
  <c r="AL54" i="5"/>
  <c r="R54" i="5"/>
  <c r="AK54" i="5"/>
  <c r="W54" i="5"/>
  <c r="AT54" i="5"/>
  <c r="X60" i="5"/>
  <c r="AU60" i="5"/>
  <c r="Z63" i="5"/>
  <c r="AW63" i="5"/>
  <c r="AJ67" i="5"/>
  <c r="AI67" i="5"/>
  <c r="AH67" i="5"/>
  <c r="U67" i="5"/>
  <c r="AR67" i="5"/>
  <c r="X82" i="5"/>
  <c r="AU82" i="5"/>
  <c r="X89" i="5"/>
  <c r="AR99" i="5"/>
  <c r="X99" i="5"/>
  <c r="AQ99" i="5"/>
  <c r="W99" i="5"/>
  <c r="AP99" i="5"/>
  <c r="V99" i="5"/>
  <c r="U99" i="5"/>
  <c r="AU99" i="5"/>
  <c r="AL125" i="5"/>
  <c r="R125" i="5"/>
  <c r="AK125" i="5"/>
  <c r="AJ125" i="5"/>
  <c r="V125" i="5"/>
  <c r="AS125" i="5"/>
  <c r="AS128" i="5"/>
  <c r="Y128" i="5"/>
  <c r="AR128" i="5"/>
  <c r="X128" i="5"/>
  <c r="AQ128" i="5"/>
  <c r="W128" i="5"/>
  <c r="U128" i="5"/>
  <c r="AI138" i="5"/>
  <c r="AH138" i="5"/>
  <c r="AG138" i="5"/>
  <c r="U138" i="5"/>
  <c r="AR138" i="5"/>
  <c r="AM154" i="5"/>
  <c r="S154" i="5"/>
  <c r="AL154" i="5"/>
  <c r="R154" i="5"/>
  <c r="AK154" i="5"/>
  <c r="W154" i="5"/>
  <c r="AT154" i="5"/>
  <c r="X160" i="5"/>
  <c r="AU160" i="5"/>
  <c r="Z163" i="5"/>
  <c r="AW163" i="5"/>
  <c r="AJ167" i="5"/>
  <c r="AI167" i="5"/>
  <c r="AH167" i="5"/>
  <c r="U167" i="5"/>
  <c r="AR167" i="5"/>
  <c r="X182" i="5"/>
  <c r="X189" i="5"/>
  <c r="AU189" i="5"/>
  <c r="AR199" i="5"/>
  <c r="X199" i="5"/>
  <c r="AQ199" i="5"/>
  <c r="W199" i="5"/>
  <c r="AP199" i="5"/>
  <c r="V199" i="5"/>
  <c r="U199" i="5"/>
  <c r="AL225" i="5"/>
  <c r="R225" i="5"/>
  <c r="AK225" i="5"/>
  <c r="AJ225" i="5"/>
  <c r="V225" i="5"/>
  <c r="AS225" i="5"/>
  <c r="AS228" i="5"/>
  <c r="Y228" i="5"/>
  <c r="AR228" i="5"/>
  <c r="X228" i="5"/>
  <c r="AQ228" i="5"/>
  <c r="W228" i="5"/>
  <c r="U228" i="5"/>
  <c r="W231" i="5"/>
  <c r="X252" i="5"/>
  <c r="AY252" i="5"/>
  <c r="AE262" i="5"/>
  <c r="AG305" i="5"/>
  <c r="AF305" i="5"/>
  <c r="AY305" i="5"/>
  <c r="AE305" i="5"/>
  <c r="AD305" i="5"/>
  <c r="AW305" i="5"/>
  <c r="Y305" i="5"/>
  <c r="X305" i="5"/>
  <c r="AU305" i="5"/>
  <c r="W305" i="5"/>
  <c r="U305" i="5"/>
  <c r="X322" i="5"/>
  <c r="AL350" i="5"/>
  <c r="R350" i="5"/>
  <c r="AK350" i="5"/>
  <c r="AJ350" i="5"/>
  <c r="AR350" i="5"/>
  <c r="U350" i="5"/>
  <c r="AQ350" i="5"/>
  <c r="T350" i="5"/>
  <c r="AU350" i="5" s="1"/>
  <c r="AP350" i="5"/>
  <c r="S350" i="5"/>
  <c r="AO350" i="5"/>
  <c r="AB350" i="5"/>
  <c r="AA350" i="5"/>
  <c r="Z350" i="5"/>
  <c r="Y350" i="5"/>
  <c r="AD351" i="5"/>
  <c r="AN368" i="5"/>
  <c r="T368" i="5"/>
  <c r="AU368" i="5" s="1"/>
  <c r="AM368" i="5"/>
  <c r="S368" i="5"/>
  <c r="AL368" i="5"/>
  <c r="R368" i="5"/>
  <c r="AE368" i="5"/>
  <c r="AD368" i="5"/>
  <c r="AC368" i="5"/>
  <c r="AY368" i="5"/>
  <c r="AB368" i="5"/>
  <c r="AW368" i="5"/>
  <c r="V368" i="5"/>
  <c r="U368" i="5"/>
  <c r="Z368" i="5"/>
  <c r="Y370" i="5"/>
  <c r="X371" i="5"/>
  <c r="AK425" i="5"/>
  <c r="AT447" i="5"/>
  <c r="Z447" i="5"/>
  <c r="AC447" i="5"/>
  <c r="AJ447" i="5"/>
  <c r="AI447" i="5"/>
  <c r="AH447" i="5"/>
  <c r="AD447" i="5"/>
  <c r="AB447" i="5"/>
  <c r="AA447" i="5"/>
  <c r="Y447" i="5"/>
  <c r="AW447" i="5"/>
  <c r="S447" i="5"/>
  <c r="R447" i="5"/>
  <c r="AS447" i="5"/>
  <c r="T447" i="5"/>
  <c r="AU447" i="5" s="1"/>
  <c r="AY447" i="5"/>
  <c r="AR447" i="5"/>
  <c r="X447" i="5"/>
  <c r="AR480" i="5"/>
  <c r="X480" i="5"/>
  <c r="AJ480" i="5"/>
  <c r="AH480" i="5"/>
  <c r="AG480" i="5"/>
  <c r="AF480" i="5"/>
  <c r="AS480" i="5"/>
  <c r="S480" i="5"/>
  <c r="AQ480" i="5"/>
  <c r="R480" i="5"/>
  <c r="AP480" i="5"/>
  <c r="AW480" i="5"/>
  <c r="T480" i="5"/>
  <c r="AU480" i="5" s="1"/>
  <c r="AT480" i="5"/>
  <c r="AO480" i="5"/>
  <c r="AN480" i="5"/>
  <c r="AM480" i="5"/>
  <c r="W480" i="5"/>
  <c r="V480" i="5"/>
  <c r="U480" i="5"/>
  <c r="AL480" i="5"/>
  <c r="AB480" i="5"/>
  <c r="U50" i="5"/>
  <c r="AO50" i="5"/>
  <c r="U70" i="5"/>
  <c r="AO70" i="5"/>
  <c r="U90" i="5"/>
  <c r="AO90" i="5"/>
  <c r="U110" i="5"/>
  <c r="AO110" i="5"/>
  <c r="U130" i="5"/>
  <c r="AO130" i="5"/>
  <c r="U150" i="5"/>
  <c r="AO150" i="5"/>
  <c r="U170" i="5"/>
  <c r="AO170" i="5"/>
  <c r="U190" i="5"/>
  <c r="AO190" i="5"/>
  <c r="U210" i="5"/>
  <c r="AO210" i="5"/>
  <c r="U230" i="5"/>
  <c r="AO230" i="5"/>
  <c r="AI263" i="5"/>
  <c r="AH263" i="5"/>
  <c r="AG263" i="5"/>
  <c r="AF263" i="5"/>
  <c r="U263" i="5"/>
  <c r="AS263" i="5"/>
  <c r="AS333" i="5"/>
  <c r="Y333" i="5"/>
  <c r="AR333" i="5"/>
  <c r="X333" i="5"/>
  <c r="AB333" i="5"/>
  <c r="AW333" i="5"/>
  <c r="AA333" i="5"/>
  <c r="Z333" i="5"/>
  <c r="W333" i="5"/>
  <c r="U333" i="5"/>
  <c r="AK341" i="5"/>
  <c r="AJ341" i="5"/>
  <c r="AW341" i="5"/>
  <c r="AA341" i="5"/>
  <c r="Z341" i="5"/>
  <c r="AU341" i="5"/>
  <c r="Y341" i="5"/>
  <c r="AT341" i="5"/>
  <c r="X341" i="5"/>
  <c r="U341" i="5"/>
  <c r="AY341" i="5"/>
  <c r="AJ352" i="5"/>
  <c r="AI352" i="5"/>
  <c r="AH352" i="5"/>
  <c r="AY352" i="5"/>
  <c r="AB352" i="5"/>
  <c r="AA352" i="5"/>
  <c r="AW352" i="5"/>
  <c r="Z352" i="5"/>
  <c r="Y352" i="5"/>
  <c r="U352" i="5"/>
  <c r="AS353" i="5"/>
  <c r="Y353" i="5"/>
  <c r="AR353" i="5"/>
  <c r="X353" i="5"/>
  <c r="AQ353" i="5"/>
  <c r="W353" i="5"/>
  <c r="AT353" i="5"/>
  <c r="T353" i="5"/>
  <c r="AU353" i="5" s="1"/>
  <c r="AP353" i="5"/>
  <c r="S353" i="5"/>
  <c r="AO353" i="5"/>
  <c r="R353" i="5"/>
  <c r="AN353" i="5"/>
  <c r="AA353" i="5"/>
  <c r="AN388" i="5"/>
  <c r="T388" i="5"/>
  <c r="AU388" i="5" s="1"/>
  <c r="AM388" i="5"/>
  <c r="S388" i="5"/>
  <c r="AL388" i="5"/>
  <c r="R388" i="5"/>
  <c r="AC388" i="5"/>
  <c r="AY388" i="5"/>
  <c r="AB388" i="5"/>
  <c r="AA388" i="5"/>
  <c r="AW388" i="5"/>
  <c r="Z388" i="5"/>
  <c r="X388" i="5"/>
  <c r="AA391" i="5"/>
  <c r="AT391" i="5"/>
  <c r="Z391" i="5"/>
  <c r="AS391" i="5"/>
  <c r="Y391" i="5"/>
  <c r="AF391" i="5"/>
  <c r="AE391" i="5"/>
  <c r="AD391" i="5"/>
  <c r="AC391" i="5"/>
  <c r="U391" i="5"/>
  <c r="AY391" i="5"/>
  <c r="AK426" i="5"/>
  <c r="AS426" i="5"/>
  <c r="X426" i="5"/>
  <c r="AM426" i="5"/>
  <c r="AL426" i="5"/>
  <c r="AJ426" i="5"/>
  <c r="AD426" i="5"/>
  <c r="AC426" i="5"/>
  <c r="AB426" i="5"/>
  <c r="AE426" i="5"/>
  <c r="AA426" i="5"/>
  <c r="Z426" i="5"/>
  <c r="Y426" i="5"/>
  <c r="U426" i="5"/>
  <c r="AQ440" i="5"/>
  <c r="W440" i="5"/>
  <c r="AH440" i="5"/>
  <c r="AD440" i="5"/>
  <c r="AY440" i="5"/>
  <c r="AC440" i="5"/>
  <c r="AB440" i="5"/>
  <c r="AP440" i="5"/>
  <c r="AO440" i="5"/>
  <c r="AN440" i="5"/>
  <c r="AM440" i="5"/>
  <c r="AF440" i="5"/>
  <c r="AE440" i="5"/>
  <c r="AA440" i="5"/>
  <c r="Z440" i="5"/>
  <c r="AS440" i="5"/>
  <c r="AR440" i="5"/>
  <c r="U440" i="5"/>
  <c r="AY483" i="5"/>
  <c r="AE483" i="5"/>
  <c r="AA483" i="5"/>
  <c r="AD483" i="5"/>
  <c r="AC483" i="5"/>
  <c r="AB483" i="5"/>
  <c r="AF483" i="5"/>
  <c r="Z483" i="5"/>
  <c r="Y483" i="5"/>
  <c r="AS483" i="5"/>
  <c r="AW483" i="5"/>
  <c r="S483" i="5"/>
  <c r="R483" i="5"/>
  <c r="AT483" i="5"/>
  <c r="AR483" i="5"/>
  <c r="U483" i="5"/>
  <c r="T483" i="5"/>
  <c r="AU483" i="5" s="1"/>
  <c r="AI483" i="5"/>
  <c r="AH483" i="5"/>
  <c r="X483" i="5"/>
  <c r="AJ483" i="5"/>
  <c r="U41" i="5"/>
  <c r="V50" i="5"/>
  <c r="AP50" i="5"/>
  <c r="T52" i="5"/>
  <c r="AU52" i="5" s="1"/>
  <c r="AN52" i="5"/>
  <c r="U61" i="5"/>
  <c r="V70" i="5"/>
  <c r="AP70" i="5"/>
  <c r="T72" i="5"/>
  <c r="AU72" i="5" s="1"/>
  <c r="AN72" i="5"/>
  <c r="U81" i="5"/>
  <c r="V90" i="5"/>
  <c r="AP90" i="5"/>
  <c r="T92" i="5"/>
  <c r="AN92" i="5"/>
  <c r="U101" i="5"/>
  <c r="V110" i="5"/>
  <c r="AP110" i="5"/>
  <c r="T112" i="5"/>
  <c r="AU112" i="5" s="1"/>
  <c r="AN112" i="5"/>
  <c r="U121" i="5"/>
  <c r="V130" i="5"/>
  <c r="AP130" i="5"/>
  <c r="T132" i="5"/>
  <c r="AU132" i="5" s="1"/>
  <c r="AN132" i="5"/>
  <c r="U141" i="5"/>
  <c r="V150" i="5"/>
  <c r="AP150" i="5"/>
  <c r="T152" i="5"/>
  <c r="AU152" i="5" s="1"/>
  <c r="AN152" i="5"/>
  <c r="U161" i="5"/>
  <c r="V170" i="5"/>
  <c r="AP170" i="5"/>
  <c r="T172" i="5"/>
  <c r="AU172" i="5" s="1"/>
  <c r="AN172" i="5"/>
  <c r="U181" i="5"/>
  <c r="V190" i="5"/>
  <c r="AP190" i="5"/>
  <c r="T192" i="5"/>
  <c r="AU192" i="5" s="1"/>
  <c r="AN192" i="5"/>
  <c r="U201" i="5"/>
  <c r="V210" i="5"/>
  <c r="AP210" i="5"/>
  <c r="T212" i="5"/>
  <c r="AU212" i="5" s="1"/>
  <c r="AN212" i="5"/>
  <c r="U221" i="5"/>
  <c r="V230" i="5"/>
  <c r="AP230" i="5"/>
  <c r="V259" i="5"/>
  <c r="V263" i="5"/>
  <c r="AT263" i="5"/>
  <c r="T267" i="5"/>
  <c r="AU267" i="5" s="1"/>
  <c r="AJ272" i="5"/>
  <c r="AI272" i="5"/>
  <c r="AH272" i="5"/>
  <c r="AG272" i="5"/>
  <c r="U272" i="5"/>
  <c r="AS272" i="5"/>
  <c r="AB280" i="5"/>
  <c r="AA280" i="5"/>
  <c r="AT280" i="5"/>
  <c r="Z280" i="5"/>
  <c r="AS280" i="5"/>
  <c r="Y280" i="5"/>
  <c r="U280" i="5"/>
  <c r="AW280" i="5"/>
  <c r="W318" i="5"/>
  <c r="V333" i="5"/>
  <c r="V341" i="5"/>
  <c r="AT342" i="5"/>
  <c r="Z342" i="5"/>
  <c r="AS342" i="5"/>
  <c r="Y342" i="5"/>
  <c r="AN342" i="5"/>
  <c r="R342" i="5"/>
  <c r="AM342" i="5"/>
  <c r="AL342" i="5"/>
  <c r="AK342" i="5"/>
  <c r="V342" i="5"/>
  <c r="V352" i="5"/>
  <c r="AB353" i="5"/>
  <c r="Y388" i="5"/>
  <c r="V391" i="5"/>
  <c r="AR404" i="5"/>
  <c r="X404" i="5"/>
  <c r="AQ404" i="5"/>
  <c r="W404" i="5"/>
  <c r="AP404" i="5"/>
  <c r="V404" i="5"/>
  <c r="Y404" i="5"/>
  <c r="AT404" i="5"/>
  <c r="T404" i="5"/>
  <c r="AU404" i="5" s="1"/>
  <c r="AO404" i="5"/>
  <c r="AN404" i="5"/>
  <c r="AM404" i="5"/>
  <c r="AL404" i="5"/>
  <c r="Z404" i="5"/>
  <c r="V426" i="5"/>
  <c r="V440" i="5"/>
  <c r="AM444" i="5"/>
  <c r="S444" i="5"/>
  <c r="AK444" i="5"/>
  <c r="AN444" i="5"/>
  <c r="AL444" i="5"/>
  <c r="AJ444" i="5"/>
  <c r="AT444" i="5"/>
  <c r="U444" i="5"/>
  <c r="AS444" i="5"/>
  <c r="T444" i="5"/>
  <c r="AU444" i="5" s="1"/>
  <c r="AR444" i="5"/>
  <c r="R444" i="5"/>
  <c r="AQ444" i="5"/>
  <c r="X444" i="5"/>
  <c r="W444" i="5"/>
  <c r="AY444" i="5"/>
  <c r="V444" i="5"/>
  <c r="AI444" i="5"/>
  <c r="AH444" i="5"/>
  <c r="AB444" i="5"/>
  <c r="AK483" i="5"/>
  <c r="W50" i="5"/>
  <c r="U52" i="5"/>
  <c r="W70" i="5"/>
  <c r="U72" i="5"/>
  <c r="W90" i="5"/>
  <c r="U92" i="5"/>
  <c r="W110" i="5"/>
  <c r="U112" i="5"/>
  <c r="W130" i="5"/>
  <c r="U132" i="5"/>
  <c r="W150" i="5"/>
  <c r="U152" i="5"/>
  <c r="W170" i="5"/>
  <c r="U172" i="5"/>
  <c r="W190" i="5"/>
  <c r="U192" i="5"/>
  <c r="W210" i="5"/>
  <c r="U212" i="5"/>
  <c r="W230" i="5"/>
  <c r="AM259" i="5"/>
  <c r="S259" i="5"/>
  <c r="AL259" i="5"/>
  <c r="R259" i="5"/>
  <c r="AK259" i="5"/>
  <c r="AJ259" i="5"/>
  <c r="W259" i="5"/>
  <c r="AU259" i="5"/>
  <c r="W263" i="5"/>
  <c r="AU263" i="5"/>
  <c r="AY267" i="5"/>
  <c r="AE267" i="5"/>
  <c r="AD267" i="5"/>
  <c r="AW267" i="5"/>
  <c r="AC267" i="5"/>
  <c r="AB267" i="5"/>
  <c r="U267" i="5"/>
  <c r="AS267" i="5"/>
  <c r="AS293" i="5"/>
  <c r="Y293" i="5"/>
  <c r="AR293" i="5"/>
  <c r="X293" i="5"/>
  <c r="AQ293" i="5"/>
  <c r="W293" i="5"/>
  <c r="AP293" i="5"/>
  <c r="V293" i="5"/>
  <c r="U293" i="5"/>
  <c r="AW293" i="5"/>
  <c r="AU311" i="5"/>
  <c r="AA311" i="5"/>
  <c r="AT311" i="5"/>
  <c r="Z311" i="5"/>
  <c r="AJ311" i="5"/>
  <c r="AI311" i="5"/>
  <c r="AH311" i="5"/>
  <c r="AG311" i="5"/>
  <c r="U311" i="5"/>
  <c r="AW311" i="5"/>
  <c r="AD318" i="5"/>
  <c r="AW318" i="5"/>
  <c r="AC318" i="5"/>
  <c r="AP318" i="5"/>
  <c r="T318" i="5"/>
  <c r="AU318" i="5" s="1"/>
  <c r="AO318" i="5"/>
  <c r="S318" i="5"/>
  <c r="AN318" i="5"/>
  <c r="R318" i="5"/>
  <c r="AM318" i="5"/>
  <c r="X318" i="5"/>
  <c r="AM319" i="5"/>
  <c r="S319" i="5"/>
  <c r="AL319" i="5"/>
  <c r="R319" i="5"/>
  <c r="AI319" i="5"/>
  <c r="AH319" i="5"/>
  <c r="AG319" i="5"/>
  <c r="AF319" i="5"/>
  <c r="W319" i="5"/>
  <c r="AW319" i="5"/>
  <c r="AC333" i="5"/>
  <c r="AQ335" i="5"/>
  <c r="W335" i="5"/>
  <c r="AP335" i="5"/>
  <c r="V335" i="5"/>
  <c r="AF335" i="5"/>
  <c r="AE335" i="5"/>
  <c r="AD335" i="5"/>
  <c r="AY335" i="5"/>
  <c r="AC335" i="5"/>
  <c r="U335" i="5"/>
  <c r="AW335" i="5"/>
  <c r="W341" i="5"/>
  <c r="AW349" i="5"/>
  <c r="AC349" i="5"/>
  <c r="AB349" i="5"/>
  <c r="AA349" i="5"/>
  <c r="AY349" i="5"/>
  <c r="Y349" i="5"/>
  <c r="X349" i="5"/>
  <c r="AT349" i="5"/>
  <c r="W349" i="5"/>
  <c r="AS349" i="5"/>
  <c r="V349" i="5"/>
  <c r="U349" i="5"/>
  <c r="W352" i="5"/>
  <c r="AC353" i="5"/>
  <c r="AD388" i="5"/>
  <c r="W391" i="5"/>
  <c r="AF396" i="5"/>
  <c r="AY396" i="5"/>
  <c r="AE396" i="5"/>
  <c r="AD396" i="5"/>
  <c r="AI396" i="5"/>
  <c r="AG396" i="5"/>
  <c r="Z396" i="5"/>
  <c r="Y396" i="5"/>
  <c r="AW396" i="5"/>
  <c r="X396" i="5"/>
  <c r="W396" i="5"/>
  <c r="U396" i="5"/>
  <c r="W426" i="5"/>
  <c r="X440" i="5"/>
  <c r="AL483" i="5"/>
  <c r="AM464" i="5"/>
  <c r="S464" i="5"/>
  <c r="AF464" i="5"/>
  <c r="AE464" i="5"/>
  <c r="AY464" i="5"/>
  <c r="AD464" i="5"/>
  <c r="AC464" i="5"/>
  <c r="AB464" i="5"/>
  <c r="AA464" i="5"/>
  <c r="T464" i="5"/>
  <c r="AU464" i="5" s="1"/>
  <c r="AT464" i="5"/>
  <c r="R464" i="5"/>
  <c r="AS464" i="5"/>
  <c r="AR464" i="5"/>
  <c r="AN464" i="5"/>
  <c r="AL464" i="5"/>
  <c r="AK464" i="5"/>
  <c r="AJ464" i="5"/>
  <c r="X464" i="5"/>
  <c r="AG481" i="5"/>
  <c r="AU481" i="5"/>
  <c r="Z481" i="5"/>
  <c r="Y481" i="5"/>
  <c r="AT481" i="5"/>
  <c r="X481" i="5"/>
  <c r="AS481" i="5"/>
  <c r="W481" i="5"/>
  <c r="AM481" i="5"/>
  <c r="AL481" i="5"/>
  <c r="AK481" i="5"/>
  <c r="R481" i="5"/>
  <c r="AW481" i="5"/>
  <c r="AR481" i="5"/>
  <c r="AQ481" i="5"/>
  <c r="AP481" i="5"/>
  <c r="AE481" i="5"/>
  <c r="AD481" i="5"/>
  <c r="AC481" i="5"/>
  <c r="AB481" i="5"/>
  <c r="V481" i="5"/>
  <c r="Y464" i="5"/>
  <c r="AA481" i="5"/>
  <c r="U244" i="5"/>
  <c r="AO244" i="5"/>
  <c r="U264" i="5"/>
  <c r="AO264" i="5"/>
  <c r="U284" i="5"/>
  <c r="AO284" i="5"/>
  <c r="U304" i="5"/>
  <c r="AO304" i="5"/>
  <c r="AN328" i="5"/>
  <c r="T328" i="5"/>
  <c r="AU328" i="5" s="1"/>
  <c r="AM328" i="5"/>
  <c r="S328" i="5"/>
  <c r="W328" i="5"/>
  <c r="AS328" i="5"/>
  <c r="AM359" i="5"/>
  <c r="S359" i="5"/>
  <c r="AL359" i="5"/>
  <c r="R359" i="5"/>
  <c r="AK359" i="5"/>
  <c r="W359" i="5"/>
  <c r="AT359" i="5"/>
  <c r="AJ392" i="5"/>
  <c r="AI392" i="5"/>
  <c r="AH392" i="5"/>
  <c r="AO392" i="5"/>
  <c r="R392" i="5"/>
  <c r="V392" i="5"/>
  <c r="AT392" i="5"/>
  <c r="AT402" i="5"/>
  <c r="Z402" i="5"/>
  <c r="AS402" i="5"/>
  <c r="Y402" i="5"/>
  <c r="AR402" i="5"/>
  <c r="X402" i="5"/>
  <c r="AL402" i="5"/>
  <c r="AJ402" i="5"/>
  <c r="U402" i="5"/>
  <c r="AW402" i="5"/>
  <c r="AP431" i="5"/>
  <c r="V431" i="5"/>
  <c r="AK431" i="5"/>
  <c r="AM431" i="5"/>
  <c r="AL431" i="5"/>
  <c r="AJ431" i="5"/>
  <c r="AE431" i="5"/>
  <c r="AD431" i="5"/>
  <c r="AC431" i="5"/>
  <c r="U431" i="5"/>
  <c r="AW434" i="5"/>
  <c r="AC434" i="5"/>
  <c r="AY434" i="5"/>
  <c r="AD434" i="5"/>
  <c r="AK434" i="5"/>
  <c r="AJ434" i="5"/>
  <c r="AI434" i="5"/>
  <c r="AR434" i="5"/>
  <c r="S434" i="5"/>
  <c r="AQ434" i="5"/>
  <c r="R434" i="5"/>
  <c r="AP434" i="5"/>
  <c r="AO434" i="5"/>
  <c r="W434" i="5"/>
  <c r="AJ437" i="5"/>
  <c r="AQ437" i="5"/>
  <c r="V437" i="5"/>
  <c r="AH437" i="5"/>
  <c r="AG437" i="5"/>
  <c r="AF437" i="5"/>
  <c r="AD437" i="5"/>
  <c r="AC437" i="5"/>
  <c r="AB437" i="5"/>
  <c r="AA437" i="5"/>
  <c r="U437" i="5"/>
  <c r="AY437" i="5"/>
  <c r="AJ457" i="5"/>
  <c r="AL457" i="5"/>
  <c r="AK457" i="5"/>
  <c r="AC457" i="5"/>
  <c r="AY457" i="5"/>
  <c r="AB457" i="5"/>
  <c r="AA457" i="5"/>
  <c r="AQ457" i="5"/>
  <c r="AP457" i="5"/>
  <c r="AO457" i="5"/>
  <c r="AN457" i="5"/>
  <c r="U457" i="5"/>
  <c r="AY458" i="5"/>
  <c r="AD463" i="5"/>
  <c r="AO463" i="5"/>
  <c r="T463" i="5"/>
  <c r="AN463" i="5"/>
  <c r="S463" i="5"/>
  <c r="AM463" i="5"/>
  <c r="R463" i="5"/>
  <c r="AI463" i="5"/>
  <c r="AH463" i="5"/>
  <c r="AG463" i="5"/>
  <c r="AW463" i="5"/>
  <c r="V463" i="5"/>
  <c r="U463" i="5"/>
  <c r="AU463" i="5"/>
  <c r="AT463" i="5"/>
  <c r="Z463" i="5"/>
  <c r="AQ491" i="5"/>
  <c r="W491" i="5"/>
  <c r="AH491" i="5"/>
  <c r="AD491" i="5"/>
  <c r="AY491" i="5"/>
  <c r="AC491" i="5"/>
  <c r="AB491" i="5"/>
  <c r="AP491" i="5"/>
  <c r="AO491" i="5"/>
  <c r="AN491" i="5"/>
  <c r="AJ491" i="5"/>
  <c r="AI491" i="5"/>
  <c r="AG491" i="5"/>
  <c r="AA491" i="5"/>
  <c r="Z491" i="5"/>
  <c r="Y491" i="5"/>
  <c r="X491" i="5"/>
  <c r="U491" i="5"/>
  <c r="U235" i="5"/>
  <c r="AO235" i="5"/>
  <c r="V244" i="5"/>
  <c r="AP244" i="5"/>
  <c r="T246" i="5"/>
  <c r="AU246" i="5" s="1"/>
  <c r="AN246" i="5"/>
  <c r="U255" i="5"/>
  <c r="AO255" i="5"/>
  <c r="S257" i="5"/>
  <c r="AM257" i="5"/>
  <c r="V264" i="5"/>
  <c r="AP264" i="5"/>
  <c r="T266" i="5"/>
  <c r="AU266" i="5" s="1"/>
  <c r="AN266" i="5"/>
  <c r="U275" i="5"/>
  <c r="AO275" i="5"/>
  <c r="S277" i="5"/>
  <c r="AM277" i="5"/>
  <c r="V284" i="5"/>
  <c r="AP284" i="5"/>
  <c r="T286" i="5"/>
  <c r="AU286" i="5" s="1"/>
  <c r="AN286" i="5"/>
  <c r="U295" i="5"/>
  <c r="AO295" i="5"/>
  <c r="S297" i="5"/>
  <c r="AM297" i="5"/>
  <c r="V304" i="5"/>
  <c r="AP304" i="5"/>
  <c r="T306" i="5"/>
  <c r="AU306" i="5" s="1"/>
  <c r="AN306" i="5"/>
  <c r="U310" i="5"/>
  <c r="T315" i="5"/>
  <c r="AU315" i="5" s="1"/>
  <c r="AI323" i="5"/>
  <c r="AH323" i="5"/>
  <c r="U323" i="5"/>
  <c r="AQ323" i="5"/>
  <c r="X328" i="5"/>
  <c r="AT328" i="5"/>
  <c r="T331" i="5"/>
  <c r="AU331" i="5" s="1"/>
  <c r="AF336" i="5"/>
  <c r="AY336" i="5"/>
  <c r="AE336" i="5"/>
  <c r="U336" i="5"/>
  <c r="AQ336" i="5"/>
  <c r="U339" i="5"/>
  <c r="AQ339" i="5"/>
  <c r="T344" i="5"/>
  <c r="AU344" i="5" s="1"/>
  <c r="T356" i="5"/>
  <c r="AU356" i="5" s="1"/>
  <c r="X359" i="5"/>
  <c r="AW369" i="5"/>
  <c r="AC369" i="5"/>
  <c r="AB369" i="5"/>
  <c r="AA369" i="5"/>
  <c r="U369" i="5"/>
  <c r="AR369" i="5"/>
  <c r="V379" i="5"/>
  <c r="AT382" i="5"/>
  <c r="Z382" i="5"/>
  <c r="AS382" i="5"/>
  <c r="Y382" i="5"/>
  <c r="AR382" i="5"/>
  <c r="X382" i="5"/>
  <c r="U382" i="5"/>
  <c r="S389" i="5"/>
  <c r="AP389" i="5"/>
  <c r="W392" i="5"/>
  <c r="V402" i="5"/>
  <c r="S403" i="5"/>
  <c r="AR403" i="5"/>
  <c r="AY415" i="5"/>
  <c r="T416" i="5"/>
  <c r="AU416" i="5" s="1"/>
  <c r="T417" i="5"/>
  <c r="AU417" i="5" s="1"/>
  <c r="AY417" i="5"/>
  <c r="S419" i="5"/>
  <c r="AT419" i="5"/>
  <c r="AG430" i="5"/>
  <c r="Z430" i="5"/>
  <c r="Y430" i="5"/>
  <c r="AT430" i="5"/>
  <c r="X430" i="5"/>
  <c r="AS430" i="5"/>
  <c r="W430" i="5"/>
  <c r="AK430" i="5"/>
  <c r="AJ430" i="5"/>
  <c r="AI430" i="5"/>
  <c r="U430" i="5"/>
  <c r="W431" i="5"/>
  <c r="AY431" i="5"/>
  <c r="X434" i="5"/>
  <c r="W437" i="5"/>
  <c r="V457" i="5"/>
  <c r="AH459" i="5"/>
  <c r="AM459" i="5"/>
  <c r="R459" i="5"/>
  <c r="AL459" i="5"/>
  <c r="AN459" i="5"/>
  <c r="AK459" i="5"/>
  <c r="AJ459" i="5"/>
  <c r="AG459" i="5"/>
  <c r="AF459" i="5"/>
  <c r="AE459" i="5"/>
  <c r="AD459" i="5"/>
  <c r="V459" i="5"/>
  <c r="AQ460" i="5"/>
  <c r="W460" i="5"/>
  <c r="AC460" i="5"/>
  <c r="AW460" i="5"/>
  <c r="AB460" i="5"/>
  <c r="AF460" i="5"/>
  <c r="AE460" i="5"/>
  <c r="AD460" i="5"/>
  <c r="AH460" i="5"/>
  <c r="AG460" i="5"/>
  <c r="AA460" i="5"/>
  <c r="Z460" i="5"/>
  <c r="U460" i="5"/>
  <c r="AA463" i="5"/>
  <c r="AY472" i="5"/>
  <c r="AE472" i="5"/>
  <c r="AK472" i="5"/>
  <c r="AJ472" i="5"/>
  <c r="AI472" i="5"/>
  <c r="Z472" i="5"/>
  <c r="AW472" i="5"/>
  <c r="Y472" i="5"/>
  <c r="X472" i="5"/>
  <c r="AO472" i="5"/>
  <c r="T472" i="5"/>
  <c r="AU472" i="5"/>
  <c r="S472" i="5"/>
  <c r="AT472" i="5"/>
  <c r="R472" i="5"/>
  <c r="AS472" i="5"/>
  <c r="AA472" i="5"/>
  <c r="AW485" i="5"/>
  <c r="AC485" i="5"/>
  <c r="AY485" i="5"/>
  <c r="AD485" i="5"/>
  <c r="AK485" i="5"/>
  <c r="AJ485" i="5"/>
  <c r="AI485" i="5"/>
  <c r="AR485" i="5"/>
  <c r="S485" i="5"/>
  <c r="AQ485" i="5"/>
  <c r="R485" i="5"/>
  <c r="AP485" i="5"/>
  <c r="AO485" i="5"/>
  <c r="AN485" i="5"/>
  <c r="AM485" i="5"/>
  <c r="AU485" i="5"/>
  <c r="W485" i="5"/>
  <c r="V491" i="5"/>
  <c r="V235" i="5"/>
  <c r="W244" i="5"/>
  <c r="AQ244" i="5"/>
  <c r="U246" i="5"/>
  <c r="V255" i="5"/>
  <c r="T257" i="5"/>
  <c r="AU257" i="5" s="1"/>
  <c r="AN257" i="5"/>
  <c r="W264" i="5"/>
  <c r="AQ264" i="5"/>
  <c r="U266" i="5"/>
  <c r="V275" i="5"/>
  <c r="T277" i="5"/>
  <c r="AU277" i="5" s="1"/>
  <c r="AN277" i="5"/>
  <c r="W284" i="5"/>
  <c r="AQ284" i="5"/>
  <c r="U286" i="5"/>
  <c r="V295" i="5"/>
  <c r="T297" i="5"/>
  <c r="AU297" i="5" s="1"/>
  <c r="AN297" i="5"/>
  <c r="W304" i="5"/>
  <c r="AQ304" i="5"/>
  <c r="U306" i="5"/>
  <c r="AL310" i="5"/>
  <c r="R310" i="5"/>
  <c r="AK310" i="5"/>
  <c r="V310" i="5"/>
  <c r="AR310" i="5"/>
  <c r="AQ315" i="5"/>
  <c r="W315" i="5"/>
  <c r="AP315" i="5"/>
  <c r="V315" i="5"/>
  <c r="U315" i="5"/>
  <c r="AS315" i="5"/>
  <c r="V323" i="5"/>
  <c r="AR323" i="5"/>
  <c r="Y328" i="5"/>
  <c r="AA331" i="5"/>
  <c r="AT331" i="5"/>
  <c r="Z331" i="5"/>
  <c r="U331" i="5"/>
  <c r="AQ331" i="5"/>
  <c r="V339" i="5"/>
  <c r="AR344" i="5"/>
  <c r="X344" i="5"/>
  <c r="AQ344" i="5"/>
  <c r="W344" i="5"/>
  <c r="U344" i="5"/>
  <c r="AS344" i="5"/>
  <c r="AF356" i="5"/>
  <c r="AY356" i="5"/>
  <c r="AE356" i="5"/>
  <c r="AD356" i="5"/>
  <c r="U356" i="5"/>
  <c r="AR356" i="5"/>
  <c r="Y359" i="5"/>
  <c r="AM379" i="5"/>
  <c r="S379" i="5"/>
  <c r="AL379" i="5"/>
  <c r="R379" i="5"/>
  <c r="AK379" i="5"/>
  <c r="W379" i="5"/>
  <c r="AT379" i="5"/>
  <c r="T389" i="5"/>
  <c r="AU389" i="5" s="1"/>
  <c r="X392" i="5"/>
  <c r="W402" i="5"/>
  <c r="AY402" i="5"/>
  <c r="T403" i="5"/>
  <c r="AU403" i="5" s="1"/>
  <c r="AA416" i="5"/>
  <c r="AL416" i="5"/>
  <c r="AI416" i="5"/>
  <c r="AH416" i="5"/>
  <c r="AG416" i="5"/>
  <c r="X416" i="5"/>
  <c r="V416" i="5"/>
  <c r="U416" i="5"/>
  <c r="AY416" i="5"/>
  <c r="AS418" i="5"/>
  <c r="Y418" i="5"/>
  <c r="AM418" i="5"/>
  <c r="R418" i="5"/>
  <c r="AO418" i="5"/>
  <c r="S418" i="5"/>
  <c r="AN418" i="5"/>
  <c r="AL418" i="5"/>
  <c r="AR418" i="5"/>
  <c r="AP418" i="5"/>
  <c r="W418" i="5"/>
  <c r="AY418" i="5"/>
  <c r="T419" i="5"/>
  <c r="AU419" i="5" s="1"/>
  <c r="X431" i="5"/>
  <c r="AY432" i="5"/>
  <c r="AE432" i="5"/>
  <c r="AA432" i="5"/>
  <c r="AD432" i="5"/>
  <c r="AC432" i="5"/>
  <c r="AB432" i="5"/>
  <c r="Y432" i="5"/>
  <c r="X432" i="5"/>
  <c r="AW432" i="5"/>
  <c r="W432" i="5"/>
  <c r="U432" i="5"/>
  <c r="Y434" i="5"/>
  <c r="X437" i="5"/>
  <c r="AB445" i="5"/>
  <c r="AW445" i="5"/>
  <c r="AA445" i="5"/>
  <c r="AE445" i="5"/>
  <c r="AD445" i="5"/>
  <c r="AY445" i="5"/>
  <c r="AC445" i="5"/>
  <c r="AN445" i="5"/>
  <c r="AM445" i="5"/>
  <c r="AL445" i="5"/>
  <c r="AK445" i="5"/>
  <c r="U445" i="5"/>
  <c r="AP451" i="5"/>
  <c r="V451" i="5"/>
  <c r="AF451" i="5"/>
  <c r="AE451" i="5"/>
  <c r="AY451" i="5"/>
  <c r="AB451" i="5"/>
  <c r="AA451" i="5"/>
  <c r="AW451" i="5"/>
  <c r="Z451" i="5"/>
  <c r="AO451" i="5"/>
  <c r="AN451" i="5"/>
  <c r="AM451" i="5"/>
  <c r="AL451" i="5"/>
  <c r="U451" i="5"/>
  <c r="W457" i="5"/>
  <c r="AB463" i="5"/>
  <c r="AE491" i="5"/>
  <c r="X244" i="5"/>
  <c r="U257" i="5"/>
  <c r="X264" i="5"/>
  <c r="U277" i="5"/>
  <c r="X284" i="5"/>
  <c r="U297" i="5"/>
  <c r="X304" i="5"/>
  <c r="Z328" i="5"/>
  <c r="AM339" i="5"/>
  <c r="S339" i="5"/>
  <c r="AL339" i="5"/>
  <c r="R339" i="5"/>
  <c r="W339" i="5"/>
  <c r="AS339" i="5"/>
  <c r="Z359" i="5"/>
  <c r="AW359" i="5"/>
  <c r="AW389" i="5"/>
  <c r="AC389" i="5"/>
  <c r="AB389" i="5"/>
  <c r="AA389" i="5"/>
  <c r="U389" i="5"/>
  <c r="AR389" i="5"/>
  <c r="Y392" i="5"/>
  <c r="AW392" i="5"/>
  <c r="AA402" i="5"/>
  <c r="AI403" i="5"/>
  <c r="AH403" i="5"/>
  <c r="AG403" i="5"/>
  <c r="AD403" i="5"/>
  <c r="AY403" i="5"/>
  <c r="AB403" i="5"/>
  <c r="U403" i="5"/>
  <c r="AT403" i="5"/>
  <c r="AJ417" i="5"/>
  <c r="AW417" i="5"/>
  <c r="AB417" i="5"/>
  <c r="Z417" i="5"/>
  <c r="Y417" i="5"/>
  <c r="AT417" i="5"/>
  <c r="X417" i="5"/>
  <c r="AR417" i="5"/>
  <c r="S417" i="5"/>
  <c r="AP417" i="5"/>
  <c r="V417" i="5"/>
  <c r="AH419" i="5"/>
  <c r="AC419" i="5"/>
  <c r="AF419" i="5"/>
  <c r="AE419" i="5"/>
  <c r="AD419" i="5"/>
  <c r="AM419" i="5"/>
  <c r="AK419" i="5"/>
  <c r="U419" i="5"/>
  <c r="Y431" i="5"/>
  <c r="Z434" i="5"/>
  <c r="Y437" i="5"/>
  <c r="X457" i="5"/>
  <c r="AC463" i="5"/>
  <c r="AF491" i="5"/>
  <c r="AS438" i="5"/>
  <c r="Y438" i="5"/>
  <c r="AG438" i="5"/>
  <c r="Z438" i="5"/>
  <c r="X438" i="5"/>
  <c r="AT438" i="5"/>
  <c r="W438" i="5"/>
  <c r="U438" i="5"/>
  <c r="AI448" i="5"/>
  <c r="AN448" i="5"/>
  <c r="S448" i="5"/>
  <c r="AB448" i="5"/>
  <c r="AW448" i="5"/>
  <c r="AA448" i="5"/>
  <c r="Z448" i="5"/>
  <c r="V448" i="5"/>
  <c r="AG470" i="5"/>
  <c r="AJ470" i="5"/>
  <c r="AI470" i="5"/>
  <c r="AH470" i="5"/>
  <c r="AN470" i="5"/>
  <c r="AM470" i="5"/>
  <c r="AL470" i="5"/>
  <c r="U470" i="5"/>
  <c r="AY493" i="5"/>
  <c r="AT498" i="5"/>
  <c r="Z498" i="5"/>
  <c r="AC498" i="5"/>
  <c r="AJ498" i="5"/>
  <c r="AI498" i="5"/>
  <c r="AH498" i="5"/>
  <c r="AA498" i="5"/>
  <c r="Y498" i="5"/>
  <c r="AY498" i="5"/>
  <c r="X498" i="5"/>
  <c r="AS498" i="5"/>
  <c r="AR498" i="5"/>
  <c r="AQ498" i="5"/>
  <c r="U498" i="5"/>
  <c r="AK401" i="5"/>
  <c r="AJ401" i="5"/>
  <c r="AI401" i="5"/>
  <c r="U401" i="5"/>
  <c r="AR401" i="5"/>
  <c r="AW407" i="5"/>
  <c r="AC407" i="5"/>
  <c r="AF407" i="5"/>
  <c r="AE407" i="5"/>
  <c r="AY407" i="5"/>
  <c r="AD407" i="5"/>
  <c r="U407" i="5"/>
  <c r="AS407" i="5"/>
  <c r="AS411" i="5"/>
  <c r="Y411" i="5"/>
  <c r="AI411" i="5"/>
  <c r="AH411" i="5"/>
  <c r="AG411" i="5"/>
  <c r="U411" i="5"/>
  <c r="AT411" i="5"/>
  <c r="V438" i="5"/>
  <c r="AY438" i="5"/>
  <c r="T439" i="5"/>
  <c r="AU439" i="5" s="1"/>
  <c r="W448" i="5"/>
  <c r="AY448" i="5"/>
  <c r="V449" i="5"/>
  <c r="AW454" i="5"/>
  <c r="AC454" i="5"/>
  <c r="AS454" i="5"/>
  <c r="X454" i="5"/>
  <c r="AR454" i="5"/>
  <c r="W454" i="5"/>
  <c r="AB454" i="5"/>
  <c r="AY454" i="5"/>
  <c r="AA454" i="5"/>
  <c r="Z454" i="5"/>
  <c r="U454" i="5"/>
  <c r="AI468" i="5"/>
  <c r="AH468" i="5"/>
  <c r="AG468" i="5"/>
  <c r="AF468" i="5"/>
  <c r="Z468" i="5"/>
  <c r="AW468" i="5"/>
  <c r="Y468" i="5"/>
  <c r="X468" i="5"/>
  <c r="U468" i="5"/>
  <c r="AY468" i="5"/>
  <c r="V470" i="5"/>
  <c r="AW470" i="5"/>
  <c r="V498" i="5"/>
  <c r="AA438" i="5"/>
  <c r="AH439" i="5"/>
  <c r="AR439" i="5"/>
  <c r="W439" i="5"/>
  <c r="AM439" i="5"/>
  <c r="AL439" i="5"/>
  <c r="AK439" i="5"/>
  <c r="U439" i="5"/>
  <c r="X448" i="5"/>
  <c r="AR449" i="5"/>
  <c r="X449" i="5"/>
  <c r="AE449" i="5"/>
  <c r="AY449" i="5"/>
  <c r="AD449" i="5"/>
  <c r="AP449" i="5"/>
  <c r="S449" i="5"/>
  <c r="AO449" i="5"/>
  <c r="R449" i="5"/>
  <c r="AN449" i="5"/>
  <c r="W449" i="5"/>
  <c r="AR469" i="5"/>
  <c r="X469" i="5"/>
  <c r="AT469" i="5"/>
  <c r="Y469" i="5"/>
  <c r="AS469" i="5"/>
  <c r="W469" i="5"/>
  <c r="AQ469" i="5"/>
  <c r="V469" i="5"/>
  <c r="S469" i="5"/>
  <c r="AP469" i="5"/>
  <c r="R469" i="5"/>
  <c r="AO469" i="5"/>
  <c r="AA469" i="5"/>
  <c r="W470" i="5"/>
  <c r="AS489" i="5"/>
  <c r="Y489" i="5"/>
  <c r="AG489" i="5"/>
  <c r="Z489" i="5"/>
  <c r="AU489" i="5"/>
  <c r="X489" i="5"/>
  <c r="AT489" i="5"/>
  <c r="W489" i="5"/>
  <c r="AB489" i="5"/>
  <c r="AA489" i="5"/>
  <c r="AY489" i="5"/>
  <c r="V489" i="5"/>
  <c r="AL489" i="5"/>
  <c r="AK489" i="5"/>
  <c r="AJ489" i="5"/>
  <c r="U489" i="5"/>
  <c r="W498" i="5"/>
  <c r="W401" i="5"/>
  <c r="AT401" i="5"/>
  <c r="W407" i="5"/>
  <c r="AU407" i="5"/>
  <c r="W411" i="5"/>
  <c r="AB438" i="5"/>
  <c r="V439" i="5"/>
  <c r="AD443" i="5"/>
  <c r="AT443" i="5"/>
  <c r="Y443" i="5"/>
  <c r="AU443" i="5"/>
  <c r="X443" i="5"/>
  <c r="AS443" i="5"/>
  <c r="W443" i="5"/>
  <c r="AR443" i="5"/>
  <c r="V443" i="5"/>
  <c r="U443" i="5"/>
  <c r="AY443" i="5"/>
  <c r="Y448" i="5"/>
  <c r="Y449" i="5"/>
  <c r="Y454" i="5"/>
  <c r="W468" i="5"/>
  <c r="AB469" i="5"/>
  <c r="X470" i="5"/>
  <c r="AY470" i="5"/>
  <c r="AO473" i="5"/>
  <c r="U473" i="5"/>
  <c r="AP473" i="5"/>
  <c r="T473" i="5"/>
  <c r="AU473" i="5" s="1"/>
  <c r="AY473" i="5"/>
  <c r="AC473" i="5"/>
  <c r="AB473" i="5"/>
  <c r="AW473" i="5"/>
  <c r="AA473" i="5"/>
  <c r="V473" i="5"/>
  <c r="AT473" i="5"/>
  <c r="S473" i="5"/>
  <c r="AS473" i="5"/>
  <c r="R473" i="5"/>
  <c r="AR473" i="5"/>
  <c r="Z473" i="5"/>
  <c r="AL486" i="5"/>
  <c r="R486" i="5"/>
  <c r="AP486" i="5"/>
  <c r="U486" i="5"/>
  <c r="AD486" i="5"/>
  <c r="AY486" i="5"/>
  <c r="AC486" i="5"/>
  <c r="AB486" i="5"/>
  <c r="AO486" i="5"/>
  <c r="AN486" i="5"/>
  <c r="AM486" i="5"/>
  <c r="AS486" i="5"/>
  <c r="AR486" i="5"/>
  <c r="AQ486" i="5"/>
  <c r="W486" i="5"/>
  <c r="AJ488" i="5"/>
  <c r="AQ488" i="5"/>
  <c r="V488" i="5"/>
  <c r="AH488" i="5"/>
  <c r="AG488" i="5"/>
  <c r="AF488" i="5"/>
  <c r="AD488" i="5"/>
  <c r="AC488" i="5"/>
  <c r="AB488" i="5"/>
  <c r="AN488" i="5"/>
  <c r="AM488" i="5"/>
  <c r="AL488" i="5"/>
  <c r="U488" i="5"/>
  <c r="AC489" i="5"/>
  <c r="AB498" i="5"/>
  <c r="AU507" i="5"/>
  <c r="AA507" i="5"/>
  <c r="AT507" i="5"/>
  <c r="Y507" i="5"/>
  <c r="AD507" i="5"/>
  <c r="AY507" i="5"/>
  <c r="AB507" i="5"/>
  <c r="Z507" i="5"/>
  <c r="AW507" i="5"/>
  <c r="X507" i="5"/>
  <c r="AM507" i="5"/>
  <c r="AL507" i="5"/>
  <c r="AK507" i="5"/>
  <c r="AS507" i="5"/>
  <c r="AR507" i="5"/>
  <c r="AQ507" i="5"/>
  <c r="U507" i="5"/>
  <c r="AB496" i="5"/>
  <c r="AW496" i="5"/>
  <c r="AA496" i="5"/>
  <c r="AE496" i="5"/>
  <c r="AD496" i="5"/>
  <c r="AY496" i="5"/>
  <c r="AC496" i="5"/>
  <c r="AN496" i="5"/>
  <c r="AM496" i="5"/>
  <c r="AL496" i="5"/>
  <c r="U496" i="5"/>
  <c r="AG501" i="5"/>
  <c r="AO501" i="5"/>
  <c r="T501" i="5"/>
  <c r="AU501" i="5" s="1"/>
  <c r="AH501" i="5"/>
  <c r="AF501" i="5"/>
  <c r="AE501" i="5"/>
  <c r="AR501" i="5"/>
  <c r="R501" i="5"/>
  <c r="AQ501" i="5"/>
  <c r="AP501" i="5"/>
  <c r="W501" i="5"/>
  <c r="AY501" i="5"/>
  <c r="AM495" i="5"/>
  <c r="S495" i="5"/>
  <c r="AK495" i="5"/>
  <c r="AN495" i="5"/>
  <c r="AL495" i="5"/>
  <c r="AJ495" i="5"/>
  <c r="AT495" i="5"/>
  <c r="U495" i="5"/>
  <c r="AS495" i="5"/>
  <c r="T495" i="5"/>
  <c r="AU495" i="5" s="1"/>
  <c r="AR495" i="5"/>
  <c r="R495" i="5"/>
  <c r="Y495" i="5"/>
  <c r="X501" i="5"/>
  <c r="AP502" i="5"/>
  <c r="V502" i="5"/>
  <c r="AE502" i="5"/>
  <c r="Y502" i="5"/>
  <c r="AT502" i="5"/>
  <c r="X502" i="5"/>
  <c r="AS502" i="5"/>
  <c r="W502" i="5"/>
  <c r="AL502" i="5"/>
  <c r="AK502" i="5"/>
  <c r="AJ502" i="5"/>
  <c r="U502" i="5"/>
  <c r="AB476" i="5"/>
  <c r="AH476" i="5"/>
  <c r="Y476" i="5"/>
  <c r="AT476" i="5"/>
  <c r="X476" i="5"/>
  <c r="AS476" i="5"/>
  <c r="W476" i="5"/>
  <c r="AL476" i="5"/>
  <c r="AK476" i="5"/>
  <c r="AJ476" i="5"/>
  <c r="U476" i="5"/>
  <c r="Z495" i="5"/>
  <c r="W496" i="5"/>
  <c r="Y501" i="5"/>
  <c r="Z502" i="5"/>
  <c r="U355" i="5"/>
  <c r="AO355" i="5"/>
  <c r="U375" i="5"/>
  <c r="AO375" i="5"/>
  <c r="U395" i="5"/>
  <c r="AO395" i="5"/>
  <c r="AQ420" i="5"/>
  <c r="W420" i="5"/>
  <c r="AN420" i="5"/>
  <c r="S420" i="5"/>
  <c r="V420" i="5"/>
  <c r="AS420" i="5"/>
  <c r="T317" i="5"/>
  <c r="AU317" i="5" s="1"/>
  <c r="AN317" i="5"/>
  <c r="U326" i="5"/>
  <c r="AO326" i="5"/>
  <c r="T337" i="5"/>
  <c r="AU337" i="5" s="1"/>
  <c r="AN337" i="5"/>
  <c r="U346" i="5"/>
  <c r="AO346" i="5"/>
  <c r="V355" i="5"/>
  <c r="AP355" i="5"/>
  <c r="T357" i="5"/>
  <c r="AU357" i="5" s="1"/>
  <c r="AN357" i="5"/>
  <c r="U366" i="5"/>
  <c r="AO366" i="5"/>
  <c r="V375" i="5"/>
  <c r="AP375" i="5"/>
  <c r="T377" i="5"/>
  <c r="AU377" i="5" s="1"/>
  <c r="AN377" i="5"/>
  <c r="U386" i="5"/>
  <c r="AO386" i="5"/>
  <c r="V395" i="5"/>
  <c r="AP395" i="5"/>
  <c r="T397" i="5"/>
  <c r="AU397" i="5" s="1"/>
  <c r="AN397" i="5"/>
  <c r="U406" i="5"/>
  <c r="AO406" i="5"/>
  <c r="AL408" i="5"/>
  <c r="R408" i="5"/>
  <c r="V408" i="5"/>
  <c r="AQ408" i="5"/>
  <c r="X420" i="5"/>
  <c r="AT420" i="5"/>
  <c r="T428" i="5"/>
  <c r="AN433" i="5"/>
  <c r="T433" i="5"/>
  <c r="AU433" i="5" s="1"/>
  <c r="AM433" i="5"/>
  <c r="R433" i="5"/>
  <c r="W433" i="5"/>
  <c r="AS433" i="5"/>
  <c r="T436" i="5"/>
  <c r="AU436" i="5" s="1"/>
  <c r="T441" i="5"/>
  <c r="AU441" i="5" s="1"/>
  <c r="AK446" i="5"/>
  <c r="AM446" i="5"/>
  <c r="R446" i="5"/>
  <c r="V446" i="5"/>
  <c r="AR446" i="5"/>
  <c r="AH490" i="5"/>
  <c r="AR490" i="5"/>
  <c r="W490" i="5"/>
  <c r="AM490" i="5"/>
  <c r="AL490" i="5"/>
  <c r="AK490" i="5"/>
  <c r="U490" i="5"/>
  <c r="AI499" i="5"/>
  <c r="AN499" i="5"/>
  <c r="S499" i="5"/>
  <c r="AB499" i="5"/>
  <c r="AW499" i="5"/>
  <c r="AA499" i="5"/>
  <c r="Z499" i="5"/>
  <c r="V499" i="5"/>
  <c r="U317" i="5"/>
  <c r="V326" i="5"/>
  <c r="U337" i="5"/>
  <c r="V346" i="5"/>
  <c r="W355" i="5"/>
  <c r="U357" i="5"/>
  <c r="V366" i="5"/>
  <c r="W375" i="5"/>
  <c r="U377" i="5"/>
  <c r="V386" i="5"/>
  <c r="W395" i="5"/>
  <c r="U397" i="5"/>
  <c r="V406" i="5"/>
  <c r="W408" i="5"/>
  <c r="AR408" i="5"/>
  <c r="AL415" i="5"/>
  <c r="R415" i="5"/>
  <c r="AA415" i="5"/>
  <c r="V415" i="5"/>
  <c r="AR415" i="5"/>
  <c r="Y420" i="5"/>
  <c r="AU420" i="5"/>
  <c r="AI428" i="5"/>
  <c r="AT428" i="5"/>
  <c r="Y428" i="5"/>
  <c r="U428" i="5"/>
  <c r="AQ428" i="5"/>
  <c r="X433" i="5"/>
  <c r="AT433" i="5"/>
  <c r="AA436" i="5"/>
  <c r="AF436" i="5"/>
  <c r="U436" i="5"/>
  <c r="AQ436" i="5"/>
  <c r="AF441" i="5"/>
  <c r="AS441" i="5"/>
  <c r="X441" i="5"/>
  <c r="U441" i="5"/>
  <c r="AQ441" i="5"/>
  <c r="W446" i="5"/>
  <c r="AS446" i="5"/>
  <c r="AL455" i="5"/>
  <c r="R455" i="5"/>
  <c r="AJ455" i="5"/>
  <c r="AI455" i="5"/>
  <c r="V455" i="5"/>
  <c r="AS455" i="5"/>
  <c r="AS458" i="5"/>
  <c r="Y458" i="5"/>
  <c r="AW458" i="5"/>
  <c r="AB458" i="5"/>
  <c r="AA458" i="5"/>
  <c r="U458" i="5"/>
  <c r="AR458" i="5"/>
  <c r="V490" i="5"/>
  <c r="AD494" i="5"/>
  <c r="AT494" i="5"/>
  <c r="Y494" i="5"/>
  <c r="AU494" i="5"/>
  <c r="X494" i="5"/>
  <c r="AS494" i="5"/>
  <c r="W494" i="5"/>
  <c r="AR494" i="5"/>
  <c r="V494" i="5"/>
  <c r="U494" i="5"/>
  <c r="AY494" i="5"/>
  <c r="W499" i="5"/>
  <c r="AY499" i="5"/>
  <c r="AT467" i="5"/>
  <c r="Z467" i="5"/>
  <c r="U467" i="5"/>
  <c r="AP467" i="5"/>
  <c r="T450" i="5"/>
  <c r="AU450" i="5" s="1"/>
  <c r="AO450" i="5"/>
  <c r="AY452" i="5"/>
  <c r="AE452" i="5"/>
  <c r="U452" i="5"/>
  <c r="AP452" i="5"/>
  <c r="U465" i="5"/>
  <c r="AP465" i="5"/>
  <c r="V467" i="5"/>
  <c r="AQ467" i="5"/>
  <c r="T479" i="5"/>
  <c r="AU479" i="5" s="1"/>
  <c r="AN484" i="5"/>
  <c r="T484" i="5"/>
  <c r="AU484" i="5" s="1"/>
  <c r="AM484" i="5"/>
  <c r="R484" i="5"/>
  <c r="W484" i="5"/>
  <c r="AS484" i="5"/>
  <c r="T487" i="5"/>
  <c r="AU487" i="5" s="1"/>
  <c r="T492" i="5"/>
  <c r="AU492" i="5" s="1"/>
  <c r="AK497" i="5"/>
  <c r="AM497" i="5"/>
  <c r="R497" i="5"/>
  <c r="V497" i="5"/>
  <c r="AR497" i="5"/>
  <c r="T505" i="5"/>
  <c r="AU505" i="5" s="1"/>
  <c r="U450" i="5"/>
  <c r="AP450" i="5"/>
  <c r="W467" i="5"/>
  <c r="AR467" i="5"/>
  <c r="AI479" i="5"/>
  <c r="AT479" i="5"/>
  <c r="Y479" i="5"/>
  <c r="U479" i="5"/>
  <c r="AQ479" i="5"/>
  <c r="AA487" i="5"/>
  <c r="AF487" i="5"/>
  <c r="U487" i="5"/>
  <c r="AQ487" i="5"/>
  <c r="AF492" i="5"/>
  <c r="AS492" i="5"/>
  <c r="X492" i="5"/>
  <c r="U492" i="5"/>
  <c r="AQ492" i="5"/>
  <c r="AW505" i="5"/>
  <c r="AC505" i="5"/>
  <c r="AR505" i="5"/>
  <c r="W505" i="5"/>
  <c r="U505" i="5"/>
  <c r="AQ505" i="5"/>
  <c r="AJ508" i="5"/>
  <c r="AK508" i="5"/>
  <c r="U508" i="5"/>
  <c r="AQ508" i="5"/>
  <c r="U422" i="5"/>
  <c r="U442" i="5"/>
  <c r="U462" i="5"/>
  <c r="AY503" i="5"/>
  <c r="AE503" i="5"/>
  <c r="U503" i="5"/>
  <c r="AP503" i="5"/>
  <c r="U493" i="5"/>
  <c r="AV323" i="5" l="1"/>
  <c r="AX323" i="5"/>
  <c r="AV36" i="5"/>
  <c r="AX36" i="5"/>
  <c r="AV384" i="5"/>
  <c r="AX384" i="5"/>
  <c r="AX68" i="5"/>
  <c r="AV322" i="5"/>
  <c r="AV454" i="5"/>
  <c r="R9" i="5"/>
  <c r="AX190" i="5"/>
  <c r="AV65" i="5"/>
  <c r="AX346" i="5"/>
  <c r="AV262" i="5"/>
  <c r="AV496" i="5"/>
  <c r="AX110" i="5"/>
  <c r="AX81" i="5"/>
  <c r="AX188" i="5"/>
  <c r="AX491" i="5"/>
  <c r="R18" i="5"/>
  <c r="S18" i="5" s="1"/>
  <c r="K18" i="2" s="1"/>
  <c r="AR29" i="5"/>
  <c r="R17" i="5"/>
  <c r="AX375" i="5"/>
  <c r="AV375" i="5"/>
  <c r="S12" i="5"/>
  <c r="K12" i="2" s="1"/>
  <c r="AV310" i="5"/>
  <c r="AX310" i="5"/>
  <c r="AV459" i="5"/>
  <c r="AX459" i="5"/>
  <c r="AV465" i="5"/>
  <c r="AX465" i="5"/>
  <c r="AV386" i="5"/>
  <c r="AX386" i="5"/>
  <c r="AV275" i="5"/>
  <c r="AX275" i="5"/>
  <c r="AX241" i="5"/>
  <c r="AV241" i="5"/>
  <c r="AV252" i="5"/>
  <c r="AX252" i="5"/>
  <c r="AV446" i="5"/>
  <c r="AX101" i="5"/>
  <c r="AN12" i="5"/>
  <c r="AK13" i="5" s="1"/>
  <c r="AV457" i="5"/>
  <c r="AV168" i="5"/>
  <c r="AX285" i="5"/>
  <c r="S17" i="5"/>
  <c r="K17" i="2" s="1"/>
  <c r="AV194" i="5"/>
  <c r="AX108" i="5"/>
  <c r="AR25" i="5"/>
  <c r="T31" i="5" s="1"/>
  <c r="AX411" i="5"/>
  <c r="R10" i="5"/>
  <c r="AV229" i="5"/>
  <c r="AV162" i="5"/>
  <c r="AV171" i="5"/>
  <c r="AV50" i="5"/>
  <c r="AX130" i="5"/>
  <c r="R27" i="5"/>
  <c r="S27" i="5" s="1"/>
  <c r="K27" i="2" s="1"/>
  <c r="AV217" i="5"/>
  <c r="AV70" i="5"/>
  <c r="AX431" i="5"/>
  <c r="AV131" i="5"/>
  <c r="AX214" i="5"/>
  <c r="V11" i="5"/>
  <c r="S11" i="2" s="1"/>
  <c r="AV227" i="5"/>
  <c r="AV119" i="5"/>
  <c r="AX460" i="5"/>
  <c r="AV460" i="5"/>
  <c r="AV201" i="5"/>
  <c r="AX201" i="5"/>
  <c r="AX61" i="5"/>
  <c r="AV61" i="5"/>
  <c r="AV503" i="5"/>
  <c r="AX503" i="5"/>
  <c r="AX161" i="5"/>
  <c r="AV161" i="5"/>
  <c r="AX455" i="5"/>
  <c r="AV455" i="5"/>
  <c r="AV390" i="5"/>
  <c r="AX390" i="5"/>
  <c r="AX90" i="5"/>
  <c r="AV90" i="5"/>
  <c r="AV34" i="5"/>
  <c r="AV408" i="5"/>
  <c r="AX408" i="5"/>
  <c r="AV326" i="5"/>
  <c r="AX326" i="5"/>
  <c r="AX121" i="5"/>
  <c r="AV121" i="5"/>
  <c r="R16" i="5"/>
  <c r="S16" i="5" s="1"/>
  <c r="K16" i="2" s="1"/>
  <c r="AQ13" i="5"/>
  <c r="AX272" i="5"/>
  <c r="AV272" i="5"/>
  <c r="S9" i="5"/>
  <c r="K9" i="2" s="1"/>
  <c r="Y25" i="5"/>
  <c r="R25" i="5" s="1"/>
  <c r="S25" i="5" s="1"/>
  <c r="K25" i="2" s="1"/>
  <c r="AX244" i="5"/>
  <c r="AV244" i="5"/>
  <c r="AV264" i="5"/>
  <c r="AX264" i="5"/>
  <c r="AQ30" i="5"/>
  <c r="AV458" i="5"/>
  <c r="AX458" i="5"/>
  <c r="S29" i="5"/>
  <c r="K29" i="2" s="1"/>
  <c r="AF32" i="5"/>
  <c r="V32" i="5" s="1"/>
  <c r="S32" i="2" s="1"/>
  <c r="AV245" i="5"/>
  <c r="AV347" i="5"/>
  <c r="AM20" i="5"/>
  <c r="AN20" i="5" s="1"/>
  <c r="AK28" i="5" s="1"/>
  <c r="AF33" i="5"/>
  <c r="V33" i="5" s="1"/>
  <c r="S33" i="2" s="1"/>
  <c r="AX468" i="5"/>
  <c r="AV406" i="5"/>
  <c r="AX406" i="5"/>
  <c r="AV415" i="5"/>
  <c r="AV293" i="5"/>
  <c r="V9" i="5"/>
  <c r="S9" i="2" s="1"/>
  <c r="AF12" i="5"/>
  <c r="AH12" i="5" s="1"/>
  <c r="AO9" i="5"/>
  <c r="AV274" i="5"/>
  <c r="AV113" i="5"/>
  <c r="S33" i="5"/>
  <c r="K33" i="2" s="1"/>
  <c r="AV170" i="5"/>
  <c r="AX283" i="5"/>
  <c r="AX342" i="5"/>
  <c r="AV342" i="5"/>
  <c r="AF26" i="5"/>
  <c r="AH26" i="5" s="1"/>
  <c r="S11" i="5"/>
  <c r="K11" i="2" s="1"/>
  <c r="AX352" i="5"/>
  <c r="AX452" i="5"/>
  <c r="AV452" i="5"/>
  <c r="AV418" i="5"/>
  <c r="AV366" i="5"/>
  <c r="AM9" i="5"/>
  <c r="AJ10" i="5" s="1"/>
  <c r="AO25" i="5"/>
  <c r="AH10" i="5"/>
  <c r="Y21" i="5"/>
  <c r="R21" i="5" s="1"/>
  <c r="S21" i="5" s="1"/>
  <c r="K21" i="2" s="1"/>
  <c r="AX59" i="5"/>
  <c r="AV440" i="5"/>
  <c r="AC14" i="5"/>
  <c r="AN14" i="5" s="1"/>
  <c r="AK15" i="5" s="1"/>
  <c r="AX221" i="5"/>
  <c r="AV221" i="5"/>
  <c r="AX295" i="5"/>
  <c r="AV295" i="5"/>
  <c r="AV395" i="5"/>
  <c r="AV150" i="5"/>
  <c r="AV449" i="5"/>
  <c r="AV284" i="5"/>
  <c r="AP9" i="5"/>
  <c r="AV335" i="5"/>
  <c r="AX335" i="5"/>
  <c r="AV230" i="5"/>
  <c r="AX230" i="5"/>
  <c r="AF18" i="5"/>
  <c r="V18" i="5" s="1"/>
  <c r="S18" i="2" s="1"/>
  <c r="AM21" i="5"/>
  <c r="W21" i="5" s="1"/>
  <c r="AV88" i="5"/>
  <c r="AF19" i="5"/>
  <c r="AH19" i="5" s="1"/>
  <c r="AX355" i="5"/>
  <c r="AV355" i="5"/>
  <c r="AX488" i="5"/>
  <c r="AV488" i="5"/>
  <c r="S20" i="5"/>
  <c r="K20" i="2" s="1"/>
  <c r="AV498" i="5"/>
  <c r="AV234" i="5"/>
  <c r="AV304" i="5"/>
  <c r="AP25" i="5"/>
  <c r="AV40" i="5"/>
  <c r="AX40" i="5"/>
  <c r="AV141" i="5"/>
  <c r="AV451" i="5"/>
  <c r="AX255" i="5"/>
  <c r="AV255" i="5"/>
  <c r="AX71" i="5"/>
  <c r="AV71" i="5"/>
  <c r="AV497" i="5"/>
  <c r="AX497" i="5"/>
  <c r="AX247" i="5"/>
  <c r="AV247" i="5"/>
  <c r="AV125" i="5"/>
  <c r="AX125" i="5"/>
  <c r="U29" i="5"/>
  <c r="T30" i="5"/>
  <c r="AV385" i="5"/>
  <c r="AX385" i="5"/>
  <c r="AX292" i="5"/>
  <c r="AV292" i="5"/>
  <c r="AV500" i="5"/>
  <c r="AX500" i="5"/>
  <c r="AX172" i="5"/>
  <c r="AV172" i="5"/>
  <c r="AX99" i="5"/>
  <c r="AV99" i="5"/>
  <c r="AX231" i="5"/>
  <c r="AV231" i="5"/>
  <c r="AV341" i="5"/>
  <c r="AX341" i="5"/>
  <c r="AV312" i="5"/>
  <c r="AX312" i="5"/>
  <c r="AV114" i="5"/>
  <c r="AX114" i="5"/>
  <c r="AX367" i="5"/>
  <c r="AV367" i="5"/>
  <c r="AV490" i="5"/>
  <c r="AX490" i="5"/>
  <c r="AV331" i="5"/>
  <c r="AX331" i="5"/>
  <c r="AX72" i="5"/>
  <c r="AV72" i="5"/>
  <c r="AX396" i="5"/>
  <c r="AV396" i="5"/>
  <c r="AV324" i="5"/>
  <c r="AX324" i="5"/>
  <c r="AX383" i="5"/>
  <c r="AV383" i="5"/>
  <c r="AX98" i="5"/>
  <c r="AV98" i="5"/>
  <c r="AX474" i="5"/>
  <c r="AV474" i="5"/>
  <c r="AV180" i="5"/>
  <c r="AX180" i="5"/>
  <c r="AX294" i="5"/>
  <c r="AV294" i="5"/>
  <c r="S13" i="5"/>
  <c r="K13" i="2" s="1"/>
  <c r="AX487" i="5"/>
  <c r="AV487" i="5"/>
  <c r="AX436" i="5"/>
  <c r="AV436" i="5"/>
  <c r="AV439" i="5"/>
  <c r="AX439" i="5"/>
  <c r="AV438" i="5"/>
  <c r="AX438" i="5"/>
  <c r="AX225" i="5"/>
  <c r="AV225" i="5"/>
  <c r="AR12" i="5"/>
  <c r="AX12" i="5" s="1"/>
  <c r="W12" i="5"/>
  <c r="AJ13" i="5"/>
  <c r="AM13" i="5" s="1"/>
  <c r="AX80" i="5"/>
  <c r="AV80" i="5"/>
  <c r="AV157" i="5"/>
  <c r="AX157" i="5"/>
  <c r="AV372" i="5"/>
  <c r="AX372" i="5"/>
  <c r="AV320" i="5"/>
  <c r="AX320" i="5"/>
  <c r="AX146" i="5"/>
  <c r="AV146" i="5"/>
  <c r="AX267" i="5"/>
  <c r="AV267" i="5"/>
  <c r="AX288" i="5"/>
  <c r="AV288" i="5"/>
  <c r="AX297" i="5"/>
  <c r="AV297" i="5"/>
  <c r="AX287" i="5"/>
  <c r="AV287" i="5"/>
  <c r="AX254" i="5"/>
  <c r="AV254" i="5"/>
  <c r="AX318" i="5"/>
  <c r="AV318" i="5"/>
  <c r="AX74" i="5"/>
  <c r="AV74" i="5"/>
  <c r="AE19" i="5"/>
  <c r="AV44" i="5"/>
  <c r="AX44" i="5"/>
  <c r="AX398" i="5"/>
  <c r="AV398" i="5"/>
  <c r="AV300" i="5"/>
  <c r="AX300" i="5"/>
  <c r="AV313" i="5"/>
  <c r="AX313" i="5"/>
  <c r="AX228" i="5"/>
  <c r="AV228" i="5"/>
  <c r="AV145" i="5"/>
  <c r="AX145" i="5"/>
  <c r="AX237" i="5"/>
  <c r="AV237" i="5"/>
  <c r="AV404" i="5"/>
  <c r="AX404" i="5"/>
  <c r="AX265" i="5"/>
  <c r="AV265" i="5"/>
  <c r="AX357" i="5"/>
  <c r="AV357" i="5"/>
  <c r="AV417" i="5"/>
  <c r="AX417" i="5"/>
  <c r="AV186" i="5"/>
  <c r="AX186" i="5"/>
  <c r="AX250" i="5"/>
  <c r="AV250" i="5"/>
  <c r="AV204" i="5"/>
  <c r="AX204" i="5"/>
  <c r="AX223" i="5"/>
  <c r="AV223" i="5"/>
  <c r="AV184" i="5"/>
  <c r="AX184" i="5"/>
  <c r="AX106" i="5"/>
  <c r="AV106" i="5"/>
  <c r="AX416" i="5"/>
  <c r="AV416" i="5"/>
  <c r="AV425" i="5"/>
  <c r="AX425" i="5"/>
  <c r="AV329" i="5"/>
  <c r="AX329" i="5"/>
  <c r="AX120" i="5"/>
  <c r="AV120" i="5"/>
  <c r="AV38" i="5"/>
  <c r="AX38" i="5"/>
  <c r="AV289" i="5"/>
  <c r="AX289" i="5"/>
  <c r="AV286" i="5"/>
  <c r="AX286" i="5"/>
  <c r="AV483" i="5"/>
  <c r="AX483" i="5"/>
  <c r="AN29" i="5"/>
  <c r="AK30" i="5" s="1"/>
  <c r="AJ30" i="5"/>
  <c r="AM30" i="5" s="1"/>
  <c r="W29" i="5"/>
  <c r="AV492" i="5"/>
  <c r="AX492" i="5"/>
  <c r="AV453" i="5"/>
  <c r="AX453" i="5"/>
  <c r="AV52" i="5"/>
  <c r="AX52" i="5"/>
  <c r="AX174" i="5"/>
  <c r="AV174" i="5"/>
  <c r="AX447" i="5"/>
  <c r="AV447" i="5"/>
  <c r="AV477" i="5"/>
  <c r="AX477" i="5"/>
  <c r="AR14" i="5"/>
  <c r="AX14" i="5" s="1"/>
  <c r="AJ15" i="5"/>
  <c r="AM15" i="5" s="1"/>
  <c r="W14" i="5"/>
  <c r="AX37" i="5"/>
  <c r="AV37" i="5"/>
  <c r="AX321" i="5"/>
  <c r="AV321" i="5"/>
  <c r="AX330" i="5"/>
  <c r="AV330" i="5"/>
  <c r="AV117" i="5"/>
  <c r="AX117" i="5"/>
  <c r="AV412" i="5"/>
  <c r="AX412" i="5"/>
  <c r="AV428" i="5"/>
  <c r="AX428" i="5"/>
  <c r="AX364" i="5"/>
  <c r="AV364" i="5"/>
  <c r="AV104" i="5"/>
  <c r="AX104" i="5"/>
  <c r="AX97" i="5"/>
  <c r="AV97" i="5"/>
  <c r="AV212" i="5"/>
  <c r="AX212" i="5"/>
  <c r="AX239" i="5"/>
  <c r="AV239" i="5"/>
  <c r="AX413" i="5"/>
  <c r="AV413" i="5"/>
  <c r="AX236" i="5"/>
  <c r="AV236" i="5"/>
  <c r="AU31" i="5"/>
  <c r="AX222" i="5"/>
  <c r="AV222" i="5"/>
  <c r="AX423" i="5"/>
  <c r="AV423" i="5"/>
  <c r="AV195" i="5"/>
  <c r="AX195" i="5"/>
  <c r="AV14" i="5"/>
  <c r="AX506" i="5"/>
  <c r="AV506" i="5"/>
  <c r="AX163" i="5"/>
  <c r="AV163" i="5"/>
  <c r="AV268" i="5"/>
  <c r="AX268" i="5"/>
  <c r="AX508" i="5"/>
  <c r="AV508" i="5"/>
  <c r="AV432" i="5"/>
  <c r="AX432" i="5"/>
  <c r="AV430" i="5"/>
  <c r="AX430" i="5"/>
  <c r="AV69" i="5"/>
  <c r="AX69" i="5"/>
  <c r="AX362" i="5"/>
  <c r="AV362" i="5"/>
  <c r="AX308" i="5"/>
  <c r="AV308" i="5"/>
  <c r="AX209" i="5"/>
  <c r="AV209" i="5"/>
  <c r="AV249" i="5"/>
  <c r="AX249" i="5"/>
  <c r="AX51" i="5"/>
  <c r="AV51" i="5"/>
  <c r="AV373" i="5"/>
  <c r="AX373" i="5"/>
  <c r="AX378" i="5"/>
  <c r="AV378" i="5"/>
  <c r="AV232" i="5"/>
  <c r="AX232" i="5"/>
  <c r="AX471" i="5"/>
  <c r="AV471" i="5"/>
  <c r="AV253" i="5"/>
  <c r="AX253" i="5"/>
  <c r="AV63" i="5"/>
  <c r="AX63" i="5"/>
  <c r="AX276" i="5"/>
  <c r="AV276" i="5"/>
  <c r="AV147" i="5"/>
  <c r="AX147" i="5"/>
  <c r="AX67" i="5"/>
  <c r="AV67" i="5"/>
  <c r="AX77" i="5"/>
  <c r="AV77" i="5"/>
  <c r="AV197" i="5"/>
  <c r="AX197" i="5"/>
  <c r="R28" i="5"/>
  <c r="S28" i="5" s="1"/>
  <c r="K28" i="2" s="1"/>
  <c r="AV337" i="5"/>
  <c r="AX337" i="5"/>
  <c r="AV107" i="5"/>
  <c r="AX107" i="5"/>
  <c r="AX202" i="5"/>
  <c r="AV202" i="5"/>
  <c r="AX374" i="5"/>
  <c r="AV374" i="5"/>
  <c r="AX45" i="5"/>
  <c r="AV45" i="5"/>
  <c r="AX83" i="5"/>
  <c r="AV83" i="5"/>
  <c r="AV144" i="5"/>
  <c r="AX144" i="5"/>
  <c r="AV86" i="5"/>
  <c r="AX86" i="5"/>
  <c r="AV482" i="5"/>
  <c r="AX482" i="5"/>
  <c r="AX178" i="5"/>
  <c r="AV178" i="5"/>
  <c r="AX60" i="5"/>
  <c r="AV60" i="5"/>
  <c r="AX261" i="5"/>
  <c r="AV261" i="5"/>
  <c r="AX307" i="5"/>
  <c r="AV307" i="5"/>
  <c r="AV76" i="5"/>
  <c r="AX76" i="5"/>
  <c r="AV368" i="5"/>
  <c r="AX368" i="5"/>
  <c r="AX53" i="5"/>
  <c r="AV53" i="5"/>
  <c r="AX102" i="5"/>
  <c r="AV102" i="5"/>
  <c r="AX56" i="5"/>
  <c r="AV56" i="5"/>
  <c r="AF14" i="5"/>
  <c r="AF21" i="5"/>
  <c r="V21" i="5" s="1"/>
  <c r="S21" i="2" s="1"/>
  <c r="AF24" i="5"/>
  <c r="AF17" i="5"/>
  <c r="V17" i="5" s="1"/>
  <c r="S17" i="2" s="1"/>
  <c r="AF28" i="5"/>
  <c r="AF15" i="5"/>
  <c r="V15" i="5" s="1"/>
  <c r="S15" i="2" s="1"/>
  <c r="AF20" i="5"/>
  <c r="V20" i="5" s="1"/>
  <c r="S20" i="2" s="1"/>
  <c r="AF27" i="5"/>
  <c r="V27" i="5" s="1"/>
  <c r="S27" i="2" s="1"/>
  <c r="AX338" i="5"/>
  <c r="AV338" i="5"/>
  <c r="AX435" i="5"/>
  <c r="AV435" i="5"/>
  <c r="AX365" i="5"/>
  <c r="AV365" i="5"/>
  <c r="AX281" i="5"/>
  <c r="AV281" i="5"/>
  <c r="AV380" i="5"/>
  <c r="AX380" i="5"/>
  <c r="AX469" i="5"/>
  <c r="AV469" i="5"/>
  <c r="AX296" i="5"/>
  <c r="AV296" i="5"/>
  <c r="AV325" i="5"/>
  <c r="AX325" i="5"/>
  <c r="AX148" i="5"/>
  <c r="AV148" i="5"/>
  <c r="AV179" i="5"/>
  <c r="AX179" i="5"/>
  <c r="AX143" i="5"/>
  <c r="AV143" i="5"/>
  <c r="AV309" i="5"/>
  <c r="AX309" i="5"/>
  <c r="AV115" i="5"/>
  <c r="AX115" i="5"/>
  <c r="AJ26" i="5"/>
  <c r="AM26" i="5" s="1"/>
  <c r="AV481" i="5"/>
  <c r="AX481" i="5"/>
  <c r="AV269" i="5"/>
  <c r="AX269" i="5"/>
  <c r="AV340" i="5"/>
  <c r="AX340" i="5"/>
  <c r="AX443" i="5"/>
  <c r="AV443" i="5"/>
  <c r="AX388" i="5"/>
  <c r="AV388" i="5"/>
  <c r="AV270" i="5"/>
  <c r="AX270" i="5"/>
  <c r="AX317" i="5"/>
  <c r="AV317" i="5"/>
  <c r="AQ21" i="5"/>
  <c r="AX129" i="5"/>
  <c r="AV129" i="5"/>
  <c r="AE10" i="5"/>
  <c r="AL10" i="5" s="1"/>
  <c r="AM10" i="5" s="1"/>
  <c r="AX499" i="5"/>
  <c r="AV499" i="5"/>
  <c r="AX397" i="5"/>
  <c r="AV397" i="5"/>
  <c r="AX502" i="5"/>
  <c r="AV502" i="5"/>
  <c r="AX315" i="5"/>
  <c r="AV315" i="5"/>
  <c r="AX414" i="5"/>
  <c r="AV414" i="5"/>
  <c r="AV319" i="5"/>
  <c r="AX319" i="5"/>
  <c r="AX291" i="5"/>
  <c r="AV291" i="5"/>
  <c r="AX137" i="5"/>
  <c r="AV137" i="5"/>
  <c r="AX151" i="5"/>
  <c r="AV151" i="5"/>
  <c r="AV123" i="5"/>
  <c r="AX123" i="5"/>
  <c r="AX299" i="5"/>
  <c r="AV299" i="5"/>
  <c r="AG10" i="5"/>
  <c r="AV105" i="5"/>
  <c r="AX105" i="5"/>
  <c r="AX198" i="5"/>
  <c r="AV198" i="5"/>
  <c r="AX504" i="5"/>
  <c r="AV504" i="5"/>
  <c r="AV132" i="5"/>
  <c r="AX132" i="5"/>
  <c r="AV410" i="5"/>
  <c r="AX410" i="5"/>
  <c r="AX248" i="5"/>
  <c r="AV248" i="5"/>
  <c r="AX243" i="5"/>
  <c r="AV243" i="5"/>
  <c r="R24" i="5"/>
  <c r="AV46" i="5"/>
  <c r="AX46" i="5"/>
  <c r="AN25" i="5"/>
  <c r="AK31" i="5" s="1"/>
  <c r="AX475" i="5"/>
  <c r="AV475" i="5"/>
  <c r="AX89" i="5"/>
  <c r="AV89" i="5"/>
  <c r="AX277" i="5"/>
  <c r="AV277" i="5"/>
  <c r="AX82" i="5"/>
  <c r="AV82" i="5"/>
  <c r="AX176" i="5"/>
  <c r="AV176" i="5"/>
  <c r="AV87" i="5"/>
  <c r="AX87" i="5"/>
  <c r="AX43" i="5"/>
  <c r="AV43" i="5"/>
  <c r="AX282" i="5"/>
  <c r="AV282" i="5"/>
  <c r="AX422" i="5"/>
  <c r="AV422" i="5"/>
  <c r="AV79" i="5"/>
  <c r="AX79" i="5"/>
  <c r="AX462" i="5"/>
  <c r="AV462" i="5"/>
  <c r="AQ9" i="5"/>
  <c r="AV135" i="5"/>
  <c r="AX135" i="5"/>
  <c r="AV55" i="5"/>
  <c r="AX55" i="5"/>
  <c r="AV177" i="5"/>
  <c r="AX177" i="5"/>
  <c r="AX166" i="5"/>
  <c r="AV166" i="5"/>
  <c r="AX139" i="5"/>
  <c r="AV139" i="5"/>
  <c r="AN21" i="5"/>
  <c r="AK26" i="5" s="1"/>
  <c r="AV218" i="5"/>
  <c r="AX218" i="5"/>
  <c r="AF31" i="5"/>
  <c r="AX263" i="5"/>
  <c r="AV263" i="5"/>
  <c r="AX290" i="5"/>
  <c r="AV290" i="5"/>
  <c r="AV12" i="5"/>
  <c r="AV311" i="5"/>
  <c r="AX311" i="5"/>
  <c r="AV192" i="5"/>
  <c r="AX192" i="5"/>
  <c r="AV393" i="5"/>
  <c r="AX393" i="5"/>
  <c r="AV394" i="5"/>
  <c r="AX394" i="5"/>
  <c r="AV183" i="5"/>
  <c r="AX183" i="5"/>
  <c r="AV138" i="5"/>
  <c r="AX138" i="5"/>
  <c r="AV400" i="5"/>
  <c r="AX400" i="5"/>
  <c r="AV242" i="5"/>
  <c r="AX242" i="5"/>
  <c r="AX29" i="5"/>
  <c r="AV29" i="5"/>
  <c r="AX507" i="5"/>
  <c r="AV507" i="5"/>
  <c r="AV155" i="5"/>
  <c r="AX155" i="5"/>
  <c r="AX127" i="5"/>
  <c r="AV127" i="5"/>
  <c r="AX103" i="5"/>
  <c r="AV103" i="5"/>
  <c r="AV216" i="5"/>
  <c r="AX216" i="5"/>
  <c r="AV456" i="5"/>
  <c r="AX456" i="5"/>
  <c r="AX153" i="5"/>
  <c r="AV153" i="5"/>
  <c r="AX494" i="5"/>
  <c r="AV494" i="5"/>
  <c r="AX441" i="5"/>
  <c r="AV441" i="5"/>
  <c r="AV489" i="5"/>
  <c r="AX489" i="5"/>
  <c r="AV392" i="5"/>
  <c r="AX392" i="5"/>
  <c r="AV359" i="5"/>
  <c r="AX359" i="5"/>
  <c r="AV280" i="5"/>
  <c r="AX280" i="5"/>
  <c r="AV215" i="5"/>
  <c r="AX215" i="5"/>
  <c r="AX429" i="5"/>
  <c r="AV429" i="5"/>
  <c r="AX303" i="5"/>
  <c r="AV303" i="5"/>
  <c r="AV169" i="5"/>
  <c r="AX169" i="5"/>
  <c r="AX409" i="5"/>
  <c r="AV409" i="5"/>
  <c r="AX116" i="5"/>
  <c r="AV116" i="5"/>
  <c r="AV9" i="5"/>
  <c r="AW9" i="5" s="1"/>
  <c r="AV75" i="5"/>
  <c r="AX75" i="5"/>
  <c r="AF16" i="5"/>
  <c r="AV360" i="5"/>
  <c r="AX360" i="5"/>
  <c r="AX154" i="5"/>
  <c r="AV154" i="5"/>
  <c r="AX206" i="5"/>
  <c r="AV206" i="5"/>
  <c r="AV159" i="5"/>
  <c r="AX159" i="5"/>
  <c r="AQ20" i="5"/>
  <c r="AX332" i="5"/>
  <c r="AV332" i="5"/>
  <c r="AV124" i="5"/>
  <c r="AX124" i="5"/>
  <c r="AV165" i="5"/>
  <c r="AX165" i="5"/>
  <c r="AX480" i="5"/>
  <c r="AV480" i="5"/>
  <c r="AX207" i="5"/>
  <c r="AV207" i="5"/>
  <c r="AV175" i="5"/>
  <c r="AX175" i="5"/>
  <c r="AV128" i="5"/>
  <c r="AX128" i="5"/>
  <c r="AV240" i="5"/>
  <c r="AX240" i="5"/>
  <c r="AX427" i="5"/>
  <c r="AV427" i="5"/>
  <c r="AX327" i="5"/>
  <c r="AV327" i="5"/>
  <c r="AV351" i="5"/>
  <c r="AX351" i="5"/>
  <c r="AX196" i="5"/>
  <c r="AV196" i="5"/>
  <c r="AX306" i="5"/>
  <c r="AV306" i="5"/>
  <c r="AX112" i="5"/>
  <c r="AV112" i="5"/>
  <c r="AV160" i="5"/>
  <c r="AX160" i="5"/>
  <c r="AV401" i="5"/>
  <c r="AX401" i="5"/>
  <c r="AV64" i="5"/>
  <c r="AX64" i="5"/>
  <c r="AX486" i="5"/>
  <c r="AV486" i="5"/>
  <c r="AX62" i="5"/>
  <c r="AV62" i="5"/>
  <c r="AX334" i="5"/>
  <c r="AV334" i="5"/>
  <c r="AO21" i="5"/>
  <c r="AF30" i="5"/>
  <c r="V30" i="5" s="1"/>
  <c r="S30" i="2" s="1"/>
  <c r="AP20" i="5"/>
  <c r="AF22" i="5"/>
  <c r="AX466" i="5"/>
  <c r="AV466" i="5"/>
  <c r="AF23" i="5"/>
  <c r="AX463" i="5"/>
  <c r="AV463" i="5"/>
  <c r="AX189" i="5"/>
  <c r="AV189" i="5"/>
  <c r="AX211" i="5"/>
  <c r="AV211" i="5"/>
  <c r="AX259" i="5"/>
  <c r="AV259" i="5"/>
  <c r="AX92" i="5"/>
  <c r="AV92" i="5"/>
  <c r="S15" i="5"/>
  <c r="K15" i="2" s="1"/>
  <c r="AX387" i="5"/>
  <c r="AV387" i="5"/>
  <c r="AV25" i="5"/>
  <c r="AX25" i="5"/>
  <c r="AX472" i="5"/>
  <c r="AV472" i="5"/>
  <c r="AX479" i="5"/>
  <c r="AV479" i="5"/>
  <c r="AV233" i="5"/>
  <c r="AX233" i="5"/>
  <c r="AV260" i="5"/>
  <c r="AX260" i="5"/>
  <c r="AX448" i="5"/>
  <c r="AV448" i="5"/>
  <c r="AV369" i="5"/>
  <c r="AX369" i="5"/>
  <c r="AX226" i="5"/>
  <c r="AV226" i="5"/>
  <c r="AX73" i="5"/>
  <c r="AV73" i="5"/>
  <c r="AV164" i="5"/>
  <c r="AX164" i="5"/>
  <c r="AX442" i="5"/>
  <c r="AV442" i="5"/>
  <c r="AV461" i="5"/>
  <c r="AX461" i="5"/>
  <c r="AX278" i="5"/>
  <c r="AV278" i="5"/>
  <c r="AX354" i="5"/>
  <c r="AV354" i="5"/>
  <c r="AX314" i="5"/>
  <c r="AV314" i="5"/>
  <c r="AX403" i="5"/>
  <c r="AV403" i="5"/>
  <c r="AX356" i="5"/>
  <c r="AV356" i="5"/>
  <c r="AV350" i="5"/>
  <c r="AX350" i="5"/>
  <c r="AX199" i="5"/>
  <c r="AV199" i="5"/>
  <c r="AX213" i="5"/>
  <c r="AV213" i="5"/>
  <c r="AV35" i="5"/>
  <c r="AX35" i="5"/>
  <c r="AX200" i="5"/>
  <c r="AV200" i="5"/>
  <c r="AX191" i="5"/>
  <c r="AV191" i="5"/>
  <c r="AX370" i="5"/>
  <c r="AV370" i="5"/>
  <c r="AO20" i="5"/>
  <c r="AX444" i="5"/>
  <c r="AV444" i="5"/>
  <c r="AV301" i="5"/>
  <c r="AX301" i="5"/>
  <c r="AV152" i="5"/>
  <c r="AX152" i="5"/>
  <c r="AV57" i="5"/>
  <c r="AX57" i="5"/>
  <c r="AX419" i="5"/>
  <c r="AV419" i="5"/>
  <c r="AV95" i="5"/>
  <c r="AX95" i="5"/>
  <c r="AX258" i="5"/>
  <c r="AV258" i="5"/>
  <c r="AV328" i="5"/>
  <c r="AX328" i="5"/>
  <c r="AV78" i="5"/>
  <c r="AX78" i="5"/>
  <c r="AX122" i="5"/>
  <c r="AV122" i="5"/>
  <c r="AV420" i="5"/>
  <c r="AX420" i="5"/>
  <c r="AX333" i="5"/>
  <c r="AV333" i="5"/>
  <c r="AV47" i="5"/>
  <c r="AX47" i="5"/>
  <c r="AX376" i="5"/>
  <c r="AV376" i="5"/>
  <c r="AX156" i="5"/>
  <c r="AV156" i="5"/>
  <c r="AX266" i="5"/>
  <c r="AV266" i="5"/>
  <c r="AX271" i="5"/>
  <c r="AV271" i="5"/>
  <c r="AX85" i="5"/>
  <c r="AV85" i="5"/>
  <c r="AX273" i="5"/>
  <c r="AV273" i="5"/>
  <c r="AX344" i="5"/>
  <c r="AV344" i="5"/>
  <c r="AX371" i="5"/>
  <c r="AV371" i="5"/>
  <c r="AX42" i="5"/>
  <c r="AV42" i="5"/>
  <c r="AX185" i="5"/>
  <c r="AV185" i="5"/>
  <c r="AX173" i="5"/>
  <c r="AV173" i="5"/>
  <c r="AX358" i="5"/>
  <c r="AV358" i="5"/>
  <c r="AV158" i="5"/>
  <c r="AX158" i="5"/>
  <c r="AV49" i="5"/>
  <c r="AX49" i="5"/>
  <c r="AV21" i="5"/>
  <c r="AX39" i="5"/>
  <c r="AV39" i="5"/>
  <c r="AX96" i="5"/>
  <c r="AV96" i="5"/>
  <c r="AV20" i="5"/>
  <c r="AX399" i="5"/>
  <c r="AV399" i="5"/>
  <c r="AF25" i="5"/>
  <c r="V25" i="5" s="1"/>
  <c r="S25" i="2" s="1"/>
  <c r="AF29" i="5"/>
  <c r="AJ31" i="5"/>
  <c r="AX298" i="5"/>
  <c r="AV298" i="5"/>
  <c r="AV187" i="5"/>
  <c r="AX187" i="5"/>
  <c r="AX136" i="5"/>
  <c r="AV136" i="5"/>
  <c r="AX381" i="5"/>
  <c r="AV381" i="5"/>
  <c r="AX405" i="5"/>
  <c r="AV405" i="5"/>
  <c r="AX182" i="5"/>
  <c r="AV182" i="5"/>
  <c r="AV205" i="5"/>
  <c r="AX205" i="5"/>
  <c r="AX484" i="5"/>
  <c r="AV484" i="5"/>
  <c r="AX485" i="5"/>
  <c r="AV485" i="5"/>
  <c r="AX478" i="5"/>
  <c r="AV478" i="5"/>
  <c r="AX343" i="5"/>
  <c r="AV343" i="5"/>
  <c r="AX220" i="5"/>
  <c r="AV220" i="5"/>
  <c r="AX93" i="5"/>
  <c r="AV93" i="5"/>
  <c r="AV505" i="5"/>
  <c r="AX505" i="5"/>
  <c r="AX407" i="5"/>
  <c r="AV407" i="5"/>
  <c r="AV382" i="5"/>
  <c r="AX382" i="5"/>
  <c r="AX450" i="5"/>
  <c r="AV450" i="5"/>
  <c r="AX279" i="5"/>
  <c r="AV279" i="5"/>
  <c r="AV58" i="5"/>
  <c r="AX58" i="5"/>
  <c r="AX111" i="5"/>
  <c r="AV111" i="5"/>
  <c r="AV219" i="5"/>
  <c r="AX219" i="5"/>
  <c r="AX54" i="5"/>
  <c r="AV54" i="5"/>
  <c r="AX256" i="5"/>
  <c r="AV256" i="5"/>
  <c r="AX193" i="5"/>
  <c r="AV193" i="5"/>
  <c r="AV339" i="5"/>
  <c r="AX339" i="5"/>
  <c r="AV501" i="5"/>
  <c r="AX501" i="5"/>
  <c r="AX257" i="5"/>
  <c r="AV257" i="5"/>
  <c r="AX246" i="5"/>
  <c r="AV246" i="5"/>
  <c r="AX391" i="5"/>
  <c r="AV391" i="5"/>
  <c r="AX353" i="5"/>
  <c r="AV353" i="5"/>
  <c r="AX109" i="5"/>
  <c r="AV109" i="5"/>
  <c r="AX348" i="5"/>
  <c r="AV348" i="5"/>
  <c r="AX134" i="5"/>
  <c r="AV134" i="5"/>
  <c r="AX100" i="5"/>
  <c r="AV100" i="5"/>
  <c r="AX238" i="5"/>
  <c r="AV238" i="5"/>
  <c r="AX66" i="5"/>
  <c r="AV66" i="5"/>
  <c r="AX91" i="5"/>
  <c r="AV91" i="5"/>
  <c r="AX251" i="5"/>
  <c r="AV251" i="5"/>
  <c r="AX302" i="5"/>
  <c r="AV302" i="5"/>
  <c r="AX363" i="5"/>
  <c r="AV363" i="5"/>
  <c r="AX473" i="5"/>
  <c r="AV473" i="5"/>
  <c r="AX305" i="5"/>
  <c r="AV305" i="5"/>
  <c r="AX203" i="5"/>
  <c r="AV203" i="5"/>
  <c r="AV389" i="5"/>
  <c r="AX389" i="5"/>
  <c r="AX377" i="5"/>
  <c r="AV377" i="5"/>
  <c r="AV349" i="5"/>
  <c r="AX349" i="5"/>
  <c r="AV421" i="5"/>
  <c r="AX421" i="5"/>
  <c r="AX149" i="5"/>
  <c r="AV149" i="5"/>
  <c r="AX433" i="5"/>
  <c r="AV433" i="5"/>
  <c r="AV476" i="5"/>
  <c r="AX476" i="5"/>
  <c r="AX495" i="5"/>
  <c r="AV495" i="5"/>
  <c r="AX493" i="5"/>
  <c r="AV493" i="5"/>
  <c r="AV464" i="5"/>
  <c r="AX464" i="5"/>
  <c r="AX142" i="5"/>
  <c r="AV142" i="5"/>
  <c r="AV224" i="5"/>
  <c r="AX224" i="5"/>
  <c r="AV94" i="5"/>
  <c r="AX94" i="5"/>
  <c r="AV424" i="5"/>
  <c r="AX424" i="5"/>
  <c r="AV345" i="5"/>
  <c r="AX345" i="5"/>
  <c r="AX316" i="5"/>
  <c r="AV316" i="5"/>
  <c r="AV84" i="5"/>
  <c r="AX84" i="5"/>
  <c r="AX379" i="5"/>
  <c r="AV379" i="5"/>
  <c r="AX126" i="5"/>
  <c r="AV126" i="5"/>
  <c r="AF13" i="5"/>
  <c r="V13" i="5" s="1"/>
  <c r="S13" i="2" s="1"/>
  <c r="AX133" i="5"/>
  <c r="AV133" i="5"/>
  <c r="AR20" i="5" l="1"/>
  <c r="AX20" i="5" s="1"/>
  <c r="AG12" i="5"/>
  <c r="AP12" i="5" s="1"/>
  <c r="AP13" i="5" s="1"/>
  <c r="AP19" i="5" s="1"/>
  <c r="V12" i="5"/>
  <c r="S12" i="2" s="1"/>
  <c r="AJ28" i="5"/>
  <c r="AM28" i="5" s="1"/>
  <c r="AN28" i="5" s="1"/>
  <c r="W20" i="5"/>
  <c r="V10" i="5"/>
  <c r="S10" i="2" s="1"/>
  <c r="U25" i="5"/>
  <c r="S14" i="5"/>
  <c r="K14" i="2" s="1"/>
  <c r="W9" i="5"/>
  <c r="AG19" i="5"/>
  <c r="AN9" i="5"/>
  <c r="AK10" i="5" s="1"/>
  <c r="AO10" i="5"/>
  <c r="AO11" i="5" s="1"/>
  <c r="AP10" i="5"/>
  <c r="AP11" i="5" s="1"/>
  <c r="AE26" i="5"/>
  <c r="Z26" i="5" s="1"/>
  <c r="R26" i="5" s="1"/>
  <c r="S26" i="5" s="1"/>
  <c r="K26" i="2" s="1"/>
  <c r="AC10" i="5"/>
  <c r="S10" i="5" s="1"/>
  <c r="K10" i="2" s="1"/>
  <c r="V26" i="5"/>
  <c r="S26" i="2" s="1"/>
  <c r="AG26" i="5"/>
  <c r="AP26" i="5" s="1"/>
  <c r="AP33" i="5" s="1"/>
  <c r="AE32" i="5"/>
  <c r="Z32" i="5" s="1"/>
  <c r="AG32" i="5"/>
  <c r="AS25" i="5"/>
  <c r="AT25" i="5" s="1"/>
  <c r="AH18" i="5"/>
  <c r="AG18" i="5"/>
  <c r="AR21" i="5"/>
  <c r="T28" i="5"/>
  <c r="U20" i="5"/>
  <c r="AH28" i="5"/>
  <c r="V28" i="5"/>
  <c r="S28" i="2" s="1"/>
  <c r="AG28" i="5"/>
  <c r="AE28" i="5"/>
  <c r="AQ28" i="5" s="1"/>
  <c r="AR28" i="5" s="1"/>
  <c r="U28" i="5" s="1"/>
  <c r="AH24" i="5"/>
  <c r="AG24" i="5"/>
  <c r="AE24" i="5"/>
  <c r="AG23" i="5"/>
  <c r="AH23" i="5"/>
  <c r="V14" i="5"/>
  <c r="S14" i="2" s="1"/>
  <c r="AH14" i="5"/>
  <c r="AG14" i="5"/>
  <c r="AU30" i="5"/>
  <c r="AR9" i="5"/>
  <c r="AQ10" i="5"/>
  <c r="AQ11" i="5" s="1"/>
  <c r="AQ19" i="5"/>
  <c r="AN30" i="5"/>
  <c r="W30" i="5"/>
  <c r="AR30" i="5"/>
  <c r="U30" i="5" s="1"/>
  <c r="W10" i="5"/>
  <c r="AJ11" i="5"/>
  <c r="AM11" i="5" s="1"/>
  <c r="AG9" i="6"/>
  <c r="A9" i="6" s="1"/>
  <c r="AH16" i="5"/>
  <c r="AE16" i="5"/>
  <c r="AG16" i="5"/>
  <c r="AP16" i="5" s="1"/>
  <c r="AP17" i="5" s="1"/>
  <c r="V16" i="5"/>
  <c r="S16" i="2" s="1"/>
  <c r="AG22" i="5"/>
  <c r="AH22" i="5"/>
  <c r="V22" i="5"/>
  <c r="S22" i="2" s="1"/>
  <c r="AE22" i="5"/>
  <c r="AS20" i="5"/>
  <c r="AO12" i="5"/>
  <c r="AN26" i="5"/>
  <c r="AK33" i="5" s="1"/>
  <c r="W26" i="5"/>
  <c r="AJ33" i="5"/>
  <c r="AM33" i="5" s="1"/>
  <c r="W13" i="5"/>
  <c r="AJ19" i="5"/>
  <c r="AR13" i="5"/>
  <c r="AN13" i="5"/>
  <c r="AK19" i="5" s="1"/>
  <c r="T15" i="5"/>
  <c r="U14" i="5"/>
  <c r="V29" i="5"/>
  <c r="S29" i="2" s="1"/>
  <c r="AH29" i="5"/>
  <c r="AG29" i="5"/>
  <c r="AS21" i="5"/>
  <c r="AV31" i="5"/>
  <c r="AI32" i="5"/>
  <c r="AR15" i="5"/>
  <c r="AN15" i="5"/>
  <c r="AK22" i="5" s="1"/>
  <c r="AJ22" i="5"/>
  <c r="AM22" i="5" s="1"/>
  <c r="W15" i="5"/>
  <c r="AG31" i="5"/>
  <c r="AH31" i="5"/>
  <c r="AE31" i="5"/>
  <c r="T13" i="5"/>
  <c r="U12" i="5"/>
  <c r="AO26" i="5" l="1"/>
  <c r="W28" i="5"/>
  <c r="X25" i="5"/>
  <c r="AQ26" i="5"/>
  <c r="AQ33" i="5" s="1"/>
  <c r="Y32" i="5"/>
  <c r="R32" i="5" s="1"/>
  <c r="S32" i="5" s="1"/>
  <c r="K32" i="2" s="1"/>
  <c r="AS9" i="5"/>
  <c r="X9" i="5" s="1"/>
  <c r="AO28" i="5"/>
  <c r="AS28" i="5" s="1"/>
  <c r="X28" i="5" s="1"/>
  <c r="AR10" i="5"/>
  <c r="AP28" i="5"/>
  <c r="AP18" i="5"/>
  <c r="AP24" i="5" s="1"/>
  <c r="AP27" i="5" s="1"/>
  <c r="AP32" i="5" s="1"/>
  <c r="AT9" i="5"/>
  <c r="AN10" i="5"/>
  <c r="AK11" i="5" s="1"/>
  <c r="AN11" i="5" s="1"/>
  <c r="AK16" i="5" s="1"/>
  <c r="AQ31" i="5"/>
  <c r="AL31" i="5"/>
  <c r="AC31" i="5"/>
  <c r="S31" i="5" s="1"/>
  <c r="K31" i="2" s="1"/>
  <c r="AO31" i="5"/>
  <c r="AP31" i="5"/>
  <c r="F9" i="6"/>
  <c r="D9" i="6"/>
  <c r="B9" i="3" s="1"/>
  <c r="C9" i="6"/>
  <c r="B9" i="6"/>
  <c r="A9" i="3" s="1"/>
  <c r="C9" i="3"/>
  <c r="AR11" i="5"/>
  <c r="AJ16" i="5"/>
  <c r="AM16" i="5" s="1"/>
  <c r="W11" i="5"/>
  <c r="AU13" i="5"/>
  <c r="U10" i="5"/>
  <c r="Z22" i="5"/>
  <c r="R22" i="5" s="1"/>
  <c r="S22" i="5" s="1"/>
  <c r="K22" i="2" s="1"/>
  <c r="AQ22" i="5"/>
  <c r="AQ23" i="5" s="1"/>
  <c r="X21" i="5"/>
  <c r="AT21" i="5"/>
  <c r="AO33" i="5"/>
  <c r="AS26" i="5"/>
  <c r="X26" i="5" s="1"/>
  <c r="U9" i="5"/>
  <c r="T10" i="5"/>
  <c r="T11" i="5" s="1"/>
  <c r="AX9" i="5"/>
  <c r="U13" i="5"/>
  <c r="T19" i="5"/>
  <c r="AO14" i="5"/>
  <c r="AP14" i="5"/>
  <c r="AP15" i="5" s="1"/>
  <c r="AP22" i="5" s="1"/>
  <c r="AP23" i="5" s="1"/>
  <c r="AN33" i="5"/>
  <c r="W33" i="5"/>
  <c r="AR33" i="5"/>
  <c r="U33" i="5" s="1"/>
  <c r="AP29" i="5"/>
  <c r="AP30" i="5" s="1"/>
  <c r="AO29" i="5"/>
  <c r="AU15" i="5"/>
  <c r="AQ16" i="5"/>
  <c r="AQ17" i="5" s="1"/>
  <c r="AQ18" i="5" s="1"/>
  <c r="AQ24" i="5" s="1"/>
  <c r="AQ27" i="5" s="1"/>
  <c r="AQ32" i="5" s="1"/>
  <c r="AO16" i="5"/>
  <c r="AJ23" i="5"/>
  <c r="W22" i="5"/>
  <c r="AN22" i="5"/>
  <c r="AK23" i="5" s="1"/>
  <c r="AS10" i="5"/>
  <c r="X10" i="5" s="1"/>
  <c r="AL19" i="5"/>
  <c r="AM19" i="5" s="1"/>
  <c r="AS12" i="5"/>
  <c r="AO13" i="5"/>
  <c r="X20" i="5"/>
  <c r="AT20" i="5"/>
  <c r="AT28" i="5"/>
  <c r="AU28" i="5"/>
  <c r="AR26" i="5"/>
  <c r="U15" i="5"/>
  <c r="T22" i="5"/>
  <c r="AX30" i="5"/>
  <c r="AV30" i="5"/>
  <c r="T26" i="5"/>
  <c r="U21" i="5"/>
  <c r="AX21" i="5"/>
  <c r="AR22" i="5" l="1"/>
  <c r="AS33" i="5"/>
  <c r="X33" i="5" s="1"/>
  <c r="AS11" i="5"/>
  <c r="X11" i="5" s="1"/>
  <c r="W19" i="5"/>
  <c r="AN19" i="5"/>
  <c r="AR19" i="5"/>
  <c r="U19" i="5" s="1"/>
  <c r="AU11" i="5"/>
  <c r="X12" i="5"/>
  <c r="AT12" i="5"/>
  <c r="AX13" i="5"/>
  <c r="AV13" i="5"/>
  <c r="AL23" i="5"/>
  <c r="AO17" i="5"/>
  <c r="AV15" i="5"/>
  <c r="AX15" i="5"/>
  <c r="AM31" i="5"/>
  <c r="V31" i="5"/>
  <c r="S31" i="2" s="1"/>
  <c r="AU19" i="5"/>
  <c r="AU22" i="5"/>
  <c r="AO30" i="5"/>
  <c r="AS30" i="5" s="1"/>
  <c r="X30" i="5" s="1"/>
  <c r="AS29" i="5"/>
  <c r="AX28" i="5"/>
  <c r="AV28" i="5"/>
  <c r="AD19" i="5"/>
  <c r="S19" i="5" s="1"/>
  <c r="K19" i="2" s="1"/>
  <c r="V19" i="5"/>
  <c r="S19" i="2" s="1"/>
  <c r="T23" i="5"/>
  <c r="U22" i="5"/>
  <c r="T33" i="5"/>
  <c r="U26" i="5"/>
  <c r="AR16" i="5"/>
  <c r="W16" i="5"/>
  <c r="AJ17" i="5"/>
  <c r="AM17" i="5" s="1"/>
  <c r="AN16" i="5"/>
  <c r="AK17" i="5" s="1"/>
  <c r="AS13" i="5"/>
  <c r="X13" i="5" s="1"/>
  <c r="AO19" i="5"/>
  <c r="AS19" i="5" s="1"/>
  <c r="X19" i="5" s="1"/>
  <c r="AU10" i="5"/>
  <c r="AT10" i="5"/>
  <c r="AT11" i="5" s="1"/>
  <c r="AT26" i="5"/>
  <c r="AU26" i="5"/>
  <c r="AO15" i="5"/>
  <c r="AS14" i="5"/>
  <c r="T16" i="5"/>
  <c r="U11" i="5"/>
  <c r="AT13" i="5" l="1"/>
  <c r="AT19" i="5" s="1"/>
  <c r="AU33" i="5"/>
  <c r="AT33" i="5"/>
  <c r="AS16" i="5"/>
  <c r="X16" i="5" s="1"/>
  <c r="AU16" i="5"/>
  <c r="AX11" i="5"/>
  <c r="AV11" i="5"/>
  <c r="AS15" i="5"/>
  <c r="X15" i="5" s="1"/>
  <c r="AO22" i="5"/>
  <c r="AX26" i="5"/>
  <c r="AV26" i="5"/>
  <c r="X29" i="5"/>
  <c r="AT29" i="5"/>
  <c r="AT30" i="5" s="1"/>
  <c r="AV10" i="5"/>
  <c r="AW10" i="5" s="1"/>
  <c r="AX10" i="5"/>
  <c r="AX22" i="5"/>
  <c r="AV22" i="5"/>
  <c r="W31" i="5"/>
  <c r="AN31" i="5"/>
  <c r="AS31" i="5" s="1"/>
  <c r="AR31" i="5"/>
  <c r="AO18" i="5"/>
  <c r="W17" i="5"/>
  <c r="AR17" i="5"/>
  <c r="AN17" i="5"/>
  <c r="AK18" i="5" s="1"/>
  <c r="AJ18" i="5"/>
  <c r="AM18" i="5" s="1"/>
  <c r="U16" i="5"/>
  <c r="T17" i="5"/>
  <c r="AU23" i="5"/>
  <c r="AD23" i="5"/>
  <c r="S23" i="5" s="1"/>
  <c r="K23" i="2" s="1"/>
  <c r="V23" i="5"/>
  <c r="S23" i="2" s="1"/>
  <c r="AM23" i="5"/>
  <c r="X14" i="5"/>
  <c r="AT14" i="5"/>
  <c r="AV19" i="5"/>
  <c r="AX19" i="5"/>
  <c r="AU17" i="5" l="1"/>
  <c r="W18" i="5"/>
  <c r="AN18" i="5"/>
  <c r="AK24" i="5" s="1"/>
  <c r="AJ24" i="5"/>
  <c r="AR18" i="5"/>
  <c r="AS18" i="5"/>
  <c r="X18" i="5" s="1"/>
  <c r="AO24" i="5"/>
  <c r="AR23" i="5"/>
  <c r="U23" i="5" s="1"/>
  <c r="W23" i="5"/>
  <c r="AN23" i="5"/>
  <c r="AX16" i="5"/>
  <c r="AV16" i="5"/>
  <c r="AS17" i="5"/>
  <c r="X17" i="5" s="1"/>
  <c r="AT16" i="5"/>
  <c r="AT17" i="5" s="1"/>
  <c r="T18" i="5"/>
  <c r="U17" i="5"/>
  <c r="AS22" i="5"/>
  <c r="X22" i="5" s="1"/>
  <c r="AO23" i="5"/>
  <c r="AW11" i="5"/>
  <c r="AV23" i="5"/>
  <c r="U31" i="5"/>
  <c r="AX31" i="5"/>
  <c r="X31" i="5"/>
  <c r="AT31" i="5"/>
  <c r="AT15" i="5"/>
  <c r="AX33" i="5"/>
  <c r="AV33" i="5"/>
  <c r="AT22" i="5" l="1"/>
  <c r="AX23" i="5"/>
  <c r="AS23" i="5"/>
  <c r="X23" i="5" s="1"/>
  <c r="AL24" i="5"/>
  <c r="AW12" i="5"/>
  <c r="AO27" i="5"/>
  <c r="AT23" i="5"/>
  <c r="AX17" i="5"/>
  <c r="AV17" i="5"/>
  <c r="AT18" i="5"/>
  <c r="AU18" i="5"/>
  <c r="U18" i="5"/>
  <c r="T24" i="5"/>
  <c r="AU24" i="5" l="1"/>
  <c r="AW13" i="5"/>
  <c r="AG10" i="6"/>
  <c r="A10" i="6" s="1"/>
  <c r="AX18" i="5"/>
  <c r="AV18" i="5"/>
  <c r="AD24" i="5"/>
  <c r="S24" i="5" s="1"/>
  <c r="K24" i="2" s="1"/>
  <c r="V24" i="5"/>
  <c r="S24" i="2" s="1"/>
  <c r="R9" i="3" s="1"/>
  <c r="T18" i="2" s="1"/>
  <c r="AM24" i="5"/>
  <c r="AO32" i="5"/>
  <c r="T9" i="2" l="1"/>
  <c r="T11" i="2"/>
  <c r="T10" i="2"/>
  <c r="T16" i="2"/>
  <c r="T17" i="2"/>
  <c r="AR24" i="5"/>
  <c r="AX24" i="5" s="1"/>
  <c r="AN24" i="5"/>
  <c r="AJ27" i="5"/>
  <c r="AM27" i="5" s="1"/>
  <c r="W24" i="5"/>
  <c r="B10" i="6"/>
  <c r="D10" i="6"/>
  <c r="B10" i="3" s="1"/>
  <c r="C10" i="6"/>
  <c r="F10" i="6"/>
  <c r="C10" i="3"/>
  <c r="AW14" i="5"/>
  <c r="AV24" i="5"/>
  <c r="T24" i="2"/>
  <c r="R10" i="3" l="1"/>
  <c r="T13" i="2" s="1"/>
  <c r="A10" i="3"/>
  <c r="AW15" i="5"/>
  <c r="AG11" i="6"/>
  <c r="A11" i="6" s="1"/>
  <c r="U24" i="5"/>
  <c r="T27" i="5"/>
  <c r="AJ32" i="5"/>
  <c r="AM32" i="5" s="1"/>
  <c r="AN27" i="5"/>
  <c r="W27" i="5"/>
  <c r="AR27" i="5"/>
  <c r="AK27" i="5"/>
  <c r="AS24" i="5"/>
  <c r="T19" i="2" l="1"/>
  <c r="T12" i="2"/>
  <c r="AK32" i="5"/>
  <c r="AS27" i="5"/>
  <c r="X27" i="5" s="1"/>
  <c r="D11" i="6"/>
  <c r="B11" i="3" s="1"/>
  <c r="B11" i="6"/>
  <c r="F11" i="6"/>
  <c r="C11" i="6"/>
  <c r="C11" i="3"/>
  <c r="T32" i="5"/>
  <c r="U27" i="5"/>
  <c r="X24" i="5"/>
  <c r="AT24" i="5"/>
  <c r="W32" i="5"/>
  <c r="AR32" i="5"/>
  <c r="U32" i="5" s="1"/>
  <c r="AN32" i="5"/>
  <c r="AS32" i="5" s="1"/>
  <c r="X32" i="5" s="1"/>
  <c r="AT27" i="5"/>
  <c r="AU27" i="5"/>
  <c r="AW16" i="5"/>
  <c r="AW17" i="5" s="1"/>
  <c r="A11" i="3" l="1"/>
  <c r="AW18" i="5"/>
  <c r="AW19" i="5" s="1"/>
  <c r="AW20" i="5" s="1"/>
  <c r="AW21" i="5" s="1"/>
  <c r="AW22" i="5" s="1"/>
  <c r="AW23" i="5" s="1"/>
  <c r="AW24" i="5"/>
  <c r="AW25" i="5" s="1"/>
  <c r="AW26" i="5" s="1"/>
  <c r="R11" i="3"/>
  <c r="AV27" i="5"/>
  <c r="AX27" i="5"/>
  <c r="L9" i="6"/>
  <c r="J9" i="3" s="1"/>
  <c r="N9" i="6"/>
  <c r="T10" i="6"/>
  <c r="I9" i="6"/>
  <c r="I9" i="3" s="1"/>
  <c r="K9" i="6"/>
  <c r="N10" i="6"/>
  <c r="E10" i="6"/>
  <c r="I10" i="6"/>
  <c r="I10" i="3" s="1"/>
  <c r="H9" i="6"/>
  <c r="J9" i="6" s="1"/>
  <c r="M9" i="6"/>
  <c r="L10" i="6"/>
  <c r="J10" i="3" s="1"/>
  <c r="H10" i="6"/>
  <c r="J10" i="6" s="1"/>
  <c r="M10" i="6"/>
  <c r="K10" i="6"/>
  <c r="AT32" i="5"/>
  <c r="AU32" i="5"/>
  <c r="K11" i="6" s="1"/>
  <c r="L11" i="6"/>
  <c r="O10" i="6" l="1"/>
  <c r="M10" i="3" s="1"/>
  <c r="H10" i="3"/>
  <c r="R10" i="6"/>
  <c r="P10" i="6"/>
  <c r="S10" i="6"/>
  <c r="P10" i="3" s="1"/>
  <c r="AD10" i="6"/>
  <c r="AE10" i="6" s="1"/>
  <c r="G10" i="6"/>
  <c r="W10" i="6" s="1"/>
  <c r="T10" i="3" s="1"/>
  <c r="U10" i="6"/>
  <c r="K10" i="3" s="1"/>
  <c r="S10" i="3"/>
  <c r="Q10" i="3"/>
  <c r="Y10" i="3" s="1"/>
  <c r="D10" i="3"/>
  <c r="F10" i="3"/>
  <c r="AX32" i="5"/>
  <c r="AV32" i="5"/>
  <c r="AW32" i="5" s="1"/>
  <c r="AW33" i="5" s="1"/>
  <c r="E9" i="6"/>
  <c r="T9" i="6"/>
  <c r="N11" i="6"/>
  <c r="H11" i="6"/>
  <c r="I11" i="6"/>
  <c r="I11" i="3" s="1"/>
  <c r="M11" i="6"/>
  <c r="T11" i="6"/>
  <c r="E11" i="6"/>
  <c r="AW27" i="5"/>
  <c r="AW28" i="5" s="1"/>
  <c r="AW29" i="5" s="1"/>
  <c r="AW30" i="5" s="1"/>
  <c r="AW31" i="5" s="1"/>
  <c r="O9" i="6"/>
  <c r="M9" i="3" s="1"/>
  <c r="H9" i="3"/>
  <c r="T22" i="2"/>
  <c r="T15" i="2"/>
  <c r="T14" i="2"/>
  <c r="J11" i="3"/>
  <c r="T23" i="2"/>
  <c r="X10" i="6" l="1"/>
  <c r="Y10" i="6"/>
  <c r="O10" i="3" s="1"/>
  <c r="N10" i="3"/>
  <c r="Q10" i="6"/>
  <c r="G10" i="3" s="1"/>
  <c r="E10" i="3"/>
  <c r="G11" i="6"/>
  <c r="W11" i="6" s="1"/>
  <c r="T11" i="3" s="1"/>
  <c r="R11" i="6"/>
  <c r="S11" i="6"/>
  <c r="P11" i="3" s="1"/>
  <c r="P11" i="6"/>
  <c r="U11" i="6" s="1"/>
  <c r="K11" i="3" s="1"/>
  <c r="V10" i="6"/>
  <c r="D11" i="3"/>
  <c r="Q11" i="3"/>
  <c r="Y11" i="3" s="1"/>
  <c r="AF10" i="6"/>
  <c r="L10" i="3"/>
  <c r="J11" i="6"/>
  <c r="AG45" i="6"/>
  <c r="A45" i="6" s="1"/>
  <c r="AG73" i="6"/>
  <c r="A73" i="6" s="1"/>
  <c r="AG208" i="6"/>
  <c r="A208" i="6" s="1"/>
  <c r="AG176" i="6"/>
  <c r="A176" i="6" s="1"/>
  <c r="AG120" i="6"/>
  <c r="A120" i="6" s="1"/>
  <c r="AG135" i="6"/>
  <c r="A135" i="6" s="1"/>
  <c r="AG134" i="6"/>
  <c r="A134" i="6" s="1"/>
  <c r="AG111" i="6"/>
  <c r="A111" i="6" s="1"/>
  <c r="AG42" i="6"/>
  <c r="A42" i="6" s="1"/>
  <c r="AG182" i="6"/>
  <c r="A182" i="6" s="1"/>
  <c r="AG179" i="6"/>
  <c r="A179" i="6" s="1"/>
  <c r="AG32" i="6"/>
  <c r="A32" i="6" s="1"/>
  <c r="AG167" i="6"/>
  <c r="A167" i="6" s="1"/>
  <c r="AG24" i="6"/>
  <c r="A24" i="6" s="1"/>
  <c r="AG16" i="6"/>
  <c r="A16" i="6" s="1"/>
  <c r="AG164" i="6"/>
  <c r="A164" i="6" s="1"/>
  <c r="AG104" i="6"/>
  <c r="A104" i="6" s="1"/>
  <c r="AG96" i="6"/>
  <c r="A96" i="6" s="1"/>
  <c r="AG44" i="6"/>
  <c r="A44" i="6" s="1"/>
  <c r="AG53" i="6"/>
  <c r="A53" i="6" s="1"/>
  <c r="AG106" i="6"/>
  <c r="A106" i="6" s="1"/>
  <c r="AG55" i="6"/>
  <c r="A55" i="6" s="1"/>
  <c r="AG61" i="6"/>
  <c r="A61" i="6" s="1"/>
  <c r="AG165" i="6"/>
  <c r="A165" i="6" s="1"/>
  <c r="AG136" i="6"/>
  <c r="A136" i="6" s="1"/>
  <c r="AG63" i="6"/>
  <c r="A63" i="6" s="1"/>
  <c r="AG46" i="6"/>
  <c r="A46" i="6" s="1"/>
  <c r="AG68" i="6"/>
  <c r="A68" i="6" s="1"/>
  <c r="AG19" i="6"/>
  <c r="A19" i="6" s="1"/>
  <c r="AG31" i="6"/>
  <c r="A31" i="6" s="1"/>
  <c r="AG47" i="6"/>
  <c r="A47" i="6" s="1"/>
  <c r="AG129" i="6"/>
  <c r="A129" i="6" s="1"/>
  <c r="AG204" i="6"/>
  <c r="A204" i="6" s="1"/>
  <c r="AG171" i="6"/>
  <c r="A171" i="6" s="1"/>
  <c r="AG109" i="6"/>
  <c r="A109" i="6" s="1"/>
  <c r="AG58" i="6"/>
  <c r="A58" i="6" s="1"/>
  <c r="AG121" i="6"/>
  <c r="A121" i="6" s="1"/>
  <c r="AG170" i="6"/>
  <c r="A170" i="6" s="1"/>
  <c r="AG36" i="6"/>
  <c r="A36" i="6" s="1"/>
  <c r="AG127" i="6"/>
  <c r="A127" i="6" s="1"/>
  <c r="AG14" i="6"/>
  <c r="A14" i="6" s="1"/>
  <c r="AG163" i="6"/>
  <c r="A163" i="6" s="1"/>
  <c r="AG29" i="6"/>
  <c r="A29" i="6" s="1"/>
  <c r="AG77" i="6"/>
  <c r="A77" i="6" s="1"/>
  <c r="AG195" i="6"/>
  <c r="A195" i="6" s="1"/>
  <c r="AG137" i="6"/>
  <c r="A137" i="6" s="1"/>
  <c r="AG199" i="6"/>
  <c r="A199" i="6" s="1"/>
  <c r="AG105" i="6"/>
  <c r="A105" i="6" s="1"/>
  <c r="AG169" i="6"/>
  <c r="A169" i="6" s="1"/>
  <c r="AG193" i="6"/>
  <c r="A193" i="6" s="1"/>
  <c r="AG66" i="6"/>
  <c r="A66" i="6" s="1"/>
  <c r="AG119" i="6"/>
  <c r="A119" i="6" s="1"/>
  <c r="AG18" i="6"/>
  <c r="A18" i="6" s="1"/>
  <c r="AG149" i="6"/>
  <c r="A149" i="6" s="1"/>
  <c r="AG173" i="6"/>
  <c r="A173" i="6" s="1"/>
  <c r="AG132" i="6"/>
  <c r="A132" i="6" s="1"/>
  <c r="AG123" i="6"/>
  <c r="A123" i="6" s="1"/>
  <c r="AG192" i="6"/>
  <c r="A192" i="6" s="1"/>
  <c r="AG172" i="6"/>
  <c r="A172" i="6" s="1"/>
  <c r="AG21" i="6"/>
  <c r="A21" i="6" s="1"/>
  <c r="AG202" i="6"/>
  <c r="A202" i="6" s="1"/>
  <c r="AG89" i="6"/>
  <c r="A89" i="6" s="1"/>
  <c r="AG67" i="6"/>
  <c r="A67" i="6" s="1"/>
  <c r="AG17" i="6"/>
  <c r="A17" i="6" s="1"/>
  <c r="AG94" i="6"/>
  <c r="A94" i="6" s="1"/>
  <c r="AG180" i="6"/>
  <c r="A180" i="6" s="1"/>
  <c r="AG108" i="6"/>
  <c r="A108" i="6" s="1"/>
  <c r="AG92" i="6"/>
  <c r="A92" i="6" s="1"/>
  <c r="AG60" i="6"/>
  <c r="A60" i="6" s="1"/>
  <c r="AG181" i="6"/>
  <c r="A181" i="6" s="1"/>
  <c r="AG140" i="6"/>
  <c r="A140" i="6" s="1"/>
  <c r="AG76" i="6"/>
  <c r="A76" i="6" s="1"/>
  <c r="AG25" i="6"/>
  <c r="A25" i="6" s="1"/>
  <c r="AG152" i="6"/>
  <c r="A152" i="6" s="1"/>
  <c r="AG131" i="6"/>
  <c r="A131" i="6" s="1"/>
  <c r="AG185" i="6"/>
  <c r="A185" i="6" s="1"/>
  <c r="AG178" i="6"/>
  <c r="A178" i="6" s="1"/>
  <c r="AG145" i="6"/>
  <c r="A145" i="6" s="1"/>
  <c r="AG168" i="6"/>
  <c r="A168" i="6" s="1"/>
  <c r="AG186" i="6"/>
  <c r="A186" i="6" s="1"/>
  <c r="AG37" i="6"/>
  <c r="A37" i="6" s="1"/>
  <c r="AG83" i="6"/>
  <c r="A83" i="6" s="1"/>
  <c r="AG81" i="6"/>
  <c r="A81" i="6" s="1"/>
  <c r="AG52" i="6"/>
  <c r="A52" i="6" s="1"/>
  <c r="AG85" i="6"/>
  <c r="A85" i="6" s="1"/>
  <c r="AG114" i="6"/>
  <c r="A114" i="6" s="1"/>
  <c r="AG122" i="6"/>
  <c r="A122" i="6" s="1"/>
  <c r="AG198" i="6"/>
  <c r="A198" i="6" s="1"/>
  <c r="AG99" i="6"/>
  <c r="A99" i="6" s="1"/>
  <c r="AG57" i="6"/>
  <c r="A57" i="6" s="1"/>
  <c r="AG95" i="6"/>
  <c r="A95" i="6" s="1"/>
  <c r="AG93" i="6"/>
  <c r="A93" i="6" s="1"/>
  <c r="AG200" i="6"/>
  <c r="A200" i="6" s="1"/>
  <c r="AG203" i="6"/>
  <c r="A203" i="6" s="1"/>
  <c r="AG38" i="6"/>
  <c r="A38" i="6" s="1"/>
  <c r="AG15" i="6"/>
  <c r="A15" i="6" s="1"/>
  <c r="AG161" i="6"/>
  <c r="A161" i="6" s="1"/>
  <c r="AG102" i="6"/>
  <c r="A102" i="6" s="1"/>
  <c r="AG196" i="6"/>
  <c r="A196" i="6" s="1"/>
  <c r="AG40" i="6"/>
  <c r="A40" i="6" s="1"/>
  <c r="AG166" i="6"/>
  <c r="A166" i="6" s="1"/>
  <c r="AG69" i="6"/>
  <c r="A69" i="6" s="1"/>
  <c r="AG65" i="6"/>
  <c r="A65" i="6" s="1"/>
  <c r="AG118" i="6"/>
  <c r="A118" i="6" s="1"/>
  <c r="AG139" i="6"/>
  <c r="A139" i="6" s="1"/>
  <c r="AG155" i="6"/>
  <c r="A155" i="6" s="1"/>
  <c r="AG97" i="6"/>
  <c r="A97" i="6" s="1"/>
  <c r="AG90" i="6"/>
  <c r="A90" i="6" s="1"/>
  <c r="AG112" i="6"/>
  <c r="A112" i="6" s="1"/>
  <c r="AG146" i="6"/>
  <c r="A146" i="6" s="1"/>
  <c r="AG12" i="6"/>
  <c r="A12" i="6" s="1"/>
  <c r="AG174" i="6"/>
  <c r="A174" i="6" s="1"/>
  <c r="AG201" i="6"/>
  <c r="A201" i="6" s="1"/>
  <c r="AG80" i="6"/>
  <c r="A80" i="6" s="1"/>
  <c r="AG50" i="6"/>
  <c r="A50" i="6" s="1"/>
  <c r="AG79" i="6"/>
  <c r="A79" i="6" s="1"/>
  <c r="AG70" i="6"/>
  <c r="A70" i="6" s="1"/>
  <c r="AG100" i="6"/>
  <c r="A100" i="6" s="1"/>
  <c r="AG206" i="6"/>
  <c r="A206" i="6" s="1"/>
  <c r="AG207" i="6"/>
  <c r="A207" i="6" s="1"/>
  <c r="AG56" i="6"/>
  <c r="A56" i="6" s="1"/>
  <c r="AG49" i="6"/>
  <c r="A49" i="6" s="1"/>
  <c r="AG51" i="6"/>
  <c r="A51" i="6" s="1"/>
  <c r="AG35" i="6"/>
  <c r="A35" i="6" s="1"/>
  <c r="AG39" i="6"/>
  <c r="A39" i="6" s="1"/>
  <c r="AG91" i="6"/>
  <c r="A91" i="6" s="1"/>
  <c r="AG78" i="6"/>
  <c r="A78" i="6" s="1"/>
  <c r="AG28" i="6"/>
  <c r="A28" i="6" s="1"/>
  <c r="AG88" i="6"/>
  <c r="A88" i="6" s="1"/>
  <c r="AG124" i="6"/>
  <c r="A124" i="6" s="1"/>
  <c r="AG175" i="6"/>
  <c r="A175" i="6" s="1"/>
  <c r="AG110" i="6"/>
  <c r="A110" i="6" s="1"/>
  <c r="AG142" i="6"/>
  <c r="A142" i="6" s="1"/>
  <c r="AG115" i="6"/>
  <c r="A115" i="6" s="1"/>
  <c r="AG187" i="6"/>
  <c r="A187" i="6" s="1"/>
  <c r="AG48" i="6"/>
  <c r="A48" i="6" s="1"/>
  <c r="AG138" i="6"/>
  <c r="A138" i="6" s="1"/>
  <c r="AG205" i="6"/>
  <c r="A205" i="6" s="1"/>
  <c r="AG157" i="6"/>
  <c r="A157" i="6" s="1"/>
  <c r="AG64" i="6"/>
  <c r="A64" i="6" s="1"/>
  <c r="AG41" i="6"/>
  <c r="A41" i="6" s="1"/>
  <c r="AG30" i="6"/>
  <c r="A30" i="6" s="1"/>
  <c r="AG86" i="6"/>
  <c r="A86" i="6" s="1"/>
  <c r="AG150" i="6"/>
  <c r="A150" i="6" s="1"/>
  <c r="AG151" i="6"/>
  <c r="A151" i="6" s="1"/>
  <c r="AG154" i="6"/>
  <c r="A154" i="6" s="1"/>
  <c r="AG143" i="6"/>
  <c r="A143" i="6" s="1"/>
  <c r="AG156" i="6"/>
  <c r="A156" i="6" s="1"/>
  <c r="AG20" i="6"/>
  <c r="A20" i="6" s="1"/>
  <c r="AG98" i="6"/>
  <c r="A98" i="6" s="1"/>
  <c r="AG141" i="6"/>
  <c r="A141" i="6" s="1"/>
  <c r="AG43" i="6"/>
  <c r="A43" i="6" s="1"/>
  <c r="AG54" i="6"/>
  <c r="A54" i="6" s="1"/>
  <c r="AG34" i="6"/>
  <c r="A34" i="6" s="1"/>
  <c r="AG159" i="6"/>
  <c r="A159" i="6" s="1"/>
  <c r="AG117" i="6"/>
  <c r="A117" i="6" s="1"/>
  <c r="AG194" i="6"/>
  <c r="A194" i="6" s="1"/>
  <c r="AG190" i="6"/>
  <c r="A190" i="6" s="1"/>
  <c r="AG22" i="6"/>
  <c r="A22" i="6" s="1"/>
  <c r="AG116" i="6"/>
  <c r="A116" i="6" s="1"/>
  <c r="AG113" i="6"/>
  <c r="A113" i="6" s="1"/>
  <c r="AG147" i="6"/>
  <c r="A147" i="6" s="1"/>
  <c r="AG84" i="6"/>
  <c r="A84" i="6" s="1"/>
  <c r="AG103" i="6"/>
  <c r="A103" i="6" s="1"/>
  <c r="AG72" i="6"/>
  <c r="A72" i="6" s="1"/>
  <c r="AG126" i="6"/>
  <c r="A126" i="6" s="1"/>
  <c r="AG184" i="6"/>
  <c r="A184" i="6" s="1"/>
  <c r="AG130" i="6"/>
  <c r="A130" i="6" s="1"/>
  <c r="AG191" i="6"/>
  <c r="A191" i="6" s="1"/>
  <c r="AG160" i="6"/>
  <c r="A160" i="6" s="1"/>
  <c r="AG59" i="6"/>
  <c r="A59" i="6" s="1"/>
  <c r="AG74" i="6"/>
  <c r="A74" i="6" s="1"/>
  <c r="AG87" i="6"/>
  <c r="A87" i="6" s="1"/>
  <c r="AG158" i="6"/>
  <c r="A158" i="6" s="1"/>
  <c r="AG125" i="6"/>
  <c r="A125" i="6" s="1"/>
  <c r="AG62" i="6"/>
  <c r="A62" i="6" s="1"/>
  <c r="AG26" i="6"/>
  <c r="A26" i="6" s="1"/>
  <c r="AG101" i="6"/>
  <c r="A101" i="6" s="1"/>
  <c r="AG153" i="6"/>
  <c r="A153" i="6" s="1"/>
  <c r="AG13" i="6"/>
  <c r="A13" i="6" s="1"/>
  <c r="AG27" i="6"/>
  <c r="A27" i="6" s="1"/>
  <c r="AG71" i="6"/>
  <c r="A71" i="6" s="1"/>
  <c r="AG128" i="6"/>
  <c r="A128" i="6" s="1"/>
  <c r="AG82" i="6"/>
  <c r="A82" i="6" s="1"/>
  <c r="AG33" i="6"/>
  <c r="A33" i="6" s="1"/>
  <c r="AG197" i="6"/>
  <c r="A197" i="6" s="1"/>
  <c r="AG189" i="6"/>
  <c r="A189" i="6" s="1"/>
  <c r="AG188" i="6"/>
  <c r="A188" i="6" s="1"/>
  <c r="AG144" i="6"/>
  <c r="A144" i="6" s="1"/>
  <c r="AG162" i="6"/>
  <c r="A162" i="6" s="1"/>
  <c r="AG75" i="6"/>
  <c r="A75" i="6" s="1"/>
  <c r="AG183" i="6"/>
  <c r="A183" i="6" s="1"/>
  <c r="AG23" i="6"/>
  <c r="A23" i="6" s="1"/>
  <c r="AG133" i="6"/>
  <c r="A133" i="6" s="1"/>
  <c r="AG107" i="6"/>
  <c r="A107" i="6" s="1"/>
  <c r="AG148" i="6"/>
  <c r="A148" i="6" s="1"/>
  <c r="AG177" i="6"/>
  <c r="A177" i="6" s="1"/>
  <c r="F11" i="3"/>
  <c r="S9" i="6"/>
  <c r="P9" i="3" s="1"/>
  <c r="P9" i="6"/>
  <c r="V9" i="6" s="1"/>
  <c r="R9" i="6"/>
  <c r="U9" i="6"/>
  <c r="K9" i="3" s="1"/>
  <c r="G9" i="6"/>
  <c r="W9" i="6" s="1"/>
  <c r="T9" i="3" s="1"/>
  <c r="AD9" i="6"/>
  <c r="AE9" i="6" s="1"/>
  <c r="F9" i="3"/>
  <c r="N9" i="3"/>
  <c r="Q9" i="3"/>
  <c r="S9" i="3"/>
  <c r="D9" i="3"/>
  <c r="S11" i="3"/>
  <c r="X9" i="6"/>
  <c r="T65" i="6" l="1"/>
  <c r="Y65" i="6" s="1"/>
  <c r="E65" i="6"/>
  <c r="S65" i="6" s="1"/>
  <c r="F65" i="6"/>
  <c r="H65" i="6"/>
  <c r="D65" i="6"/>
  <c r="O65" i="6"/>
  <c r="N65" i="6"/>
  <c r="C65" i="6"/>
  <c r="B65" i="6"/>
  <c r="M65" i="6"/>
  <c r="L65" i="6"/>
  <c r="K65" i="6"/>
  <c r="J65" i="6"/>
  <c r="I65" i="6"/>
  <c r="W65" i="6"/>
  <c r="S65" i="3"/>
  <c r="Q65" i="3"/>
  <c r="T65" i="3"/>
  <c r="P65" i="3"/>
  <c r="I65" i="3"/>
  <c r="H65" i="3"/>
  <c r="F65" i="3"/>
  <c r="E65" i="3"/>
  <c r="G65" i="3"/>
  <c r="J65" i="3"/>
  <c r="D65" i="3"/>
  <c r="B65" i="3"/>
  <c r="A65" i="3"/>
  <c r="C65" i="3"/>
  <c r="O65" i="3"/>
  <c r="R65" i="3"/>
  <c r="M65" i="3"/>
  <c r="N65" i="3"/>
  <c r="L65" i="3"/>
  <c r="K65" i="3"/>
  <c r="W83" i="6"/>
  <c r="C83" i="6"/>
  <c r="K83" i="6"/>
  <c r="L83" i="6"/>
  <c r="I83" i="6"/>
  <c r="N83" i="6"/>
  <c r="M83" i="6"/>
  <c r="J83" i="6"/>
  <c r="T83" i="6"/>
  <c r="Y83" i="6" s="1"/>
  <c r="B83" i="6"/>
  <c r="A83" i="3"/>
  <c r="S83" i="3"/>
  <c r="T83" i="3"/>
  <c r="R83" i="3"/>
  <c r="P83" i="3"/>
  <c r="D83" i="6"/>
  <c r="Q83" i="3"/>
  <c r="F83" i="6"/>
  <c r="O83" i="6"/>
  <c r="H83" i="6"/>
  <c r="K83" i="3"/>
  <c r="J83" i="3"/>
  <c r="G83" i="3"/>
  <c r="E83" i="3"/>
  <c r="D83" i="3"/>
  <c r="C83" i="3"/>
  <c r="I83" i="3"/>
  <c r="H83" i="3"/>
  <c r="F83" i="3"/>
  <c r="B83" i="3"/>
  <c r="E83" i="6"/>
  <c r="G83" i="6" s="1"/>
  <c r="M83" i="3"/>
  <c r="L83" i="3"/>
  <c r="O83" i="3"/>
  <c r="N83" i="3"/>
  <c r="K27" i="6"/>
  <c r="J27" i="6"/>
  <c r="T27" i="6"/>
  <c r="Y27" i="6" s="1"/>
  <c r="W27" i="6"/>
  <c r="O27" i="6"/>
  <c r="N27" i="6"/>
  <c r="H27" i="6"/>
  <c r="F27" i="6"/>
  <c r="E27" i="6"/>
  <c r="R27" i="6" s="1"/>
  <c r="I27" i="6"/>
  <c r="D27" i="6"/>
  <c r="C27" i="6"/>
  <c r="B27" i="6"/>
  <c r="Q27" i="3"/>
  <c r="O27" i="3"/>
  <c r="S27" i="3"/>
  <c r="R27" i="3"/>
  <c r="N27" i="3"/>
  <c r="T27" i="3"/>
  <c r="E27" i="3"/>
  <c r="A27" i="3"/>
  <c r="D27" i="3"/>
  <c r="C27" i="3"/>
  <c r="B27" i="3"/>
  <c r="L27" i="3"/>
  <c r="M27" i="6"/>
  <c r="L27" i="6"/>
  <c r="F27" i="3"/>
  <c r="K27" i="3"/>
  <c r="G27" i="3"/>
  <c r="J27" i="3"/>
  <c r="I27" i="3"/>
  <c r="H27" i="3"/>
  <c r="P27" i="3"/>
  <c r="M27" i="3"/>
  <c r="F186" i="6"/>
  <c r="N186" i="6"/>
  <c r="T186" i="6"/>
  <c r="Y186" i="6" s="1"/>
  <c r="B186" i="6"/>
  <c r="O186" i="6"/>
  <c r="M186" i="6"/>
  <c r="L186" i="6"/>
  <c r="E186" i="6"/>
  <c r="G186" i="6" s="1"/>
  <c r="D186" i="6"/>
  <c r="W186" i="6"/>
  <c r="K186" i="6"/>
  <c r="J186" i="6"/>
  <c r="R186" i="3"/>
  <c r="Q186" i="3"/>
  <c r="O186" i="3"/>
  <c r="M186" i="3"/>
  <c r="G186" i="3"/>
  <c r="I186" i="6"/>
  <c r="F186" i="3"/>
  <c r="H186" i="6"/>
  <c r="C186" i="6"/>
  <c r="D186" i="3"/>
  <c r="T186" i="3"/>
  <c r="S186" i="3"/>
  <c r="N186" i="3"/>
  <c r="L186" i="3"/>
  <c r="P186" i="3"/>
  <c r="J186" i="3"/>
  <c r="K186" i="3"/>
  <c r="A186" i="3"/>
  <c r="I186" i="3"/>
  <c r="H186" i="3"/>
  <c r="E186" i="3"/>
  <c r="C186" i="3"/>
  <c r="B186" i="3"/>
  <c r="H153" i="6"/>
  <c r="F153" i="6"/>
  <c r="K153" i="6"/>
  <c r="O153" i="6"/>
  <c r="T153" i="6"/>
  <c r="X153" i="6" s="1"/>
  <c r="N153" i="6"/>
  <c r="D153" i="6"/>
  <c r="B153" i="6"/>
  <c r="L153" i="6"/>
  <c r="J153" i="6"/>
  <c r="I153" i="6"/>
  <c r="Y153" i="6"/>
  <c r="W153" i="6"/>
  <c r="M153" i="6"/>
  <c r="E153" i="6"/>
  <c r="K153" i="3"/>
  <c r="I153" i="3"/>
  <c r="Q153" i="3"/>
  <c r="P153" i="3"/>
  <c r="N153" i="3"/>
  <c r="S153" i="3"/>
  <c r="R153" i="3"/>
  <c r="M153" i="3"/>
  <c r="L153" i="3"/>
  <c r="O153" i="3"/>
  <c r="C153" i="6"/>
  <c r="E153" i="3"/>
  <c r="D153" i="3"/>
  <c r="A153" i="3"/>
  <c r="C153" i="3"/>
  <c r="B153" i="3"/>
  <c r="H153" i="3"/>
  <c r="T153" i="3"/>
  <c r="J153" i="3"/>
  <c r="F153" i="3"/>
  <c r="G153" i="3"/>
  <c r="N36" i="6"/>
  <c r="O36" i="6"/>
  <c r="T36" i="6"/>
  <c r="X36" i="6" s="1"/>
  <c r="W36" i="6"/>
  <c r="M36" i="6"/>
  <c r="L36" i="6"/>
  <c r="B36" i="6"/>
  <c r="H36" i="6"/>
  <c r="F36" i="6"/>
  <c r="E36" i="6"/>
  <c r="G36" i="6" s="1"/>
  <c r="I36" i="6"/>
  <c r="D36" i="6"/>
  <c r="C36" i="6"/>
  <c r="H36" i="3"/>
  <c r="F36" i="3"/>
  <c r="G36" i="3"/>
  <c r="S36" i="6"/>
  <c r="E36" i="3"/>
  <c r="R36" i="6"/>
  <c r="C36" i="3"/>
  <c r="K36" i="6"/>
  <c r="Q36" i="3"/>
  <c r="Y36" i="6"/>
  <c r="P36" i="3"/>
  <c r="N36" i="3"/>
  <c r="J36" i="6"/>
  <c r="O36" i="3"/>
  <c r="M36" i="3"/>
  <c r="S36" i="3"/>
  <c r="L36" i="3"/>
  <c r="K36" i="3"/>
  <c r="J36" i="3"/>
  <c r="T36" i="3"/>
  <c r="R36" i="3"/>
  <c r="I36" i="3"/>
  <c r="B36" i="3"/>
  <c r="A36" i="3"/>
  <c r="D36" i="3"/>
  <c r="L205" i="6"/>
  <c r="F205" i="6"/>
  <c r="O205" i="6"/>
  <c r="E205" i="6"/>
  <c r="S205" i="6" s="1"/>
  <c r="D205" i="6"/>
  <c r="W205" i="6"/>
  <c r="T205" i="6"/>
  <c r="X205" i="6" s="1"/>
  <c r="C205" i="6"/>
  <c r="B205" i="6"/>
  <c r="N205" i="6"/>
  <c r="M205" i="6"/>
  <c r="J205" i="6"/>
  <c r="I205" i="6"/>
  <c r="H205" i="6"/>
  <c r="T205" i="3"/>
  <c r="S205" i="3"/>
  <c r="R205" i="3"/>
  <c r="A205" i="3"/>
  <c r="I205" i="3"/>
  <c r="H205" i="3"/>
  <c r="F205" i="3"/>
  <c r="K205" i="6"/>
  <c r="G205" i="3"/>
  <c r="B205" i="3"/>
  <c r="E205" i="3"/>
  <c r="C205" i="3"/>
  <c r="D205" i="3"/>
  <c r="P205" i="3"/>
  <c r="M205" i="3"/>
  <c r="Q205" i="3"/>
  <c r="O205" i="3"/>
  <c r="N205" i="3"/>
  <c r="L205" i="3"/>
  <c r="K205" i="3"/>
  <c r="J205" i="3"/>
  <c r="F102" i="6"/>
  <c r="K102" i="6"/>
  <c r="I102" i="6"/>
  <c r="H102" i="6"/>
  <c r="D102" i="6"/>
  <c r="W102" i="6"/>
  <c r="E102" i="6"/>
  <c r="P102" i="6" s="1"/>
  <c r="Q102" i="6" s="1"/>
  <c r="C102" i="6"/>
  <c r="B102" i="6"/>
  <c r="N102" i="6"/>
  <c r="M102" i="6"/>
  <c r="L102" i="6"/>
  <c r="J102" i="6"/>
  <c r="B102" i="3"/>
  <c r="T102" i="3"/>
  <c r="S102" i="3"/>
  <c r="Q102" i="3"/>
  <c r="O102" i="3"/>
  <c r="K102" i="3"/>
  <c r="N102" i="3"/>
  <c r="O102" i="6"/>
  <c r="T102" i="6"/>
  <c r="X102" i="6" s="1"/>
  <c r="M102" i="3"/>
  <c r="R102" i="6"/>
  <c r="L102" i="3"/>
  <c r="R102" i="3"/>
  <c r="J102" i="3"/>
  <c r="I102" i="3"/>
  <c r="H102" i="3"/>
  <c r="G102" i="3"/>
  <c r="F102" i="3"/>
  <c r="C102" i="3"/>
  <c r="E102" i="3"/>
  <c r="D102" i="3"/>
  <c r="A102" i="3"/>
  <c r="P102" i="3"/>
  <c r="H177" i="6"/>
  <c r="C177" i="6"/>
  <c r="O177" i="6"/>
  <c r="I177" i="6"/>
  <c r="G177" i="6"/>
  <c r="F177" i="6"/>
  <c r="N177" i="6"/>
  <c r="W177" i="6"/>
  <c r="T177" i="6"/>
  <c r="Y177" i="6" s="1"/>
  <c r="M177" i="6"/>
  <c r="G177" i="3"/>
  <c r="H177" i="3"/>
  <c r="E177" i="3"/>
  <c r="L177" i="6"/>
  <c r="A177" i="3"/>
  <c r="K177" i="6"/>
  <c r="J177" i="6"/>
  <c r="E177" i="6"/>
  <c r="S177" i="6" s="1"/>
  <c r="D177" i="6"/>
  <c r="L177" i="3"/>
  <c r="K177" i="3"/>
  <c r="I177" i="3"/>
  <c r="B177" i="6"/>
  <c r="J177" i="3"/>
  <c r="F177" i="3"/>
  <c r="S177" i="3"/>
  <c r="Q177" i="3"/>
  <c r="P177" i="3"/>
  <c r="T177" i="3"/>
  <c r="R177" i="3"/>
  <c r="O177" i="3"/>
  <c r="N177" i="3"/>
  <c r="C177" i="3"/>
  <c r="B177" i="3"/>
  <c r="M177" i="3"/>
  <c r="D177" i="3"/>
  <c r="W178" i="6"/>
  <c r="C178" i="6"/>
  <c r="M178" i="6"/>
  <c r="F178" i="6"/>
  <c r="E178" i="6"/>
  <c r="P178" i="6" s="1"/>
  <c r="N178" i="6"/>
  <c r="L178" i="6"/>
  <c r="B178" i="6"/>
  <c r="D178" i="6"/>
  <c r="I178" i="6"/>
  <c r="H178" i="6"/>
  <c r="T178" i="6"/>
  <c r="Y178" i="6" s="1"/>
  <c r="O178" i="6"/>
  <c r="K178" i="6"/>
  <c r="J178" i="6"/>
  <c r="F178" i="3"/>
  <c r="H178" i="3"/>
  <c r="E178" i="3"/>
  <c r="C178" i="3"/>
  <c r="B178" i="3"/>
  <c r="Q178" i="3"/>
  <c r="M178" i="3"/>
  <c r="P178" i="3"/>
  <c r="N178" i="3"/>
  <c r="O178" i="3"/>
  <c r="G178" i="3"/>
  <c r="D178" i="3"/>
  <c r="A178" i="3"/>
  <c r="J178" i="3"/>
  <c r="T178" i="3"/>
  <c r="S178" i="3"/>
  <c r="R178" i="3"/>
  <c r="L178" i="3"/>
  <c r="K178" i="3"/>
  <c r="I178" i="3"/>
  <c r="M62" i="6"/>
  <c r="O62" i="6"/>
  <c r="L62" i="6"/>
  <c r="J62" i="6"/>
  <c r="N62" i="6"/>
  <c r="K62" i="6"/>
  <c r="I62" i="6"/>
  <c r="W62" i="6"/>
  <c r="T62" i="6"/>
  <c r="X62" i="6" s="1"/>
  <c r="H62" i="6"/>
  <c r="F62" i="6"/>
  <c r="E62" i="6"/>
  <c r="S62" i="6" s="1"/>
  <c r="D62" i="6"/>
  <c r="B62" i="3"/>
  <c r="B62" i="6"/>
  <c r="T62" i="3"/>
  <c r="P62" i="3"/>
  <c r="O62" i="3"/>
  <c r="M62" i="3"/>
  <c r="Q62" i="3"/>
  <c r="S62" i="3"/>
  <c r="C62" i="6"/>
  <c r="R62" i="3"/>
  <c r="N62" i="3"/>
  <c r="C62" i="3"/>
  <c r="A62" i="3"/>
  <c r="L62" i="3"/>
  <c r="K62" i="3"/>
  <c r="J62" i="3"/>
  <c r="H62" i="3"/>
  <c r="I62" i="3"/>
  <c r="G62" i="3"/>
  <c r="F62" i="3"/>
  <c r="E62" i="3"/>
  <c r="D62" i="3"/>
  <c r="H58" i="6"/>
  <c r="L58" i="6"/>
  <c r="J58" i="6"/>
  <c r="W58" i="6"/>
  <c r="T58" i="6"/>
  <c r="X58" i="6" s="1"/>
  <c r="E58" i="6"/>
  <c r="R58" i="6" s="1"/>
  <c r="D58" i="6"/>
  <c r="C58" i="6"/>
  <c r="K58" i="6"/>
  <c r="I58" i="6"/>
  <c r="F58" i="6"/>
  <c r="O58" i="6"/>
  <c r="N58" i="6"/>
  <c r="F58" i="3"/>
  <c r="D58" i="3"/>
  <c r="M58" i="6"/>
  <c r="L58" i="3"/>
  <c r="B58" i="6"/>
  <c r="K58" i="3"/>
  <c r="I58" i="3"/>
  <c r="T58" i="3"/>
  <c r="O58" i="3"/>
  <c r="J58" i="3"/>
  <c r="G58" i="3"/>
  <c r="N58" i="3"/>
  <c r="E58" i="3"/>
  <c r="C58" i="3"/>
  <c r="B58" i="3"/>
  <c r="M58" i="3"/>
  <c r="H58" i="3"/>
  <c r="A58" i="3"/>
  <c r="R58" i="3"/>
  <c r="S58" i="3"/>
  <c r="Q58" i="3"/>
  <c r="P58" i="3"/>
  <c r="H38" i="6"/>
  <c r="L38" i="6"/>
  <c r="T38" i="6"/>
  <c r="Y38" i="6" s="1"/>
  <c r="C38" i="6"/>
  <c r="B38" i="6"/>
  <c r="F38" i="6"/>
  <c r="E38" i="6"/>
  <c r="P38" i="6" s="1"/>
  <c r="Q38" i="6" s="1"/>
  <c r="D38" i="6"/>
  <c r="M38" i="6"/>
  <c r="K38" i="6"/>
  <c r="J38" i="6"/>
  <c r="I38" i="6"/>
  <c r="W38" i="6"/>
  <c r="F38" i="3"/>
  <c r="D38" i="3"/>
  <c r="J38" i="3"/>
  <c r="I38" i="3"/>
  <c r="G38" i="3"/>
  <c r="O38" i="6"/>
  <c r="P38" i="3"/>
  <c r="M38" i="3"/>
  <c r="O38" i="3"/>
  <c r="H38" i="3"/>
  <c r="E38" i="3"/>
  <c r="N38" i="3"/>
  <c r="N38" i="6"/>
  <c r="L38" i="3"/>
  <c r="K38" i="3"/>
  <c r="C38" i="3"/>
  <c r="B38" i="3"/>
  <c r="S38" i="3"/>
  <c r="T38" i="3"/>
  <c r="R38" i="3"/>
  <c r="Q38" i="3"/>
  <c r="A38" i="3"/>
  <c r="T34" i="6"/>
  <c r="Y34" i="6" s="1"/>
  <c r="D34" i="6"/>
  <c r="C34" i="6"/>
  <c r="B34" i="6"/>
  <c r="H34" i="6"/>
  <c r="F34" i="6"/>
  <c r="I34" i="6"/>
  <c r="E34" i="6"/>
  <c r="P34" i="6" s="1"/>
  <c r="W34" i="6"/>
  <c r="O34" i="6"/>
  <c r="N34" i="6"/>
  <c r="J34" i="3"/>
  <c r="H34" i="3"/>
  <c r="D34" i="3"/>
  <c r="C34" i="3"/>
  <c r="M34" i="6"/>
  <c r="L34" i="6"/>
  <c r="A34" i="3"/>
  <c r="K34" i="6"/>
  <c r="G34" i="3"/>
  <c r="B34" i="3"/>
  <c r="F34" i="3"/>
  <c r="E34" i="3"/>
  <c r="T34" i="3"/>
  <c r="S34" i="3"/>
  <c r="R34" i="3"/>
  <c r="Q34" i="3"/>
  <c r="P34" i="3"/>
  <c r="J34" i="6"/>
  <c r="M34" i="3"/>
  <c r="L34" i="3"/>
  <c r="O34" i="3"/>
  <c r="N34" i="3"/>
  <c r="I34" i="3"/>
  <c r="K34" i="3"/>
  <c r="J24" i="6"/>
  <c r="M24" i="6"/>
  <c r="C24" i="6"/>
  <c r="B24" i="6"/>
  <c r="O24" i="6"/>
  <c r="N24" i="6"/>
  <c r="D24" i="6"/>
  <c r="W24" i="6"/>
  <c r="T24" i="6"/>
  <c r="X24" i="6" s="1"/>
  <c r="L24" i="6"/>
  <c r="K24" i="6"/>
  <c r="I24" i="6"/>
  <c r="T24" i="3"/>
  <c r="R24" i="3"/>
  <c r="N24" i="3"/>
  <c r="M24" i="3"/>
  <c r="H24" i="6"/>
  <c r="K24" i="3"/>
  <c r="F24" i="6"/>
  <c r="G24" i="3"/>
  <c r="D24" i="3"/>
  <c r="F24" i="3"/>
  <c r="C24" i="3"/>
  <c r="E24" i="3"/>
  <c r="E24" i="6"/>
  <c r="P24" i="6" s="1"/>
  <c r="S24" i="3"/>
  <c r="Q24" i="3"/>
  <c r="P24" i="3"/>
  <c r="O24" i="3"/>
  <c r="L24" i="3"/>
  <c r="B24" i="3"/>
  <c r="I24" i="3"/>
  <c r="A24" i="3"/>
  <c r="J24" i="3"/>
  <c r="H24" i="3"/>
  <c r="J25" i="6"/>
  <c r="O25" i="6"/>
  <c r="N25" i="6"/>
  <c r="H25" i="6"/>
  <c r="F25" i="6"/>
  <c r="I25" i="6"/>
  <c r="E25" i="6"/>
  <c r="P25" i="6" s="1"/>
  <c r="D25" i="6"/>
  <c r="C25" i="6"/>
  <c r="W25" i="6"/>
  <c r="T25" i="6"/>
  <c r="Y25" i="6" s="1"/>
  <c r="S25" i="3"/>
  <c r="Q25" i="3"/>
  <c r="O25" i="3"/>
  <c r="N25" i="3"/>
  <c r="L25" i="3"/>
  <c r="K25" i="3"/>
  <c r="J25" i="3"/>
  <c r="H25" i="3"/>
  <c r="I25" i="3"/>
  <c r="G25" i="3"/>
  <c r="M25" i="3"/>
  <c r="K25" i="6"/>
  <c r="F25" i="3"/>
  <c r="D25" i="3"/>
  <c r="C25" i="3"/>
  <c r="B25" i="3"/>
  <c r="A25" i="3"/>
  <c r="L25" i="6"/>
  <c r="E25" i="3"/>
  <c r="M25" i="6"/>
  <c r="B25" i="6"/>
  <c r="T25" i="3"/>
  <c r="P25" i="3"/>
  <c r="R25" i="3"/>
  <c r="W93" i="6"/>
  <c r="C93" i="6"/>
  <c r="F93" i="6"/>
  <c r="N93" i="6"/>
  <c r="L93" i="6"/>
  <c r="B93" i="6"/>
  <c r="D93" i="6"/>
  <c r="E93" i="6"/>
  <c r="R93" i="6" s="1"/>
  <c r="O93" i="6"/>
  <c r="H93" i="6"/>
  <c r="T93" i="6"/>
  <c r="X93" i="6" s="1"/>
  <c r="J93" i="6"/>
  <c r="K93" i="3"/>
  <c r="I93" i="3"/>
  <c r="J93" i="3"/>
  <c r="H93" i="3"/>
  <c r="F93" i="3"/>
  <c r="K93" i="6"/>
  <c r="S93" i="3"/>
  <c r="I93" i="6"/>
  <c r="T93" i="3"/>
  <c r="R93" i="3"/>
  <c r="M93" i="3"/>
  <c r="M93" i="6"/>
  <c r="L93" i="3"/>
  <c r="D93" i="3"/>
  <c r="C93" i="3"/>
  <c r="B93" i="3"/>
  <c r="A93" i="3"/>
  <c r="G93" i="3"/>
  <c r="E93" i="3"/>
  <c r="Q93" i="3"/>
  <c r="P93" i="3"/>
  <c r="O93" i="3"/>
  <c r="N93" i="3"/>
  <c r="E160" i="6"/>
  <c r="R160" i="6" s="1"/>
  <c r="S160" i="6"/>
  <c r="L160" i="6"/>
  <c r="K160" i="6"/>
  <c r="N160" i="6"/>
  <c r="M160" i="6"/>
  <c r="B160" i="6"/>
  <c r="W160" i="6"/>
  <c r="O160" i="6"/>
  <c r="J160" i="6"/>
  <c r="I160" i="6"/>
  <c r="H160" i="6"/>
  <c r="T160" i="6"/>
  <c r="Y160" i="6" s="1"/>
  <c r="D160" i="3"/>
  <c r="B160" i="3"/>
  <c r="C160" i="3"/>
  <c r="A160" i="3"/>
  <c r="F160" i="6"/>
  <c r="T160" i="3"/>
  <c r="D160" i="6"/>
  <c r="C160" i="6"/>
  <c r="E160" i="3"/>
  <c r="S160" i="3"/>
  <c r="P160" i="6"/>
  <c r="Q160" i="6" s="1"/>
  <c r="R160" i="3"/>
  <c r="Q160" i="3"/>
  <c r="P160" i="3"/>
  <c r="M160" i="3"/>
  <c r="F160" i="3"/>
  <c r="L160" i="3"/>
  <c r="I160" i="3"/>
  <c r="K160" i="3"/>
  <c r="G160" i="3"/>
  <c r="J160" i="3"/>
  <c r="H160" i="3"/>
  <c r="O160" i="3"/>
  <c r="N160" i="3"/>
  <c r="W98" i="6"/>
  <c r="B98" i="6"/>
  <c r="K98" i="6"/>
  <c r="C98" i="6"/>
  <c r="I98" i="6"/>
  <c r="J98" i="6"/>
  <c r="O98" i="6"/>
  <c r="N98" i="6"/>
  <c r="M98" i="6"/>
  <c r="D98" i="6"/>
  <c r="L98" i="6"/>
  <c r="T98" i="6"/>
  <c r="X98" i="6" s="1"/>
  <c r="H98" i="6"/>
  <c r="F98" i="6"/>
  <c r="E98" i="6"/>
  <c r="F98" i="3"/>
  <c r="D98" i="3"/>
  <c r="P98" i="3"/>
  <c r="O98" i="3"/>
  <c r="M98" i="3"/>
  <c r="R98" i="3"/>
  <c r="T98" i="3"/>
  <c r="S98" i="3"/>
  <c r="J98" i="3"/>
  <c r="I98" i="3"/>
  <c r="E98" i="3"/>
  <c r="C98" i="3"/>
  <c r="B98" i="3"/>
  <c r="A98" i="3"/>
  <c r="H98" i="3"/>
  <c r="G98" i="3"/>
  <c r="N98" i="3"/>
  <c r="Q98" i="3"/>
  <c r="L98" i="3"/>
  <c r="K98" i="3"/>
  <c r="T124" i="6"/>
  <c r="Y124" i="6" s="1"/>
  <c r="W124" i="6"/>
  <c r="B124" i="6"/>
  <c r="F124" i="6"/>
  <c r="M124" i="6"/>
  <c r="L124" i="6"/>
  <c r="O124" i="6"/>
  <c r="K124" i="6"/>
  <c r="H124" i="6"/>
  <c r="E124" i="6"/>
  <c r="S124" i="6" s="1"/>
  <c r="I124" i="6"/>
  <c r="D124" i="6"/>
  <c r="C124" i="6"/>
  <c r="T124" i="3"/>
  <c r="R124" i="6"/>
  <c r="R124" i="3"/>
  <c r="D124" i="3"/>
  <c r="C124" i="3"/>
  <c r="A124" i="3"/>
  <c r="S124" i="3"/>
  <c r="J124" i="6"/>
  <c r="N124" i="6"/>
  <c r="O124" i="3"/>
  <c r="L124" i="3"/>
  <c r="Q124" i="3"/>
  <c r="N124" i="3"/>
  <c r="M124" i="3"/>
  <c r="J124" i="3"/>
  <c r="P124" i="3"/>
  <c r="K124" i="3"/>
  <c r="I124" i="3"/>
  <c r="H124" i="3"/>
  <c r="G124" i="3"/>
  <c r="F124" i="3"/>
  <c r="E124" i="3"/>
  <c r="B124" i="3"/>
  <c r="N146" i="6"/>
  <c r="W146" i="6"/>
  <c r="E146" i="6"/>
  <c r="P146" i="6" s="1"/>
  <c r="D146" i="6"/>
  <c r="J146" i="6"/>
  <c r="H146" i="6"/>
  <c r="C146" i="6"/>
  <c r="I146" i="6"/>
  <c r="F146" i="6"/>
  <c r="B146" i="6"/>
  <c r="T146" i="6"/>
  <c r="X146" i="6" s="1"/>
  <c r="O146" i="6"/>
  <c r="M146" i="6"/>
  <c r="L146" i="6"/>
  <c r="R146" i="3"/>
  <c r="P146" i="3"/>
  <c r="H146" i="3"/>
  <c r="G146" i="3"/>
  <c r="E146" i="3"/>
  <c r="I146" i="3"/>
  <c r="C146" i="3"/>
  <c r="Y146" i="3" s="1"/>
  <c r="F146" i="3"/>
  <c r="B146" i="3"/>
  <c r="D146" i="3"/>
  <c r="K146" i="6"/>
  <c r="O146" i="3"/>
  <c r="A146" i="3"/>
  <c r="N146" i="3"/>
  <c r="M146" i="3"/>
  <c r="L146" i="3"/>
  <c r="K146" i="3"/>
  <c r="J146" i="3"/>
  <c r="S146" i="3"/>
  <c r="T146" i="3"/>
  <c r="Q146" i="3"/>
  <c r="L57" i="6"/>
  <c r="W57" i="6"/>
  <c r="T57" i="6"/>
  <c r="X57" i="6" s="1"/>
  <c r="E57" i="6"/>
  <c r="G57" i="6" s="1"/>
  <c r="D57" i="6"/>
  <c r="C57" i="6"/>
  <c r="M57" i="6"/>
  <c r="K57" i="6"/>
  <c r="J57" i="6"/>
  <c r="F57" i="6"/>
  <c r="B57" i="6"/>
  <c r="O57" i="6"/>
  <c r="N57" i="6"/>
  <c r="I57" i="6"/>
  <c r="H57" i="6"/>
  <c r="G57" i="3"/>
  <c r="E57" i="3"/>
  <c r="K57" i="3"/>
  <c r="J57" i="3"/>
  <c r="H57" i="3"/>
  <c r="T57" i="3"/>
  <c r="S57" i="3"/>
  <c r="Q57" i="3"/>
  <c r="P57" i="3"/>
  <c r="R57" i="3"/>
  <c r="A57" i="3"/>
  <c r="B57" i="3"/>
  <c r="O57" i="3"/>
  <c r="D57" i="3"/>
  <c r="N57" i="3"/>
  <c r="L57" i="3"/>
  <c r="F57" i="3"/>
  <c r="M57" i="3"/>
  <c r="I57" i="3"/>
  <c r="C57" i="3"/>
  <c r="D181" i="6"/>
  <c r="W181" i="6"/>
  <c r="B181" i="6"/>
  <c r="T181" i="6"/>
  <c r="X181" i="6" s="1"/>
  <c r="N181" i="6"/>
  <c r="M181" i="6"/>
  <c r="L181" i="6"/>
  <c r="K181" i="6"/>
  <c r="J181" i="6"/>
  <c r="I181" i="6"/>
  <c r="H181" i="6"/>
  <c r="O181" i="6"/>
  <c r="C181" i="6"/>
  <c r="C181" i="3"/>
  <c r="B181" i="3"/>
  <c r="J181" i="3"/>
  <c r="H181" i="3"/>
  <c r="N181" i="3"/>
  <c r="M181" i="3"/>
  <c r="K181" i="3"/>
  <c r="F181" i="6"/>
  <c r="L181" i="3"/>
  <c r="E181" i="6"/>
  <c r="G181" i="6" s="1"/>
  <c r="I181" i="3"/>
  <c r="F181" i="3"/>
  <c r="G181" i="3"/>
  <c r="E181" i="3"/>
  <c r="T181" i="3"/>
  <c r="P181" i="3"/>
  <c r="S181" i="3"/>
  <c r="R181" i="3"/>
  <c r="Q181" i="3"/>
  <c r="O181" i="3"/>
  <c r="D181" i="3"/>
  <c r="A181" i="3"/>
  <c r="H193" i="6"/>
  <c r="D193" i="6"/>
  <c r="T193" i="6"/>
  <c r="Y193" i="6" s="1"/>
  <c r="W193" i="6"/>
  <c r="K193" i="6"/>
  <c r="J193" i="6"/>
  <c r="I193" i="6"/>
  <c r="O193" i="6"/>
  <c r="N193" i="6"/>
  <c r="M193" i="6"/>
  <c r="L193" i="6"/>
  <c r="K193" i="3"/>
  <c r="J193" i="3"/>
  <c r="B193" i="3"/>
  <c r="H193" i="3"/>
  <c r="G193" i="3"/>
  <c r="E193" i="3"/>
  <c r="T193" i="3"/>
  <c r="S193" i="3"/>
  <c r="Q193" i="3"/>
  <c r="P193" i="3"/>
  <c r="R193" i="3"/>
  <c r="F193" i="6"/>
  <c r="E193" i="6"/>
  <c r="S193" i="6" s="1"/>
  <c r="C193" i="6"/>
  <c r="B193" i="6"/>
  <c r="N193" i="3"/>
  <c r="M193" i="3"/>
  <c r="O193" i="3"/>
  <c r="L193" i="3"/>
  <c r="A193" i="3"/>
  <c r="I193" i="3"/>
  <c r="C193" i="3"/>
  <c r="F193" i="3"/>
  <c r="D193" i="3"/>
  <c r="M31" i="6"/>
  <c r="J31" i="6"/>
  <c r="D31" i="6"/>
  <c r="C31" i="6"/>
  <c r="B31" i="6"/>
  <c r="W31" i="6"/>
  <c r="O31" i="6"/>
  <c r="E31" i="6"/>
  <c r="S31" i="6" s="1"/>
  <c r="N31" i="6"/>
  <c r="L31" i="6"/>
  <c r="K31" i="6"/>
  <c r="I31" i="6"/>
  <c r="M31" i="3"/>
  <c r="K31" i="3"/>
  <c r="A31" i="3"/>
  <c r="T31" i="3"/>
  <c r="F31" i="6"/>
  <c r="Q31" i="3"/>
  <c r="P31" i="3"/>
  <c r="L31" i="3"/>
  <c r="O31" i="3"/>
  <c r="N31" i="3"/>
  <c r="S31" i="3"/>
  <c r="T31" i="6"/>
  <c r="X31" i="6" s="1"/>
  <c r="J31" i="3"/>
  <c r="I31" i="3"/>
  <c r="R31" i="3"/>
  <c r="H31" i="6"/>
  <c r="H31" i="3"/>
  <c r="G31" i="3"/>
  <c r="F31" i="3"/>
  <c r="E31" i="3"/>
  <c r="B31" i="3"/>
  <c r="C31" i="3"/>
  <c r="D31" i="3"/>
  <c r="K182" i="6"/>
  <c r="L182" i="6"/>
  <c r="N182" i="6"/>
  <c r="M182" i="6"/>
  <c r="J182" i="6"/>
  <c r="F182" i="6"/>
  <c r="E182" i="6"/>
  <c r="G182" i="6" s="1"/>
  <c r="H182" i="6"/>
  <c r="D182" i="6"/>
  <c r="O182" i="6"/>
  <c r="I182" i="6"/>
  <c r="T182" i="6"/>
  <c r="X182" i="6" s="1"/>
  <c r="W182" i="6"/>
  <c r="B182" i="6"/>
  <c r="B182" i="3"/>
  <c r="A182" i="3"/>
  <c r="K182" i="3"/>
  <c r="I182" i="3"/>
  <c r="Q182" i="3"/>
  <c r="P182" i="3"/>
  <c r="N182" i="3"/>
  <c r="T182" i="3"/>
  <c r="O182" i="3"/>
  <c r="S182" i="3"/>
  <c r="M182" i="3"/>
  <c r="R182" i="3"/>
  <c r="C182" i="6"/>
  <c r="L182" i="3"/>
  <c r="F182" i="3"/>
  <c r="J182" i="3"/>
  <c r="H182" i="3"/>
  <c r="D182" i="3"/>
  <c r="G182" i="3"/>
  <c r="C182" i="3"/>
  <c r="E182" i="3"/>
  <c r="I61" i="6"/>
  <c r="E61" i="6"/>
  <c r="F61" i="6"/>
  <c r="B61" i="6"/>
  <c r="W61" i="6"/>
  <c r="T61" i="6"/>
  <c r="Y61" i="6" s="1"/>
  <c r="X61" i="6"/>
  <c r="O61" i="6"/>
  <c r="N61" i="6"/>
  <c r="M61" i="6"/>
  <c r="L61" i="6"/>
  <c r="K61" i="6"/>
  <c r="J61" i="6"/>
  <c r="C61" i="3"/>
  <c r="A61" i="3"/>
  <c r="O61" i="3"/>
  <c r="N61" i="3"/>
  <c r="L61" i="3"/>
  <c r="P61" i="3"/>
  <c r="M61" i="3"/>
  <c r="J61" i="3"/>
  <c r="I61" i="3"/>
  <c r="K61" i="3"/>
  <c r="H61" i="6"/>
  <c r="R61" i="3"/>
  <c r="H61" i="3"/>
  <c r="G61" i="3"/>
  <c r="F61" i="3"/>
  <c r="T61" i="3"/>
  <c r="S61" i="3"/>
  <c r="Q61" i="3"/>
  <c r="E61" i="3"/>
  <c r="B61" i="3"/>
  <c r="D61" i="3"/>
  <c r="D61" i="6"/>
  <c r="C61" i="6"/>
  <c r="M168" i="6"/>
  <c r="N168" i="6"/>
  <c r="T168" i="6"/>
  <c r="X168" i="6" s="1"/>
  <c r="F168" i="6"/>
  <c r="E168" i="6"/>
  <c r="S168" i="6" s="1"/>
  <c r="D168" i="6"/>
  <c r="C168" i="6"/>
  <c r="B168" i="6"/>
  <c r="W168" i="6"/>
  <c r="P168" i="6"/>
  <c r="Q168" i="6" s="1"/>
  <c r="AD168" i="6"/>
  <c r="AE168" i="6" s="1"/>
  <c r="AF168" i="6" s="1"/>
  <c r="H168" i="6"/>
  <c r="I168" i="6"/>
  <c r="P168" i="3"/>
  <c r="N168" i="3"/>
  <c r="L168" i="3"/>
  <c r="O168" i="6"/>
  <c r="K168" i="3"/>
  <c r="L168" i="6"/>
  <c r="K168" i="6"/>
  <c r="I168" i="3"/>
  <c r="J168" i="6"/>
  <c r="R168" i="3"/>
  <c r="M168" i="3"/>
  <c r="Q168" i="3"/>
  <c r="J168" i="3"/>
  <c r="O168" i="3"/>
  <c r="D168" i="3"/>
  <c r="A168" i="3"/>
  <c r="C168" i="3"/>
  <c r="Y168" i="3" s="1"/>
  <c r="B168" i="3"/>
  <c r="S168" i="3"/>
  <c r="F168" i="3"/>
  <c r="T168" i="3"/>
  <c r="H168" i="3"/>
  <c r="G168" i="3"/>
  <c r="E168" i="3"/>
  <c r="H101" i="6"/>
  <c r="W101" i="6"/>
  <c r="T101" i="6"/>
  <c r="X101" i="6" s="1"/>
  <c r="J101" i="6"/>
  <c r="N101" i="6"/>
  <c r="L101" i="6"/>
  <c r="D101" i="6"/>
  <c r="C101" i="6"/>
  <c r="B101" i="6"/>
  <c r="E101" i="6"/>
  <c r="R101" i="6" s="1"/>
  <c r="M101" i="6"/>
  <c r="K101" i="6"/>
  <c r="I101" i="6"/>
  <c r="G101" i="6"/>
  <c r="C101" i="3"/>
  <c r="A101" i="3"/>
  <c r="S101" i="3"/>
  <c r="O101" i="6"/>
  <c r="R101" i="3"/>
  <c r="F101" i="6"/>
  <c r="P101" i="3"/>
  <c r="K101" i="3"/>
  <c r="H101" i="3"/>
  <c r="J101" i="3"/>
  <c r="I101" i="3"/>
  <c r="G101" i="3"/>
  <c r="T101" i="3"/>
  <c r="M101" i="3"/>
  <c r="L101" i="3"/>
  <c r="Q101" i="3"/>
  <c r="N101" i="3"/>
  <c r="O101" i="3"/>
  <c r="F101" i="3"/>
  <c r="E101" i="3"/>
  <c r="D101" i="3"/>
  <c r="B101" i="3"/>
  <c r="T145" i="6"/>
  <c r="X145" i="6" s="1"/>
  <c r="M145" i="6"/>
  <c r="L145" i="6"/>
  <c r="O145" i="6"/>
  <c r="N145" i="6"/>
  <c r="K145" i="6"/>
  <c r="F145" i="6"/>
  <c r="D145" i="6"/>
  <c r="E145" i="6"/>
  <c r="G145" i="6" s="1"/>
  <c r="C145" i="6"/>
  <c r="B145" i="6"/>
  <c r="W145" i="6"/>
  <c r="J145" i="6"/>
  <c r="I145" i="6"/>
  <c r="H145" i="6"/>
  <c r="S145" i="3"/>
  <c r="Q145" i="3"/>
  <c r="G145" i="3"/>
  <c r="F145" i="3"/>
  <c r="D145" i="3"/>
  <c r="B145" i="3"/>
  <c r="A145" i="3"/>
  <c r="C145" i="3"/>
  <c r="T145" i="3"/>
  <c r="R145" i="3"/>
  <c r="O145" i="3"/>
  <c r="K145" i="3"/>
  <c r="N145" i="3"/>
  <c r="M145" i="3"/>
  <c r="L145" i="3"/>
  <c r="H145" i="3"/>
  <c r="J145" i="3"/>
  <c r="I145" i="3"/>
  <c r="P145" i="3"/>
  <c r="E145" i="3"/>
  <c r="D26" i="6"/>
  <c r="J26" i="6"/>
  <c r="F26" i="6"/>
  <c r="E26" i="6"/>
  <c r="B26" i="6"/>
  <c r="W26" i="6"/>
  <c r="N26" i="6"/>
  <c r="M26" i="6"/>
  <c r="L26" i="6"/>
  <c r="K26" i="6"/>
  <c r="T26" i="6"/>
  <c r="Y26" i="6" s="1"/>
  <c r="R26" i="3"/>
  <c r="P26" i="3"/>
  <c r="Q26" i="3"/>
  <c r="O26" i="3"/>
  <c r="O26" i="6"/>
  <c r="M26" i="3"/>
  <c r="I26" i="6"/>
  <c r="H26" i="6"/>
  <c r="C26" i="6"/>
  <c r="T26" i="3"/>
  <c r="L26" i="3"/>
  <c r="K26" i="3"/>
  <c r="S26" i="3"/>
  <c r="N26" i="3"/>
  <c r="J26" i="3"/>
  <c r="I26" i="3"/>
  <c r="H26" i="3"/>
  <c r="G26" i="3"/>
  <c r="E26" i="3"/>
  <c r="D26" i="3"/>
  <c r="A26" i="3"/>
  <c r="C26" i="3"/>
  <c r="B26" i="3"/>
  <c r="F26" i="3"/>
  <c r="M123" i="6"/>
  <c r="N123" i="6"/>
  <c r="W123" i="6"/>
  <c r="T123" i="6"/>
  <c r="J123" i="6"/>
  <c r="I123" i="6"/>
  <c r="H123" i="6"/>
  <c r="Y123" i="6"/>
  <c r="X123" i="6"/>
  <c r="F123" i="6"/>
  <c r="E123" i="6"/>
  <c r="D123" i="6"/>
  <c r="A123" i="3"/>
  <c r="S123" i="3"/>
  <c r="C123" i="3"/>
  <c r="O123" i="6"/>
  <c r="B123" i="3"/>
  <c r="L123" i="6"/>
  <c r="K123" i="6"/>
  <c r="C123" i="6"/>
  <c r="R123" i="3"/>
  <c r="O123" i="3"/>
  <c r="Q123" i="3"/>
  <c r="P123" i="3"/>
  <c r="N123" i="3"/>
  <c r="I123" i="3"/>
  <c r="D123" i="3"/>
  <c r="B123" i="6"/>
  <c r="H123" i="3"/>
  <c r="G123" i="3"/>
  <c r="F123" i="3"/>
  <c r="E123" i="3"/>
  <c r="J123" i="3"/>
  <c r="T123" i="3"/>
  <c r="M123" i="3"/>
  <c r="L123" i="3"/>
  <c r="K123" i="3"/>
  <c r="K117" i="6"/>
  <c r="W117" i="6"/>
  <c r="B117" i="6"/>
  <c r="F117" i="6"/>
  <c r="I117" i="6"/>
  <c r="L117" i="6"/>
  <c r="J117" i="6"/>
  <c r="H117" i="6"/>
  <c r="T117" i="6"/>
  <c r="X117" i="6" s="1"/>
  <c r="O117" i="6"/>
  <c r="D117" i="6"/>
  <c r="C117" i="6"/>
  <c r="G117" i="3"/>
  <c r="E117" i="3"/>
  <c r="Q117" i="3"/>
  <c r="P117" i="3"/>
  <c r="N117" i="6"/>
  <c r="M117" i="6"/>
  <c r="N117" i="3"/>
  <c r="E117" i="6"/>
  <c r="P117" i="6" s="1"/>
  <c r="O117" i="3"/>
  <c r="J117" i="3"/>
  <c r="M117" i="3"/>
  <c r="L117" i="3"/>
  <c r="K117" i="3"/>
  <c r="T117" i="3"/>
  <c r="S117" i="3"/>
  <c r="C117" i="3"/>
  <c r="B117" i="3"/>
  <c r="A117" i="3"/>
  <c r="I117" i="3"/>
  <c r="H117" i="3"/>
  <c r="F117" i="3"/>
  <c r="D117" i="3"/>
  <c r="R117" i="3"/>
  <c r="E164" i="6"/>
  <c r="S164" i="6" s="1"/>
  <c r="T164" i="6"/>
  <c r="Y164" i="6" s="1"/>
  <c r="O164" i="6"/>
  <c r="F164" i="6"/>
  <c r="D164" i="6"/>
  <c r="I164" i="6"/>
  <c r="H164" i="6"/>
  <c r="N164" i="6"/>
  <c r="J164" i="6"/>
  <c r="C164" i="6"/>
  <c r="B164" i="6"/>
  <c r="W164" i="6"/>
  <c r="K164" i="6"/>
  <c r="T164" i="3"/>
  <c r="R164" i="3"/>
  <c r="H164" i="3"/>
  <c r="G164" i="3"/>
  <c r="E164" i="3"/>
  <c r="Q164" i="3"/>
  <c r="P164" i="3"/>
  <c r="S164" i="3"/>
  <c r="M164" i="6"/>
  <c r="M164" i="3"/>
  <c r="O164" i="3"/>
  <c r="L164" i="6"/>
  <c r="I164" i="3"/>
  <c r="F164" i="3"/>
  <c r="N164" i="3"/>
  <c r="L164" i="3"/>
  <c r="K164" i="3"/>
  <c r="J164" i="3"/>
  <c r="D164" i="3"/>
  <c r="B164" i="3"/>
  <c r="C164" i="3"/>
  <c r="A164" i="3"/>
  <c r="L50" i="6"/>
  <c r="N50" i="6"/>
  <c r="T50" i="6"/>
  <c r="X50" i="6" s="1"/>
  <c r="Y50" i="6"/>
  <c r="B50" i="6"/>
  <c r="W50" i="6"/>
  <c r="J50" i="6"/>
  <c r="I50" i="6"/>
  <c r="H50" i="6"/>
  <c r="O50" i="6"/>
  <c r="E50" i="6"/>
  <c r="P50" i="6" s="1"/>
  <c r="D50" i="6"/>
  <c r="C50" i="6"/>
  <c r="G50" i="6"/>
  <c r="F50" i="6"/>
  <c r="N50" i="3"/>
  <c r="L50" i="3"/>
  <c r="B50" i="3"/>
  <c r="A50" i="3"/>
  <c r="K50" i="6"/>
  <c r="J50" i="3"/>
  <c r="I50" i="3"/>
  <c r="F50" i="3"/>
  <c r="H50" i="3"/>
  <c r="G50" i="3"/>
  <c r="K50" i="3"/>
  <c r="E50" i="3"/>
  <c r="C50" i="3"/>
  <c r="D50" i="3"/>
  <c r="M50" i="6"/>
  <c r="T50" i="3"/>
  <c r="R50" i="3"/>
  <c r="O50" i="3"/>
  <c r="S50" i="3"/>
  <c r="Q50" i="3"/>
  <c r="P50" i="3"/>
  <c r="M50" i="3"/>
  <c r="W158" i="6"/>
  <c r="C158" i="6"/>
  <c r="H158" i="6"/>
  <c r="K158" i="6"/>
  <c r="J158" i="6"/>
  <c r="D158" i="6"/>
  <c r="B158" i="6"/>
  <c r="O158" i="6"/>
  <c r="N158" i="6"/>
  <c r="F158" i="6"/>
  <c r="E158" i="6"/>
  <c r="S158" i="6" s="1"/>
  <c r="F158" i="3"/>
  <c r="D158" i="3"/>
  <c r="S158" i="3"/>
  <c r="P158" i="3"/>
  <c r="M158" i="3"/>
  <c r="O158" i="3"/>
  <c r="N158" i="3"/>
  <c r="L158" i="3"/>
  <c r="M158" i="6"/>
  <c r="G158" i="3"/>
  <c r="A158" i="3"/>
  <c r="L158" i="6"/>
  <c r="E158" i="3"/>
  <c r="I158" i="6"/>
  <c r="C158" i="3"/>
  <c r="B158" i="3"/>
  <c r="I158" i="3"/>
  <c r="T158" i="3"/>
  <c r="Q158" i="3"/>
  <c r="T158" i="6"/>
  <c r="Y158" i="6" s="1"/>
  <c r="R158" i="3"/>
  <c r="K158" i="3"/>
  <c r="J158" i="3"/>
  <c r="H158" i="3"/>
  <c r="N171" i="6"/>
  <c r="E171" i="6"/>
  <c r="S171" i="6" s="1"/>
  <c r="K171" i="6"/>
  <c r="J171" i="6"/>
  <c r="F171" i="6"/>
  <c r="D171" i="6"/>
  <c r="L171" i="6"/>
  <c r="I171" i="6"/>
  <c r="H171" i="6"/>
  <c r="C171" i="6"/>
  <c r="B171" i="6"/>
  <c r="M171" i="3"/>
  <c r="K171" i="3"/>
  <c r="Q171" i="3"/>
  <c r="P171" i="3"/>
  <c r="W171" i="6"/>
  <c r="T171" i="6"/>
  <c r="X171" i="6" s="1"/>
  <c r="N171" i="3"/>
  <c r="O171" i="6"/>
  <c r="E171" i="3"/>
  <c r="B171" i="3"/>
  <c r="A171" i="3"/>
  <c r="D171" i="3"/>
  <c r="C171" i="3"/>
  <c r="L171" i="3"/>
  <c r="J171" i="3"/>
  <c r="F171" i="3"/>
  <c r="I171" i="3"/>
  <c r="H171" i="3"/>
  <c r="G171" i="3"/>
  <c r="M171" i="6"/>
  <c r="R171" i="3"/>
  <c r="T171" i="3"/>
  <c r="S171" i="3"/>
  <c r="O171" i="3"/>
  <c r="Q11" i="6"/>
  <c r="G11" i="3" s="1"/>
  <c r="E11" i="3"/>
  <c r="F142" i="6"/>
  <c r="O142" i="6"/>
  <c r="B142" i="6"/>
  <c r="W142" i="6"/>
  <c r="N142" i="6"/>
  <c r="H142" i="6"/>
  <c r="E142" i="6"/>
  <c r="R142" i="6" s="1"/>
  <c r="T142" i="6"/>
  <c r="X142" i="6" s="1"/>
  <c r="I142" i="6"/>
  <c r="D142" i="6"/>
  <c r="J142" i="6"/>
  <c r="C142" i="6"/>
  <c r="B142" i="3"/>
  <c r="T142" i="3"/>
  <c r="D142" i="3"/>
  <c r="C142" i="3"/>
  <c r="Y142" i="3" s="1"/>
  <c r="M142" i="6"/>
  <c r="K142" i="6"/>
  <c r="M142" i="3"/>
  <c r="J142" i="3"/>
  <c r="L142" i="6"/>
  <c r="L142" i="3"/>
  <c r="I142" i="3"/>
  <c r="K142" i="3"/>
  <c r="S142" i="3"/>
  <c r="Q142" i="3"/>
  <c r="P142" i="3"/>
  <c r="R142" i="3"/>
  <c r="O142" i="3"/>
  <c r="H142" i="3"/>
  <c r="G142" i="3"/>
  <c r="F142" i="3"/>
  <c r="A142" i="3"/>
  <c r="E142" i="3"/>
  <c r="N142" i="3"/>
  <c r="R183" i="6"/>
  <c r="C183" i="6"/>
  <c r="D183" i="6"/>
  <c r="B183" i="6"/>
  <c r="F183" i="6"/>
  <c r="E183" i="6"/>
  <c r="M183" i="6"/>
  <c r="L183" i="6"/>
  <c r="K183" i="6"/>
  <c r="W183" i="6"/>
  <c r="P183" i="6"/>
  <c r="V183" i="6" s="1"/>
  <c r="O183" i="6"/>
  <c r="N183" i="6"/>
  <c r="T183" i="6"/>
  <c r="X183" i="6" s="1"/>
  <c r="S183" i="6"/>
  <c r="J183" i="6"/>
  <c r="I183" i="6"/>
  <c r="A183" i="3"/>
  <c r="T183" i="3"/>
  <c r="L183" i="3"/>
  <c r="J183" i="3"/>
  <c r="H183" i="6"/>
  <c r="S183" i="3"/>
  <c r="Q183" i="3"/>
  <c r="N183" i="3"/>
  <c r="I183" i="3"/>
  <c r="H183" i="3"/>
  <c r="F183" i="3"/>
  <c r="E183" i="3"/>
  <c r="M183" i="3"/>
  <c r="G183" i="3"/>
  <c r="D183" i="3"/>
  <c r="K183" i="3"/>
  <c r="B183" i="3"/>
  <c r="C183" i="3"/>
  <c r="R183" i="3"/>
  <c r="P183" i="3"/>
  <c r="O183" i="3"/>
  <c r="O174" i="6"/>
  <c r="C174" i="6"/>
  <c r="N174" i="6"/>
  <c r="W174" i="6"/>
  <c r="T174" i="6"/>
  <c r="X174" i="6" s="1"/>
  <c r="I174" i="6"/>
  <c r="H174" i="6"/>
  <c r="F174" i="6"/>
  <c r="E174" i="6"/>
  <c r="P174" i="6" s="1"/>
  <c r="D174" i="6"/>
  <c r="B174" i="6"/>
  <c r="S174" i="6"/>
  <c r="R174" i="6"/>
  <c r="K174" i="6"/>
  <c r="J174" i="6"/>
  <c r="M174" i="6"/>
  <c r="L174" i="6"/>
  <c r="J174" i="3"/>
  <c r="H174" i="3"/>
  <c r="T174" i="3"/>
  <c r="S174" i="3"/>
  <c r="Q174" i="3"/>
  <c r="O174" i="3"/>
  <c r="P174" i="3"/>
  <c r="R174" i="3"/>
  <c r="K174" i="3"/>
  <c r="F174" i="3"/>
  <c r="N174" i="3"/>
  <c r="I174" i="3"/>
  <c r="G174" i="3"/>
  <c r="E174" i="3"/>
  <c r="M174" i="3"/>
  <c r="L174" i="3"/>
  <c r="D174" i="3"/>
  <c r="B174" i="3"/>
  <c r="C174" i="3"/>
  <c r="A174" i="3"/>
  <c r="F32" i="6"/>
  <c r="P32" i="6"/>
  <c r="U32" i="6" s="1"/>
  <c r="O32" i="6"/>
  <c r="N32" i="6"/>
  <c r="K32" i="6"/>
  <c r="J32" i="6"/>
  <c r="I32" i="6"/>
  <c r="B32" i="6"/>
  <c r="H32" i="6"/>
  <c r="E32" i="6"/>
  <c r="G32" i="6" s="1"/>
  <c r="D32" i="6"/>
  <c r="C32" i="6"/>
  <c r="L32" i="6"/>
  <c r="L32" i="3"/>
  <c r="J32" i="3"/>
  <c r="B32" i="3"/>
  <c r="A32" i="3"/>
  <c r="W32" i="6"/>
  <c r="T32" i="6"/>
  <c r="Y32" i="6" s="1"/>
  <c r="T32" i="3"/>
  <c r="R32" i="3"/>
  <c r="S32" i="3"/>
  <c r="Q32" i="3"/>
  <c r="E32" i="3"/>
  <c r="D32" i="3"/>
  <c r="C32" i="3"/>
  <c r="P32" i="3"/>
  <c r="K32" i="3"/>
  <c r="O32" i="3"/>
  <c r="N32" i="3"/>
  <c r="M32" i="3"/>
  <c r="I32" i="3"/>
  <c r="H32" i="3"/>
  <c r="M32" i="6"/>
  <c r="G32" i="3"/>
  <c r="F32" i="3"/>
  <c r="O59" i="6"/>
  <c r="H59" i="6"/>
  <c r="F59" i="6"/>
  <c r="N59" i="6"/>
  <c r="M59" i="6"/>
  <c r="L59" i="6"/>
  <c r="B59" i="6"/>
  <c r="D59" i="6"/>
  <c r="C59" i="6"/>
  <c r="K59" i="6"/>
  <c r="J59" i="6"/>
  <c r="I59" i="6"/>
  <c r="E59" i="6"/>
  <c r="E59" i="3"/>
  <c r="C59" i="3"/>
  <c r="M59" i="3"/>
  <c r="L59" i="3"/>
  <c r="J59" i="3"/>
  <c r="D59" i="3"/>
  <c r="B59" i="3"/>
  <c r="A59" i="3"/>
  <c r="S59" i="6"/>
  <c r="T59" i="3"/>
  <c r="S59" i="3"/>
  <c r="T59" i="6"/>
  <c r="Y59" i="6" s="1"/>
  <c r="W59" i="6"/>
  <c r="R59" i="3"/>
  <c r="Q59" i="3"/>
  <c r="P59" i="3"/>
  <c r="O59" i="3"/>
  <c r="K59" i="3"/>
  <c r="I59" i="3"/>
  <c r="F59" i="3"/>
  <c r="H59" i="3"/>
  <c r="G59" i="3"/>
  <c r="N59" i="3"/>
  <c r="W95" i="6"/>
  <c r="I95" i="6"/>
  <c r="H95" i="6"/>
  <c r="E95" i="6"/>
  <c r="G95" i="6" s="1"/>
  <c r="B95" i="6"/>
  <c r="F95" i="6"/>
  <c r="D95" i="6"/>
  <c r="C95" i="6"/>
  <c r="O95" i="6"/>
  <c r="N95" i="6"/>
  <c r="M95" i="6"/>
  <c r="L95" i="6"/>
  <c r="T95" i="6"/>
  <c r="Y95" i="6" s="1"/>
  <c r="I95" i="3"/>
  <c r="K95" i="6"/>
  <c r="G95" i="3"/>
  <c r="J95" i="6"/>
  <c r="M95" i="3"/>
  <c r="L95" i="3"/>
  <c r="J95" i="3"/>
  <c r="E95" i="3"/>
  <c r="A95" i="3"/>
  <c r="D95" i="3"/>
  <c r="C95" i="3"/>
  <c r="B95" i="3"/>
  <c r="F95" i="3"/>
  <c r="T95" i="3"/>
  <c r="S95" i="3"/>
  <c r="R95" i="3"/>
  <c r="P95" i="3"/>
  <c r="K95" i="3"/>
  <c r="Q95" i="3"/>
  <c r="N95" i="3"/>
  <c r="O95" i="3"/>
  <c r="H95" i="3"/>
  <c r="D66" i="6"/>
  <c r="H66" i="6"/>
  <c r="F66" i="6"/>
  <c r="E66" i="6"/>
  <c r="S66" i="6" s="1"/>
  <c r="C66" i="6"/>
  <c r="B66" i="6"/>
  <c r="L66" i="6"/>
  <c r="K66" i="6"/>
  <c r="J66" i="6"/>
  <c r="I66" i="6"/>
  <c r="Y66" i="6"/>
  <c r="W66" i="6"/>
  <c r="R66" i="3"/>
  <c r="P66" i="3"/>
  <c r="S66" i="3"/>
  <c r="M66" i="3"/>
  <c r="J66" i="3"/>
  <c r="L66" i="3"/>
  <c r="K66" i="3"/>
  <c r="I66" i="3"/>
  <c r="O66" i="3"/>
  <c r="H66" i="3"/>
  <c r="G66" i="3"/>
  <c r="N66" i="6"/>
  <c r="T66" i="6"/>
  <c r="X66" i="6" s="1"/>
  <c r="T66" i="3"/>
  <c r="Q66" i="3"/>
  <c r="O66" i="6"/>
  <c r="N66" i="3"/>
  <c r="M66" i="6"/>
  <c r="F66" i="3"/>
  <c r="E66" i="3"/>
  <c r="C66" i="3"/>
  <c r="B66" i="3"/>
  <c r="A66" i="3"/>
  <c r="D66" i="3"/>
  <c r="K162" i="6"/>
  <c r="W162" i="6"/>
  <c r="B162" i="6"/>
  <c r="N162" i="6"/>
  <c r="M162" i="6"/>
  <c r="T162" i="6"/>
  <c r="Y162" i="6" s="1"/>
  <c r="O162" i="6"/>
  <c r="H162" i="6"/>
  <c r="F162" i="6"/>
  <c r="J162" i="6"/>
  <c r="I162" i="6"/>
  <c r="E162" i="6"/>
  <c r="G162" i="6" s="1"/>
  <c r="D162" i="6"/>
  <c r="B162" i="3"/>
  <c r="T162" i="3"/>
  <c r="L162" i="6"/>
  <c r="F162" i="3"/>
  <c r="E162" i="3"/>
  <c r="C162" i="6"/>
  <c r="C162" i="3"/>
  <c r="L162" i="3"/>
  <c r="K162" i="3"/>
  <c r="I162" i="3"/>
  <c r="J162" i="3"/>
  <c r="H162" i="3"/>
  <c r="S162" i="3"/>
  <c r="R162" i="3"/>
  <c r="Q162" i="3"/>
  <c r="P162" i="3"/>
  <c r="O162" i="3"/>
  <c r="N162" i="3"/>
  <c r="G162" i="3"/>
  <c r="D162" i="3"/>
  <c r="A162" i="3"/>
  <c r="M162" i="3"/>
  <c r="T144" i="6"/>
  <c r="Y144" i="6" s="1"/>
  <c r="K144" i="6"/>
  <c r="B144" i="6"/>
  <c r="W144" i="6"/>
  <c r="J144" i="6"/>
  <c r="H144" i="6"/>
  <c r="F144" i="6"/>
  <c r="E144" i="6"/>
  <c r="P144" i="6" s="1"/>
  <c r="D144" i="6"/>
  <c r="O144" i="6"/>
  <c r="N144" i="6"/>
  <c r="L144" i="6"/>
  <c r="T144" i="3"/>
  <c r="R144" i="3"/>
  <c r="C144" i="6"/>
  <c r="F144" i="3"/>
  <c r="E144" i="3"/>
  <c r="C144" i="3"/>
  <c r="Q144" i="3"/>
  <c r="S144" i="3"/>
  <c r="M144" i="3"/>
  <c r="J144" i="3"/>
  <c r="P144" i="3"/>
  <c r="N144" i="3"/>
  <c r="L144" i="3"/>
  <c r="K144" i="3"/>
  <c r="I144" i="3"/>
  <c r="O144" i="3"/>
  <c r="H144" i="3"/>
  <c r="B144" i="3"/>
  <c r="A144" i="3"/>
  <c r="M144" i="6"/>
  <c r="I144" i="6"/>
  <c r="G144" i="3"/>
  <c r="D144" i="3"/>
  <c r="N191" i="6"/>
  <c r="W191" i="6"/>
  <c r="O191" i="6"/>
  <c r="L191" i="6"/>
  <c r="K191" i="6"/>
  <c r="M191" i="6"/>
  <c r="J191" i="6"/>
  <c r="I191" i="6"/>
  <c r="H191" i="6"/>
  <c r="F191" i="6"/>
  <c r="T191" i="6"/>
  <c r="X191" i="6" s="1"/>
  <c r="M191" i="3"/>
  <c r="L191" i="3"/>
  <c r="T191" i="3"/>
  <c r="B191" i="3"/>
  <c r="A191" i="3"/>
  <c r="F191" i="3"/>
  <c r="E191" i="3"/>
  <c r="C191" i="3"/>
  <c r="D191" i="3"/>
  <c r="G191" i="3"/>
  <c r="E191" i="6"/>
  <c r="R191" i="6" s="1"/>
  <c r="C191" i="6"/>
  <c r="D191" i="6"/>
  <c r="B191" i="6"/>
  <c r="S191" i="3"/>
  <c r="J191" i="3"/>
  <c r="I191" i="3"/>
  <c r="H191" i="3"/>
  <c r="K191" i="3"/>
  <c r="Q191" i="3"/>
  <c r="P191" i="3"/>
  <c r="O191" i="3"/>
  <c r="R191" i="3"/>
  <c r="N191" i="3"/>
  <c r="B20" i="6"/>
  <c r="W20" i="6"/>
  <c r="T20" i="6"/>
  <c r="Y20" i="6" s="1"/>
  <c r="L20" i="6"/>
  <c r="K20" i="6"/>
  <c r="J20" i="6"/>
  <c r="N20" i="6"/>
  <c r="M20" i="6"/>
  <c r="I20" i="6"/>
  <c r="O20" i="6"/>
  <c r="H20" i="6"/>
  <c r="C20" i="6"/>
  <c r="D20" i="3"/>
  <c r="B20" i="3"/>
  <c r="J20" i="3"/>
  <c r="F20" i="6"/>
  <c r="I20" i="3"/>
  <c r="E20" i="6"/>
  <c r="P20" i="6" s="1"/>
  <c r="U20" i="6" s="1"/>
  <c r="D20" i="6"/>
  <c r="G20" i="3"/>
  <c r="N20" i="3"/>
  <c r="X20" i="6"/>
  <c r="M20" i="3"/>
  <c r="K20" i="3"/>
  <c r="H20" i="3"/>
  <c r="L20" i="3"/>
  <c r="O20" i="3"/>
  <c r="F20" i="3"/>
  <c r="C20" i="3"/>
  <c r="A20" i="3"/>
  <c r="E20" i="3"/>
  <c r="T20" i="3"/>
  <c r="S20" i="3"/>
  <c r="R20" i="3"/>
  <c r="Q20" i="3"/>
  <c r="P20" i="3"/>
  <c r="N88" i="6"/>
  <c r="K88" i="6"/>
  <c r="J88" i="6"/>
  <c r="L88" i="6"/>
  <c r="E88" i="6"/>
  <c r="P88" i="6" s="1"/>
  <c r="D88" i="6"/>
  <c r="C88" i="6"/>
  <c r="I88" i="6"/>
  <c r="H88" i="6"/>
  <c r="G88" i="6"/>
  <c r="F88" i="6"/>
  <c r="W88" i="6"/>
  <c r="T88" i="6"/>
  <c r="Y88" i="6" s="1"/>
  <c r="P88" i="3"/>
  <c r="N88" i="3"/>
  <c r="D88" i="3"/>
  <c r="C88" i="3"/>
  <c r="A88" i="3"/>
  <c r="O88" i="6"/>
  <c r="M88" i="6"/>
  <c r="S88" i="3"/>
  <c r="R88" i="3"/>
  <c r="T88" i="3"/>
  <c r="K88" i="3"/>
  <c r="J88" i="3"/>
  <c r="G88" i="3"/>
  <c r="E88" i="3"/>
  <c r="B88" i="6"/>
  <c r="B88" i="3"/>
  <c r="I88" i="3"/>
  <c r="H88" i="3"/>
  <c r="F88" i="3"/>
  <c r="O88" i="3"/>
  <c r="M88" i="3"/>
  <c r="Q88" i="3"/>
  <c r="L88" i="3"/>
  <c r="T112" i="6"/>
  <c r="X112" i="6" s="1"/>
  <c r="H112" i="6"/>
  <c r="W112" i="6"/>
  <c r="Y112" i="6"/>
  <c r="O112" i="6"/>
  <c r="F112" i="6"/>
  <c r="E112" i="6"/>
  <c r="P112" i="6" s="1"/>
  <c r="Q112" i="6" s="1"/>
  <c r="D112" i="6"/>
  <c r="N112" i="6"/>
  <c r="M112" i="6"/>
  <c r="C112" i="6"/>
  <c r="B112" i="6"/>
  <c r="L112" i="3"/>
  <c r="J112" i="3"/>
  <c r="K112" i="3"/>
  <c r="I112" i="3"/>
  <c r="G112" i="3"/>
  <c r="Q112" i="3"/>
  <c r="N112" i="3"/>
  <c r="P112" i="3"/>
  <c r="O112" i="3"/>
  <c r="M112" i="3"/>
  <c r="T112" i="3"/>
  <c r="S112" i="3"/>
  <c r="H112" i="3"/>
  <c r="J112" i="6"/>
  <c r="A112" i="3"/>
  <c r="F112" i="3"/>
  <c r="L112" i="6"/>
  <c r="E112" i="3"/>
  <c r="C112" i="3"/>
  <c r="K112" i="6"/>
  <c r="D112" i="3"/>
  <c r="I112" i="6"/>
  <c r="B112" i="3"/>
  <c r="R112" i="3"/>
  <c r="E99" i="6"/>
  <c r="G99" i="6" s="1"/>
  <c r="K99" i="6"/>
  <c r="P99" i="6"/>
  <c r="Q99" i="6" s="1"/>
  <c r="O99" i="6"/>
  <c r="C99" i="6"/>
  <c r="J99" i="6"/>
  <c r="I99" i="6"/>
  <c r="H99" i="6"/>
  <c r="F99" i="6"/>
  <c r="D99" i="6"/>
  <c r="B99" i="6"/>
  <c r="W99" i="6"/>
  <c r="E99" i="3"/>
  <c r="C99" i="3"/>
  <c r="Q99" i="3"/>
  <c r="T99" i="6"/>
  <c r="X99" i="6" s="1"/>
  <c r="P99" i="3"/>
  <c r="N99" i="3"/>
  <c r="A99" i="3"/>
  <c r="M99" i="6"/>
  <c r="N99" i="6"/>
  <c r="M99" i="3"/>
  <c r="L99" i="3"/>
  <c r="S99" i="3"/>
  <c r="K99" i="3"/>
  <c r="T99" i="3"/>
  <c r="R99" i="3"/>
  <c r="O99" i="3"/>
  <c r="J99" i="3"/>
  <c r="L99" i="6"/>
  <c r="H99" i="3"/>
  <c r="B99" i="3"/>
  <c r="G99" i="3"/>
  <c r="F99" i="3"/>
  <c r="D99" i="3"/>
  <c r="I99" i="3"/>
  <c r="B60" i="6"/>
  <c r="L60" i="6"/>
  <c r="J60" i="6"/>
  <c r="E60" i="6"/>
  <c r="D60" i="6"/>
  <c r="C60" i="6"/>
  <c r="S60" i="6"/>
  <c r="R60" i="6"/>
  <c r="O60" i="6"/>
  <c r="N60" i="6"/>
  <c r="G60" i="6"/>
  <c r="F60" i="6"/>
  <c r="W60" i="6"/>
  <c r="T60" i="6"/>
  <c r="Y60" i="6" s="1"/>
  <c r="I60" i="6"/>
  <c r="D60" i="3"/>
  <c r="B60" i="3"/>
  <c r="N60" i="3"/>
  <c r="M60" i="3"/>
  <c r="K60" i="3"/>
  <c r="M60" i="6"/>
  <c r="H60" i="6"/>
  <c r="K60" i="6"/>
  <c r="I60" i="3"/>
  <c r="E60" i="3"/>
  <c r="H60" i="3"/>
  <c r="G60" i="3"/>
  <c r="F60" i="3"/>
  <c r="J60" i="3"/>
  <c r="C60" i="3"/>
  <c r="A60" i="3"/>
  <c r="T60" i="3"/>
  <c r="R60" i="3"/>
  <c r="Q60" i="3"/>
  <c r="S60" i="3"/>
  <c r="P60" i="3"/>
  <c r="L60" i="3"/>
  <c r="O60" i="3"/>
  <c r="T169" i="6"/>
  <c r="W169" i="6"/>
  <c r="B169" i="6"/>
  <c r="F169" i="6"/>
  <c r="J169" i="6"/>
  <c r="I169" i="6"/>
  <c r="M169" i="6"/>
  <c r="L169" i="6"/>
  <c r="C169" i="6"/>
  <c r="E169" i="6"/>
  <c r="D169" i="6"/>
  <c r="Y169" i="6"/>
  <c r="X169" i="6"/>
  <c r="H169" i="6"/>
  <c r="O169" i="6"/>
  <c r="N169" i="6"/>
  <c r="K169" i="6"/>
  <c r="O169" i="3"/>
  <c r="M169" i="3"/>
  <c r="N169" i="3"/>
  <c r="L169" i="3"/>
  <c r="J169" i="3"/>
  <c r="S169" i="3"/>
  <c r="T169" i="3"/>
  <c r="R169" i="3"/>
  <c r="Q169" i="3"/>
  <c r="K169" i="3"/>
  <c r="I169" i="3"/>
  <c r="G169" i="3"/>
  <c r="F169" i="3"/>
  <c r="E169" i="3"/>
  <c r="P169" i="3"/>
  <c r="H169" i="3"/>
  <c r="D169" i="3"/>
  <c r="B169" i="3"/>
  <c r="A169" i="3"/>
  <c r="C169" i="3"/>
  <c r="O19" i="6"/>
  <c r="J19" i="6"/>
  <c r="K19" i="6"/>
  <c r="F19" i="6"/>
  <c r="E19" i="6"/>
  <c r="P19" i="6" s="1"/>
  <c r="D19" i="6"/>
  <c r="T19" i="6"/>
  <c r="Y19" i="6" s="1"/>
  <c r="R19" i="6"/>
  <c r="M19" i="6"/>
  <c r="L19" i="6"/>
  <c r="I19" i="6"/>
  <c r="H19" i="6"/>
  <c r="B19" i="6"/>
  <c r="E19" i="3"/>
  <c r="I19" i="3"/>
  <c r="H19" i="3"/>
  <c r="F19" i="3"/>
  <c r="J19" i="3"/>
  <c r="C19" i="3"/>
  <c r="B19" i="3"/>
  <c r="G19" i="3"/>
  <c r="D19" i="3"/>
  <c r="N19" i="6"/>
  <c r="C19" i="6"/>
  <c r="S19" i="3"/>
  <c r="R19" i="3"/>
  <c r="T19" i="3"/>
  <c r="Q19" i="3"/>
  <c r="O19" i="3"/>
  <c r="N19" i="3"/>
  <c r="M19" i="3"/>
  <c r="L19" i="3"/>
  <c r="K19" i="3"/>
  <c r="A19" i="3"/>
  <c r="W19" i="6"/>
  <c r="P19" i="3"/>
  <c r="P42" i="6"/>
  <c r="Q42" i="6" s="1"/>
  <c r="D42" i="6"/>
  <c r="F42" i="6"/>
  <c r="E42" i="6"/>
  <c r="G42" i="6" s="1"/>
  <c r="O42" i="6"/>
  <c r="N42" i="6"/>
  <c r="M42" i="6"/>
  <c r="J42" i="6"/>
  <c r="I42" i="6"/>
  <c r="H42" i="6"/>
  <c r="C42" i="6"/>
  <c r="T42" i="6"/>
  <c r="X42" i="6" s="1"/>
  <c r="S42" i="6"/>
  <c r="L42" i="6"/>
  <c r="K42" i="6"/>
  <c r="B42" i="3"/>
  <c r="T42" i="3"/>
  <c r="N42" i="3"/>
  <c r="M42" i="3"/>
  <c r="K42" i="3"/>
  <c r="Q42" i="3"/>
  <c r="S42" i="3"/>
  <c r="R42" i="3"/>
  <c r="W42" i="6"/>
  <c r="B42" i="6"/>
  <c r="D42" i="3"/>
  <c r="C42" i="3"/>
  <c r="A42" i="3"/>
  <c r="P42" i="3"/>
  <c r="O42" i="3"/>
  <c r="I42" i="3"/>
  <c r="L42" i="3"/>
  <c r="J42" i="3"/>
  <c r="G42" i="3"/>
  <c r="H42" i="3"/>
  <c r="E42" i="3"/>
  <c r="F42" i="3"/>
  <c r="V11" i="6"/>
  <c r="D86" i="6"/>
  <c r="L86" i="6"/>
  <c r="K86" i="6"/>
  <c r="E86" i="6"/>
  <c r="P86" i="6" s="1"/>
  <c r="O86" i="6"/>
  <c r="M86" i="6"/>
  <c r="I86" i="6"/>
  <c r="H86" i="6"/>
  <c r="F86" i="6"/>
  <c r="C86" i="6"/>
  <c r="B86" i="6"/>
  <c r="T86" i="6"/>
  <c r="X86" i="6" s="1"/>
  <c r="R86" i="3"/>
  <c r="P86" i="3"/>
  <c r="B86" i="3"/>
  <c r="A86" i="3"/>
  <c r="W86" i="6"/>
  <c r="L86" i="3"/>
  <c r="I86" i="3"/>
  <c r="K86" i="3"/>
  <c r="J86" i="6"/>
  <c r="J86" i="3"/>
  <c r="N86" i="6"/>
  <c r="H86" i="3"/>
  <c r="T86" i="3"/>
  <c r="O86" i="3"/>
  <c r="N86" i="3"/>
  <c r="M86" i="3"/>
  <c r="G86" i="3"/>
  <c r="F86" i="3"/>
  <c r="S86" i="3"/>
  <c r="E86" i="3"/>
  <c r="Q86" i="3"/>
  <c r="D86" i="3"/>
  <c r="C86" i="3"/>
  <c r="K67" i="6"/>
  <c r="D67" i="6"/>
  <c r="L67" i="6"/>
  <c r="I67" i="6"/>
  <c r="E67" i="6"/>
  <c r="G67" i="6" s="1"/>
  <c r="C67" i="6"/>
  <c r="B67" i="6"/>
  <c r="O67" i="6"/>
  <c r="N67" i="6"/>
  <c r="M67" i="6"/>
  <c r="F67" i="6"/>
  <c r="T67" i="6"/>
  <c r="Y67" i="6" s="1"/>
  <c r="Q67" i="3"/>
  <c r="O67" i="3"/>
  <c r="H67" i="6"/>
  <c r="A67" i="3"/>
  <c r="T67" i="3"/>
  <c r="S67" i="3"/>
  <c r="M67" i="3"/>
  <c r="R67" i="3"/>
  <c r="P67" i="3"/>
  <c r="N67" i="3"/>
  <c r="J67" i="6"/>
  <c r="C67" i="3"/>
  <c r="B67" i="3"/>
  <c r="E67" i="3"/>
  <c r="J67" i="3"/>
  <c r="H67" i="3"/>
  <c r="W67" i="6"/>
  <c r="L67" i="3"/>
  <c r="I67" i="3"/>
  <c r="G67" i="3"/>
  <c r="K67" i="3"/>
  <c r="F67" i="3"/>
  <c r="D67" i="3"/>
  <c r="K147" i="6"/>
  <c r="J147" i="6"/>
  <c r="T147" i="6"/>
  <c r="X147" i="6" s="1"/>
  <c r="D147" i="6"/>
  <c r="C147" i="6"/>
  <c r="B147" i="6"/>
  <c r="W147" i="6"/>
  <c r="F147" i="6"/>
  <c r="E147" i="6"/>
  <c r="G147" i="6" s="1"/>
  <c r="O147" i="6"/>
  <c r="N147" i="6"/>
  <c r="H147" i="6"/>
  <c r="Q147" i="3"/>
  <c r="O147" i="3"/>
  <c r="I147" i="3"/>
  <c r="H147" i="3"/>
  <c r="F147" i="3"/>
  <c r="M147" i="3"/>
  <c r="L147" i="3"/>
  <c r="J147" i="3"/>
  <c r="K147" i="3"/>
  <c r="G147" i="3"/>
  <c r="S147" i="3"/>
  <c r="R147" i="3"/>
  <c r="T147" i="3"/>
  <c r="P147" i="3"/>
  <c r="M147" i="6"/>
  <c r="L147" i="6"/>
  <c r="D147" i="3"/>
  <c r="I147" i="6"/>
  <c r="N147" i="3"/>
  <c r="E147" i="3"/>
  <c r="C147" i="3"/>
  <c r="B147" i="3"/>
  <c r="A147" i="3"/>
  <c r="H55" i="6"/>
  <c r="T55" i="6"/>
  <c r="X55" i="6" s="1"/>
  <c r="O55" i="6"/>
  <c r="N55" i="6"/>
  <c r="F55" i="6"/>
  <c r="E55" i="6"/>
  <c r="S55" i="6" s="1"/>
  <c r="D55" i="6"/>
  <c r="I55" i="3"/>
  <c r="G55" i="3"/>
  <c r="W55" i="6"/>
  <c r="H55" i="3"/>
  <c r="F55" i="3"/>
  <c r="D55" i="3"/>
  <c r="L55" i="6"/>
  <c r="K55" i="6"/>
  <c r="I55" i="6"/>
  <c r="L55" i="3"/>
  <c r="K55" i="3"/>
  <c r="E55" i="3"/>
  <c r="J55" i="3"/>
  <c r="C55" i="3"/>
  <c r="J55" i="6"/>
  <c r="C55" i="6"/>
  <c r="B55" i="6"/>
  <c r="M55" i="3"/>
  <c r="B55" i="3"/>
  <c r="A55" i="3"/>
  <c r="M55" i="6"/>
  <c r="R55" i="3"/>
  <c r="P55" i="3"/>
  <c r="T55" i="3"/>
  <c r="S55" i="3"/>
  <c r="Q55" i="3"/>
  <c r="N55" i="3"/>
  <c r="O55" i="3"/>
  <c r="N56" i="6"/>
  <c r="C56" i="6"/>
  <c r="I56" i="6"/>
  <c r="L56" i="6"/>
  <c r="K56" i="6"/>
  <c r="J56" i="6"/>
  <c r="O56" i="6"/>
  <c r="M56" i="6"/>
  <c r="T56" i="6"/>
  <c r="X56" i="6" s="1"/>
  <c r="H56" i="3"/>
  <c r="F56" i="3"/>
  <c r="J56" i="3"/>
  <c r="I56" i="3"/>
  <c r="E56" i="3"/>
  <c r="P56" i="3"/>
  <c r="L56" i="3"/>
  <c r="O56" i="3"/>
  <c r="N56" i="3"/>
  <c r="W56" i="6"/>
  <c r="M56" i="3"/>
  <c r="F56" i="6"/>
  <c r="R56" i="3"/>
  <c r="K56" i="3"/>
  <c r="G56" i="3"/>
  <c r="E56" i="6"/>
  <c r="B56" i="6"/>
  <c r="D56" i="6"/>
  <c r="T56" i="3"/>
  <c r="S56" i="3"/>
  <c r="Q56" i="3"/>
  <c r="D56" i="3"/>
  <c r="C56" i="3"/>
  <c r="A56" i="3"/>
  <c r="H56" i="6"/>
  <c r="B56" i="3"/>
  <c r="J45" i="6"/>
  <c r="E45" i="6"/>
  <c r="S45" i="6" s="1"/>
  <c r="B45" i="6"/>
  <c r="L45" i="6"/>
  <c r="K45" i="6"/>
  <c r="I45" i="6"/>
  <c r="M45" i="6"/>
  <c r="H45" i="6"/>
  <c r="F45" i="6"/>
  <c r="T45" i="6"/>
  <c r="Y45" i="6" s="1"/>
  <c r="D45" i="6"/>
  <c r="C45" i="6"/>
  <c r="S45" i="3"/>
  <c r="Q45" i="3"/>
  <c r="W45" i="6"/>
  <c r="R45" i="3"/>
  <c r="P45" i="3"/>
  <c r="N45" i="3"/>
  <c r="O45" i="6"/>
  <c r="J45" i="3"/>
  <c r="G45" i="3"/>
  <c r="F45" i="3"/>
  <c r="I45" i="3"/>
  <c r="H45" i="3"/>
  <c r="N45" i="6"/>
  <c r="K45" i="3"/>
  <c r="E45" i="3"/>
  <c r="C45" i="3"/>
  <c r="B45" i="3"/>
  <c r="A45" i="3"/>
  <c r="D45" i="3"/>
  <c r="O45" i="3"/>
  <c r="T45" i="3"/>
  <c r="L45" i="3"/>
  <c r="M45" i="3"/>
  <c r="B40" i="6"/>
  <c r="H40" i="6"/>
  <c r="F40" i="6"/>
  <c r="E40" i="6"/>
  <c r="P40" i="6" s="1"/>
  <c r="Q40" i="6" s="1"/>
  <c r="D40" i="6"/>
  <c r="W40" i="6"/>
  <c r="I40" i="6"/>
  <c r="C40" i="6"/>
  <c r="M40" i="6"/>
  <c r="L40" i="6"/>
  <c r="K40" i="6"/>
  <c r="J40" i="6"/>
  <c r="D40" i="3"/>
  <c r="B40" i="3"/>
  <c r="L40" i="3"/>
  <c r="K40" i="3"/>
  <c r="T40" i="6"/>
  <c r="Y40" i="6" s="1"/>
  <c r="I40" i="3"/>
  <c r="O40" i="6"/>
  <c r="M40" i="3"/>
  <c r="J40" i="3"/>
  <c r="G40" i="3"/>
  <c r="H40" i="3"/>
  <c r="F40" i="3"/>
  <c r="N40" i="3"/>
  <c r="E40" i="3"/>
  <c r="A40" i="3"/>
  <c r="C40" i="3"/>
  <c r="N40" i="6"/>
  <c r="T40" i="3"/>
  <c r="Q40" i="3"/>
  <c r="R40" i="3"/>
  <c r="S40" i="3"/>
  <c r="P40" i="3"/>
  <c r="O40" i="3"/>
  <c r="O22" i="6"/>
  <c r="W22" i="6"/>
  <c r="T22" i="6"/>
  <c r="Y22" i="6" s="1"/>
  <c r="B22" i="6"/>
  <c r="I22" i="6"/>
  <c r="H22" i="6"/>
  <c r="N22" i="6"/>
  <c r="M22" i="6"/>
  <c r="L22" i="6"/>
  <c r="K22" i="6"/>
  <c r="C22" i="6"/>
  <c r="B22" i="3"/>
  <c r="T22" i="3"/>
  <c r="L22" i="3"/>
  <c r="K22" i="3"/>
  <c r="J22" i="6"/>
  <c r="F22" i="6"/>
  <c r="I22" i="3"/>
  <c r="E22" i="6"/>
  <c r="G22" i="6" s="1"/>
  <c r="R22" i="3"/>
  <c r="S22" i="3"/>
  <c r="E22" i="3"/>
  <c r="D22" i="3"/>
  <c r="D22" i="6"/>
  <c r="C22" i="3"/>
  <c r="A22" i="3"/>
  <c r="Q22" i="3"/>
  <c r="M22" i="3"/>
  <c r="P22" i="3"/>
  <c r="O22" i="3"/>
  <c r="N22" i="3"/>
  <c r="J22" i="3"/>
  <c r="H22" i="3"/>
  <c r="G22" i="3"/>
  <c r="F22" i="3"/>
  <c r="J44" i="6"/>
  <c r="K44" i="6"/>
  <c r="I44" i="6"/>
  <c r="H44" i="6"/>
  <c r="O44" i="6"/>
  <c r="N44" i="6"/>
  <c r="M44" i="6"/>
  <c r="F44" i="6"/>
  <c r="E44" i="6"/>
  <c r="G44" i="6" s="1"/>
  <c r="D44" i="6"/>
  <c r="S44" i="6"/>
  <c r="L44" i="6"/>
  <c r="C44" i="6"/>
  <c r="B44" i="6"/>
  <c r="T44" i="3"/>
  <c r="R44" i="3"/>
  <c r="P44" i="3"/>
  <c r="O44" i="3"/>
  <c r="M44" i="3"/>
  <c r="F44" i="3"/>
  <c r="E44" i="3"/>
  <c r="C44" i="3"/>
  <c r="D44" i="3"/>
  <c r="B44" i="3"/>
  <c r="W44" i="6"/>
  <c r="S44" i="3"/>
  <c r="Q44" i="3"/>
  <c r="T44" i="6"/>
  <c r="Y44" i="6" s="1"/>
  <c r="N44" i="3"/>
  <c r="K44" i="3"/>
  <c r="L44" i="3"/>
  <c r="H44" i="3"/>
  <c r="G44" i="3"/>
  <c r="J44" i="3"/>
  <c r="A44" i="3"/>
  <c r="I44" i="3"/>
  <c r="AF9" i="6"/>
  <c r="L9" i="3"/>
  <c r="C152" i="6"/>
  <c r="B152" i="6"/>
  <c r="E152" i="6"/>
  <c r="D152" i="6"/>
  <c r="W152" i="6"/>
  <c r="K152" i="6"/>
  <c r="I152" i="6"/>
  <c r="M152" i="6"/>
  <c r="L152" i="6"/>
  <c r="J152" i="6"/>
  <c r="H152" i="6"/>
  <c r="O152" i="6"/>
  <c r="N152" i="6"/>
  <c r="T152" i="6"/>
  <c r="Y152" i="6" s="1"/>
  <c r="F152" i="6"/>
  <c r="L152" i="3"/>
  <c r="J152" i="3"/>
  <c r="P152" i="3"/>
  <c r="O152" i="3"/>
  <c r="M152" i="3"/>
  <c r="K152" i="3"/>
  <c r="G152" i="3"/>
  <c r="F152" i="3"/>
  <c r="I152" i="3"/>
  <c r="H152" i="3"/>
  <c r="S152" i="3"/>
  <c r="T152" i="3"/>
  <c r="R152" i="3"/>
  <c r="Q152" i="3"/>
  <c r="E152" i="3"/>
  <c r="A152" i="3"/>
  <c r="D152" i="3"/>
  <c r="C152" i="3"/>
  <c r="B152" i="3"/>
  <c r="N152" i="3"/>
  <c r="C200" i="6"/>
  <c r="J200" i="6"/>
  <c r="O200" i="6"/>
  <c r="N200" i="6"/>
  <c r="T200" i="6"/>
  <c r="X200" i="6" s="1"/>
  <c r="I200" i="6"/>
  <c r="H200" i="6"/>
  <c r="F200" i="6"/>
  <c r="E200" i="6"/>
  <c r="D200" i="6"/>
  <c r="Y200" i="6"/>
  <c r="W200" i="6"/>
  <c r="M200" i="6"/>
  <c r="D200" i="3"/>
  <c r="C200" i="3"/>
  <c r="K200" i="6"/>
  <c r="K200" i="3"/>
  <c r="I200" i="3"/>
  <c r="J200" i="3"/>
  <c r="H200" i="3"/>
  <c r="F200" i="3"/>
  <c r="S200" i="3"/>
  <c r="O200" i="3"/>
  <c r="R200" i="3"/>
  <c r="P200" i="3"/>
  <c r="B200" i="6"/>
  <c r="Q200" i="3"/>
  <c r="L200" i="6"/>
  <c r="E200" i="3"/>
  <c r="B200" i="3"/>
  <c r="A200" i="3"/>
  <c r="L200" i="3"/>
  <c r="N200" i="3"/>
  <c r="T200" i="3"/>
  <c r="M200" i="3"/>
  <c r="G200" i="3"/>
  <c r="M188" i="6"/>
  <c r="W188" i="6"/>
  <c r="B188" i="6"/>
  <c r="L188" i="6"/>
  <c r="J188" i="6"/>
  <c r="I188" i="6"/>
  <c r="C188" i="6"/>
  <c r="E188" i="6"/>
  <c r="R188" i="6" s="1"/>
  <c r="D188" i="6"/>
  <c r="K188" i="6"/>
  <c r="H188" i="6"/>
  <c r="G188" i="6"/>
  <c r="O188" i="6"/>
  <c r="N188" i="6"/>
  <c r="F188" i="6"/>
  <c r="T188" i="6"/>
  <c r="Y188" i="6" s="1"/>
  <c r="P188" i="3"/>
  <c r="O188" i="3"/>
  <c r="S188" i="3"/>
  <c r="Q188" i="3"/>
  <c r="M188" i="3"/>
  <c r="L188" i="3"/>
  <c r="J188" i="3"/>
  <c r="H188" i="3"/>
  <c r="D188" i="3"/>
  <c r="G188" i="3"/>
  <c r="E188" i="3"/>
  <c r="F188" i="3"/>
  <c r="T188" i="3"/>
  <c r="R188" i="3"/>
  <c r="N188" i="3"/>
  <c r="I188" i="3"/>
  <c r="K188" i="3"/>
  <c r="B188" i="3"/>
  <c r="A188" i="3"/>
  <c r="C188" i="3"/>
  <c r="B130" i="6"/>
  <c r="L130" i="6"/>
  <c r="D130" i="6"/>
  <c r="J130" i="6"/>
  <c r="I130" i="6"/>
  <c r="H130" i="6"/>
  <c r="W130" i="6"/>
  <c r="T130" i="6"/>
  <c r="X130" i="6" s="1"/>
  <c r="K130" i="6"/>
  <c r="F130" i="6"/>
  <c r="E130" i="6"/>
  <c r="N130" i="3"/>
  <c r="L130" i="3"/>
  <c r="J130" i="3"/>
  <c r="I130" i="3"/>
  <c r="G130" i="3"/>
  <c r="O130" i="6"/>
  <c r="C130" i="3"/>
  <c r="N130" i="6"/>
  <c r="B130" i="3"/>
  <c r="M130" i="6"/>
  <c r="A130" i="3"/>
  <c r="C130" i="6"/>
  <c r="D130" i="3"/>
  <c r="T130" i="3"/>
  <c r="R130" i="3"/>
  <c r="Q130" i="3"/>
  <c r="S130" i="3"/>
  <c r="O130" i="3"/>
  <c r="K130" i="3"/>
  <c r="P130" i="3"/>
  <c r="M130" i="3"/>
  <c r="H130" i="3"/>
  <c r="E130" i="3"/>
  <c r="F130" i="3"/>
  <c r="I156" i="6"/>
  <c r="L156" i="6"/>
  <c r="T156" i="6"/>
  <c r="Y156" i="6" s="1"/>
  <c r="F156" i="6"/>
  <c r="B156" i="6"/>
  <c r="O156" i="6"/>
  <c r="N156" i="6"/>
  <c r="K156" i="6"/>
  <c r="J156" i="6"/>
  <c r="H156" i="6"/>
  <c r="E156" i="6"/>
  <c r="P156" i="6" s="1"/>
  <c r="H156" i="3"/>
  <c r="F156" i="3"/>
  <c r="T156" i="3"/>
  <c r="S156" i="3"/>
  <c r="Q156" i="3"/>
  <c r="W156" i="6"/>
  <c r="D156" i="6"/>
  <c r="G156" i="3"/>
  <c r="B156" i="3"/>
  <c r="E156" i="3"/>
  <c r="D156" i="3"/>
  <c r="C156" i="3"/>
  <c r="M156" i="6"/>
  <c r="N156" i="3"/>
  <c r="K156" i="3"/>
  <c r="M156" i="3"/>
  <c r="A156" i="3"/>
  <c r="L156" i="3"/>
  <c r="J156" i="3"/>
  <c r="I156" i="3"/>
  <c r="C156" i="6"/>
  <c r="R156" i="3"/>
  <c r="P156" i="3"/>
  <c r="O156" i="3"/>
  <c r="K28" i="6"/>
  <c r="J28" i="6"/>
  <c r="I28" i="6"/>
  <c r="O28" i="6"/>
  <c r="W28" i="6"/>
  <c r="T28" i="6"/>
  <c r="X28" i="6" s="1"/>
  <c r="N28" i="6"/>
  <c r="M28" i="6"/>
  <c r="L28" i="6"/>
  <c r="P28" i="3"/>
  <c r="F28" i="6"/>
  <c r="N28" i="3"/>
  <c r="E28" i="6"/>
  <c r="P28" i="6" s="1"/>
  <c r="Q28" i="6" s="1"/>
  <c r="T28" i="3"/>
  <c r="S28" i="3"/>
  <c r="Q28" i="3"/>
  <c r="H28" i="6"/>
  <c r="C28" i="3"/>
  <c r="C28" i="6"/>
  <c r="B28" i="3"/>
  <c r="A28" i="3"/>
  <c r="D28" i="6"/>
  <c r="O28" i="3"/>
  <c r="K28" i="3"/>
  <c r="I28" i="3"/>
  <c r="M28" i="3"/>
  <c r="G28" i="3"/>
  <c r="L28" i="3"/>
  <c r="J28" i="3"/>
  <c r="H28" i="3"/>
  <c r="F28" i="3"/>
  <c r="E28" i="3"/>
  <c r="B28" i="6"/>
  <c r="R28" i="3"/>
  <c r="D28" i="3"/>
  <c r="B90" i="6"/>
  <c r="N90" i="6"/>
  <c r="L90" i="6"/>
  <c r="M90" i="6"/>
  <c r="K90" i="6"/>
  <c r="H90" i="6"/>
  <c r="F90" i="6"/>
  <c r="W90" i="6"/>
  <c r="T90" i="6"/>
  <c r="Y90" i="6" s="1"/>
  <c r="O90" i="6"/>
  <c r="E90" i="6"/>
  <c r="D90" i="6"/>
  <c r="C90" i="6"/>
  <c r="N90" i="3"/>
  <c r="L90" i="3"/>
  <c r="F90" i="3"/>
  <c r="E90" i="3"/>
  <c r="C90" i="3"/>
  <c r="I90" i="6"/>
  <c r="H90" i="3"/>
  <c r="B90" i="3"/>
  <c r="G90" i="3"/>
  <c r="D90" i="3"/>
  <c r="A90" i="3"/>
  <c r="I90" i="3"/>
  <c r="J90" i="3"/>
  <c r="J90" i="6"/>
  <c r="R90" i="3"/>
  <c r="S90" i="3"/>
  <c r="P90" i="3"/>
  <c r="O90" i="3"/>
  <c r="M90" i="3"/>
  <c r="K90" i="3"/>
  <c r="T90" i="3"/>
  <c r="Q90" i="3"/>
  <c r="W198" i="6"/>
  <c r="C198" i="6"/>
  <c r="F198" i="6"/>
  <c r="K198" i="6"/>
  <c r="O198" i="6"/>
  <c r="N198" i="6"/>
  <c r="H198" i="6"/>
  <c r="T198" i="6"/>
  <c r="Y198" i="6" s="1"/>
  <c r="E198" i="6"/>
  <c r="S198" i="6" s="1"/>
  <c r="D198" i="6"/>
  <c r="B198" i="6"/>
  <c r="M198" i="6"/>
  <c r="L198" i="6"/>
  <c r="J198" i="6"/>
  <c r="I198" i="6"/>
  <c r="F198" i="3"/>
  <c r="E198" i="3"/>
  <c r="I198" i="3"/>
  <c r="G198" i="3"/>
  <c r="A198" i="3"/>
  <c r="C198" i="3"/>
  <c r="B198" i="3"/>
  <c r="M198" i="3"/>
  <c r="J198" i="3"/>
  <c r="H198" i="3"/>
  <c r="L198" i="3"/>
  <c r="K198" i="3"/>
  <c r="D198" i="3"/>
  <c r="T198" i="3"/>
  <c r="S198" i="3"/>
  <c r="R198" i="3"/>
  <c r="Q198" i="3"/>
  <c r="P198" i="3"/>
  <c r="O198" i="3"/>
  <c r="N198" i="3"/>
  <c r="J92" i="6"/>
  <c r="L92" i="6"/>
  <c r="O92" i="6"/>
  <c r="C92" i="6"/>
  <c r="T92" i="6"/>
  <c r="Y92" i="6" s="1"/>
  <c r="F92" i="6"/>
  <c r="E92" i="6"/>
  <c r="R92" i="6" s="1"/>
  <c r="D92" i="6"/>
  <c r="I92" i="6"/>
  <c r="H92" i="6"/>
  <c r="B92" i="6"/>
  <c r="L92" i="3"/>
  <c r="J92" i="3"/>
  <c r="H92" i="3"/>
  <c r="G92" i="3"/>
  <c r="N92" i="6"/>
  <c r="M92" i="6"/>
  <c r="E92" i="3"/>
  <c r="K92" i="6"/>
  <c r="R92" i="3"/>
  <c r="Q92" i="3"/>
  <c r="O92" i="3"/>
  <c r="N92" i="3"/>
  <c r="P92" i="3"/>
  <c r="W92" i="6"/>
  <c r="T92" i="3"/>
  <c r="M92" i="3"/>
  <c r="K92" i="3"/>
  <c r="D92" i="3"/>
  <c r="A92" i="3"/>
  <c r="I92" i="3"/>
  <c r="F92" i="3"/>
  <c r="C92" i="3"/>
  <c r="B92" i="3"/>
  <c r="S92" i="3"/>
  <c r="C105" i="6"/>
  <c r="B105" i="6"/>
  <c r="F105" i="6"/>
  <c r="O105" i="6"/>
  <c r="M105" i="6"/>
  <c r="J105" i="6"/>
  <c r="I105" i="6"/>
  <c r="H105" i="6"/>
  <c r="N105" i="6"/>
  <c r="L105" i="6"/>
  <c r="K105" i="6"/>
  <c r="E105" i="6"/>
  <c r="R105" i="6" s="1"/>
  <c r="D105" i="6"/>
  <c r="S105" i="3"/>
  <c r="Q105" i="3"/>
  <c r="C105" i="3"/>
  <c r="B105" i="3"/>
  <c r="W105" i="6"/>
  <c r="G105" i="3"/>
  <c r="D105" i="3"/>
  <c r="F105" i="3"/>
  <c r="A105" i="3"/>
  <c r="E105" i="3"/>
  <c r="T105" i="6"/>
  <c r="Y105" i="6" s="1"/>
  <c r="H105" i="3"/>
  <c r="R105" i="3"/>
  <c r="P105" i="3"/>
  <c r="J105" i="3"/>
  <c r="O105" i="3"/>
  <c r="M105" i="3"/>
  <c r="N105" i="3"/>
  <c r="K105" i="3"/>
  <c r="L105" i="3"/>
  <c r="T105" i="3"/>
  <c r="I105" i="3"/>
  <c r="E68" i="6"/>
  <c r="O68" i="6"/>
  <c r="T68" i="6"/>
  <c r="X68" i="6" s="1"/>
  <c r="W68" i="6"/>
  <c r="B68" i="6"/>
  <c r="M68" i="6"/>
  <c r="L68" i="6"/>
  <c r="K68" i="6"/>
  <c r="J68" i="6"/>
  <c r="F68" i="6"/>
  <c r="D68" i="6"/>
  <c r="C68" i="6"/>
  <c r="H68" i="6"/>
  <c r="P68" i="3"/>
  <c r="N68" i="3"/>
  <c r="B68" i="3"/>
  <c r="A68" i="3"/>
  <c r="N68" i="6"/>
  <c r="I68" i="6"/>
  <c r="T68" i="3"/>
  <c r="S68" i="3"/>
  <c r="L68" i="3"/>
  <c r="I68" i="3"/>
  <c r="G68" i="3"/>
  <c r="K68" i="3"/>
  <c r="H68" i="3"/>
  <c r="F68" i="3"/>
  <c r="E68" i="3"/>
  <c r="D68" i="3"/>
  <c r="J68" i="3"/>
  <c r="C68" i="3"/>
  <c r="R68" i="3"/>
  <c r="Q68" i="3"/>
  <c r="M68" i="3"/>
  <c r="O68" i="3"/>
  <c r="I111" i="6"/>
  <c r="L111" i="6"/>
  <c r="T111" i="6"/>
  <c r="K111" i="6"/>
  <c r="J111" i="6"/>
  <c r="E111" i="6"/>
  <c r="P111" i="6" s="1"/>
  <c r="V111" i="6" s="1"/>
  <c r="Y111" i="6"/>
  <c r="W111" i="6"/>
  <c r="H111" i="6"/>
  <c r="F111" i="6"/>
  <c r="O111" i="6"/>
  <c r="N111" i="6"/>
  <c r="M111" i="6"/>
  <c r="D111" i="6"/>
  <c r="C111" i="6"/>
  <c r="M111" i="3"/>
  <c r="K111" i="3"/>
  <c r="I111" i="3"/>
  <c r="B111" i="6"/>
  <c r="H111" i="3"/>
  <c r="F111" i="3"/>
  <c r="L111" i="3"/>
  <c r="D111" i="3"/>
  <c r="X111" i="6"/>
  <c r="J111" i="3"/>
  <c r="E111" i="3"/>
  <c r="G111" i="3"/>
  <c r="S111" i="3"/>
  <c r="O111" i="3"/>
  <c r="R111" i="3"/>
  <c r="P111" i="3"/>
  <c r="N111" i="3"/>
  <c r="B111" i="3"/>
  <c r="A111" i="3"/>
  <c r="Q111" i="3"/>
  <c r="C111" i="3"/>
  <c r="Y111" i="3" s="1"/>
  <c r="T111" i="3"/>
  <c r="AD11" i="6"/>
  <c r="AE11" i="6" s="1"/>
  <c r="E69" i="6"/>
  <c r="G69" i="6" s="1"/>
  <c r="N69" i="6"/>
  <c r="C69" i="6"/>
  <c r="I69" i="6"/>
  <c r="P69" i="6"/>
  <c r="Q69" i="6" s="1"/>
  <c r="M69" i="6"/>
  <c r="L69" i="6"/>
  <c r="K69" i="6"/>
  <c r="J69" i="6"/>
  <c r="W69" i="6"/>
  <c r="T69" i="6"/>
  <c r="X69" i="6" s="1"/>
  <c r="O69" i="6"/>
  <c r="H69" i="6"/>
  <c r="F69" i="6"/>
  <c r="O69" i="3"/>
  <c r="M69" i="3"/>
  <c r="C69" i="3"/>
  <c r="D69" i="6"/>
  <c r="B69" i="3"/>
  <c r="B69" i="6"/>
  <c r="E69" i="3"/>
  <c r="D69" i="3"/>
  <c r="A69" i="3"/>
  <c r="T69" i="3"/>
  <c r="R69" i="3"/>
  <c r="S69" i="3"/>
  <c r="Q69" i="3"/>
  <c r="P69" i="3"/>
  <c r="N69" i="3"/>
  <c r="L69" i="3"/>
  <c r="J69" i="3"/>
  <c r="I69" i="3"/>
  <c r="H69" i="3"/>
  <c r="G69" i="3"/>
  <c r="F69" i="3"/>
  <c r="K69" i="3"/>
  <c r="T166" i="6"/>
  <c r="Y166" i="6" s="1"/>
  <c r="K166" i="6"/>
  <c r="J166" i="6"/>
  <c r="W166" i="6"/>
  <c r="I166" i="6"/>
  <c r="H166" i="6"/>
  <c r="N166" i="6"/>
  <c r="M166" i="6"/>
  <c r="L166" i="6"/>
  <c r="D166" i="6"/>
  <c r="C166" i="6"/>
  <c r="B166" i="6"/>
  <c r="E166" i="6"/>
  <c r="S166" i="6" s="1"/>
  <c r="O166" i="6"/>
  <c r="F166" i="6"/>
  <c r="R166" i="3"/>
  <c r="P166" i="3"/>
  <c r="J166" i="3"/>
  <c r="I166" i="3"/>
  <c r="G166" i="3"/>
  <c r="E166" i="3"/>
  <c r="B166" i="3"/>
  <c r="D166" i="3"/>
  <c r="C166" i="3"/>
  <c r="A166" i="3"/>
  <c r="N166" i="3"/>
  <c r="H166" i="3"/>
  <c r="M166" i="3"/>
  <c r="F166" i="3"/>
  <c r="L166" i="3"/>
  <c r="K166" i="3"/>
  <c r="T166" i="3"/>
  <c r="S166" i="3"/>
  <c r="Q166" i="3"/>
  <c r="O166" i="3"/>
  <c r="T14" i="6"/>
  <c r="I14" i="6"/>
  <c r="B14" i="6"/>
  <c r="L14" i="6"/>
  <c r="K14" i="6"/>
  <c r="F14" i="6"/>
  <c r="E14" i="6"/>
  <c r="D14" i="6"/>
  <c r="P14" i="6"/>
  <c r="N14" i="6"/>
  <c r="M14" i="6"/>
  <c r="R14" i="6"/>
  <c r="S14" i="6" s="1"/>
  <c r="H14" i="6"/>
  <c r="J14" i="6" s="1"/>
  <c r="C14" i="6"/>
  <c r="C14" i="3"/>
  <c r="B14" i="3"/>
  <c r="D116" i="6"/>
  <c r="N116" i="6"/>
  <c r="E116" i="6"/>
  <c r="G116" i="6" s="1"/>
  <c r="C116" i="6"/>
  <c r="S116" i="6"/>
  <c r="O116" i="6"/>
  <c r="M116" i="6"/>
  <c r="T116" i="6"/>
  <c r="X116" i="6" s="1"/>
  <c r="L116" i="6"/>
  <c r="K116" i="6"/>
  <c r="J116" i="6"/>
  <c r="I116" i="6"/>
  <c r="H116" i="6"/>
  <c r="W116" i="6"/>
  <c r="F116" i="6"/>
  <c r="B116" i="6"/>
  <c r="H116" i="3"/>
  <c r="F116" i="3"/>
  <c r="P116" i="3"/>
  <c r="O116" i="3"/>
  <c r="M116" i="3"/>
  <c r="J116" i="3"/>
  <c r="E116" i="3"/>
  <c r="I116" i="3"/>
  <c r="G116" i="3"/>
  <c r="D116" i="3"/>
  <c r="S116" i="3"/>
  <c r="L116" i="3"/>
  <c r="R116" i="3"/>
  <c r="N116" i="3"/>
  <c r="B116" i="3"/>
  <c r="Q116" i="3"/>
  <c r="K116" i="3"/>
  <c r="C116" i="3"/>
  <c r="Y116" i="3" s="1"/>
  <c r="A116" i="3"/>
  <c r="T116" i="3"/>
  <c r="G127" i="6"/>
  <c r="P127" i="6"/>
  <c r="AD127" i="6" s="1"/>
  <c r="AE127" i="6" s="1"/>
  <c r="AF127" i="6" s="1"/>
  <c r="D127" i="6"/>
  <c r="C127" i="6"/>
  <c r="T127" i="6"/>
  <c r="X127" i="6" s="1"/>
  <c r="W127" i="6"/>
  <c r="I127" i="6"/>
  <c r="H127" i="6"/>
  <c r="F127" i="6"/>
  <c r="E127" i="6"/>
  <c r="R127" i="6" s="1"/>
  <c r="K127" i="6"/>
  <c r="J127" i="6"/>
  <c r="B127" i="6"/>
  <c r="L127" i="6"/>
  <c r="Q127" i="3"/>
  <c r="O127" i="3"/>
  <c r="G127" i="3"/>
  <c r="F127" i="3"/>
  <c r="D127" i="3"/>
  <c r="O127" i="6"/>
  <c r="N127" i="3"/>
  <c r="K127" i="3"/>
  <c r="J127" i="3"/>
  <c r="N127" i="6"/>
  <c r="M127" i="3"/>
  <c r="M127" i="6"/>
  <c r="L127" i="3"/>
  <c r="T127" i="3"/>
  <c r="S127" i="3"/>
  <c r="R127" i="3"/>
  <c r="I127" i="3"/>
  <c r="H127" i="3"/>
  <c r="E127" i="3"/>
  <c r="B127" i="3"/>
  <c r="C127" i="3"/>
  <c r="Y127" i="3" s="1"/>
  <c r="A127" i="3"/>
  <c r="P127" i="3"/>
  <c r="O206" i="6"/>
  <c r="J206" i="6"/>
  <c r="E206" i="6"/>
  <c r="D206" i="6"/>
  <c r="W206" i="6"/>
  <c r="N206" i="6"/>
  <c r="M206" i="6"/>
  <c r="C206" i="6"/>
  <c r="B206" i="6"/>
  <c r="T206" i="6"/>
  <c r="X206" i="6" s="1"/>
  <c r="L206" i="6"/>
  <c r="K206" i="6"/>
  <c r="I206" i="6"/>
  <c r="H206" i="6"/>
  <c r="F206" i="6"/>
  <c r="S206" i="3"/>
  <c r="R206" i="3"/>
  <c r="Q206" i="3"/>
  <c r="C206" i="3"/>
  <c r="A206" i="3"/>
  <c r="M206" i="3"/>
  <c r="L206" i="3"/>
  <c r="J206" i="3"/>
  <c r="P206" i="3"/>
  <c r="K206" i="3"/>
  <c r="O206" i="3"/>
  <c r="N206" i="3"/>
  <c r="I206" i="3"/>
  <c r="D206" i="3"/>
  <c r="B206" i="3"/>
  <c r="H206" i="3"/>
  <c r="T206" i="3"/>
  <c r="F206" i="3"/>
  <c r="E206" i="3"/>
  <c r="G206" i="3"/>
  <c r="D161" i="6"/>
  <c r="N161" i="6"/>
  <c r="W161" i="6"/>
  <c r="F161" i="6"/>
  <c r="E161" i="6"/>
  <c r="G161" i="6" s="1"/>
  <c r="S161" i="6"/>
  <c r="R161" i="6"/>
  <c r="B161" i="6"/>
  <c r="T161" i="6"/>
  <c r="Y161" i="6" s="1"/>
  <c r="O161" i="6"/>
  <c r="K161" i="6"/>
  <c r="J161" i="6"/>
  <c r="I161" i="6"/>
  <c r="H161" i="6"/>
  <c r="C161" i="6"/>
  <c r="C161" i="3"/>
  <c r="A161" i="3"/>
  <c r="E161" i="3"/>
  <c r="D161" i="3"/>
  <c r="H161" i="3"/>
  <c r="B161" i="3"/>
  <c r="G161" i="3"/>
  <c r="F161" i="3"/>
  <c r="N161" i="3"/>
  <c r="K161" i="3"/>
  <c r="J161" i="3"/>
  <c r="M161" i="6"/>
  <c r="M161" i="3"/>
  <c r="I161" i="3"/>
  <c r="L161" i="6"/>
  <c r="L161" i="3"/>
  <c r="S161" i="3"/>
  <c r="T161" i="3"/>
  <c r="P161" i="3"/>
  <c r="R161" i="3"/>
  <c r="Q161" i="3"/>
  <c r="O161" i="3"/>
  <c r="H148" i="6"/>
  <c r="D148" i="6"/>
  <c r="L148" i="6"/>
  <c r="K148" i="6"/>
  <c r="T148" i="6"/>
  <c r="Y148" i="6" s="1"/>
  <c r="R148" i="6"/>
  <c r="W148" i="6"/>
  <c r="X148" i="6"/>
  <c r="S148" i="6"/>
  <c r="J148" i="6"/>
  <c r="I148" i="6"/>
  <c r="F148" i="6"/>
  <c r="P148" i="3"/>
  <c r="N148" i="3"/>
  <c r="N148" i="6"/>
  <c r="J148" i="3"/>
  <c r="M148" i="6"/>
  <c r="I148" i="3"/>
  <c r="E148" i="6"/>
  <c r="C148" i="6"/>
  <c r="G148" i="3"/>
  <c r="B148" i="6"/>
  <c r="O148" i="6"/>
  <c r="S148" i="3"/>
  <c r="O148" i="3"/>
  <c r="M148" i="3"/>
  <c r="R148" i="3"/>
  <c r="Q148" i="3"/>
  <c r="P148" i="6"/>
  <c r="U148" i="6" s="1"/>
  <c r="E148" i="3"/>
  <c r="B148" i="3"/>
  <c r="A148" i="3"/>
  <c r="D148" i="3"/>
  <c r="C148" i="3"/>
  <c r="T148" i="3"/>
  <c r="K148" i="3"/>
  <c r="L148" i="3"/>
  <c r="H148" i="3"/>
  <c r="F148" i="3"/>
  <c r="H132" i="6"/>
  <c r="C132" i="6"/>
  <c r="T132" i="6"/>
  <c r="X132" i="6" s="1"/>
  <c r="F132" i="6"/>
  <c r="D132" i="6"/>
  <c r="N132" i="6"/>
  <c r="L132" i="6"/>
  <c r="B132" i="6"/>
  <c r="W132" i="6"/>
  <c r="L132" i="3"/>
  <c r="J132" i="3"/>
  <c r="N132" i="3"/>
  <c r="M132" i="3"/>
  <c r="I132" i="3"/>
  <c r="O132" i="6"/>
  <c r="P132" i="3"/>
  <c r="H132" i="3"/>
  <c r="O132" i="3"/>
  <c r="K132" i="6"/>
  <c r="K132" i="3"/>
  <c r="M132" i="6"/>
  <c r="G132" i="3"/>
  <c r="I132" i="6"/>
  <c r="E132" i="6"/>
  <c r="J132" i="6"/>
  <c r="T132" i="3"/>
  <c r="S132" i="3"/>
  <c r="R132" i="3"/>
  <c r="F132" i="3"/>
  <c r="E132" i="3"/>
  <c r="D132" i="3"/>
  <c r="B132" i="3"/>
  <c r="C132" i="3"/>
  <c r="A132" i="3"/>
  <c r="Q132" i="3"/>
  <c r="J159" i="6"/>
  <c r="W159" i="6"/>
  <c r="T159" i="6"/>
  <c r="Y159" i="6" s="1"/>
  <c r="H159" i="6"/>
  <c r="F159" i="6"/>
  <c r="E159" i="6"/>
  <c r="K159" i="6"/>
  <c r="I159" i="6"/>
  <c r="D159" i="6"/>
  <c r="C159" i="6"/>
  <c r="L159" i="6"/>
  <c r="B159" i="6"/>
  <c r="O159" i="6"/>
  <c r="N159" i="6"/>
  <c r="M159" i="6"/>
  <c r="E159" i="3"/>
  <c r="C159" i="3"/>
  <c r="A159" i="3"/>
  <c r="T159" i="3"/>
  <c r="P159" i="3"/>
  <c r="S159" i="3"/>
  <c r="Q159" i="3"/>
  <c r="R159" i="3"/>
  <c r="M159" i="3"/>
  <c r="I159" i="3"/>
  <c r="O159" i="3"/>
  <c r="H159" i="3"/>
  <c r="N159" i="3"/>
  <c r="L159" i="3"/>
  <c r="K159" i="3"/>
  <c r="J159" i="3"/>
  <c r="G159" i="3"/>
  <c r="D159" i="3"/>
  <c r="B159" i="3"/>
  <c r="F159" i="3"/>
  <c r="H173" i="6"/>
  <c r="D173" i="6"/>
  <c r="M173" i="6"/>
  <c r="L173" i="6"/>
  <c r="E173" i="6"/>
  <c r="G173" i="6" s="1"/>
  <c r="C173" i="6"/>
  <c r="I173" i="6"/>
  <c r="F173" i="6"/>
  <c r="N173" i="6"/>
  <c r="K173" i="6"/>
  <c r="J173" i="6"/>
  <c r="W173" i="6"/>
  <c r="T173" i="6"/>
  <c r="Y173" i="6" s="1"/>
  <c r="K173" i="3"/>
  <c r="O173" i="6"/>
  <c r="I173" i="3"/>
  <c r="B173" i="6"/>
  <c r="S173" i="3"/>
  <c r="R173" i="3"/>
  <c r="P173" i="3"/>
  <c r="O173" i="3"/>
  <c r="L173" i="3"/>
  <c r="N173" i="3"/>
  <c r="M173" i="3"/>
  <c r="J173" i="3"/>
  <c r="D173" i="3"/>
  <c r="A173" i="3"/>
  <c r="C173" i="3"/>
  <c r="B173" i="3"/>
  <c r="H173" i="3"/>
  <c r="G173" i="3"/>
  <c r="T173" i="3"/>
  <c r="Q173" i="3"/>
  <c r="F173" i="3"/>
  <c r="E173" i="3"/>
  <c r="Q9" i="6"/>
  <c r="G9" i="3" s="1"/>
  <c r="E9" i="3"/>
  <c r="B80" i="6"/>
  <c r="F80" i="6"/>
  <c r="M80" i="6"/>
  <c r="L80" i="6"/>
  <c r="K80" i="6"/>
  <c r="I80" i="6"/>
  <c r="T80" i="6"/>
  <c r="X80" i="6" s="1"/>
  <c r="O80" i="6"/>
  <c r="N80" i="6"/>
  <c r="J80" i="6"/>
  <c r="H80" i="6"/>
  <c r="W80" i="6"/>
  <c r="E80" i="6"/>
  <c r="G80" i="6" s="1"/>
  <c r="D80" i="3"/>
  <c r="B80" i="3"/>
  <c r="P80" i="3"/>
  <c r="O80" i="3"/>
  <c r="M80" i="3"/>
  <c r="H80" i="3"/>
  <c r="C80" i="6"/>
  <c r="G80" i="3"/>
  <c r="E80" i="3"/>
  <c r="C80" i="3"/>
  <c r="D80" i="6"/>
  <c r="F80" i="3"/>
  <c r="I80" i="3"/>
  <c r="A80" i="3"/>
  <c r="S80" i="3"/>
  <c r="Q80" i="3"/>
  <c r="T80" i="3"/>
  <c r="L80" i="3"/>
  <c r="K80" i="3"/>
  <c r="J80" i="3"/>
  <c r="R80" i="3"/>
  <c r="N80" i="3"/>
  <c r="K87" i="6"/>
  <c r="E87" i="6"/>
  <c r="R87" i="6" s="1"/>
  <c r="W87" i="6"/>
  <c r="T87" i="6"/>
  <c r="Y87" i="6" s="1"/>
  <c r="G87" i="6"/>
  <c r="D87" i="6"/>
  <c r="F87" i="6"/>
  <c r="C87" i="6"/>
  <c r="B87" i="6"/>
  <c r="J87" i="6"/>
  <c r="I87" i="6"/>
  <c r="H87" i="6"/>
  <c r="L87" i="6"/>
  <c r="O87" i="6"/>
  <c r="N87" i="6"/>
  <c r="M87" i="6"/>
  <c r="Q87" i="3"/>
  <c r="O87" i="3"/>
  <c r="C87" i="3"/>
  <c r="B87" i="3"/>
  <c r="R87" i="3"/>
  <c r="L87" i="3"/>
  <c r="P87" i="3"/>
  <c r="N87" i="3"/>
  <c r="M87" i="3"/>
  <c r="T87" i="3"/>
  <c r="K87" i="3"/>
  <c r="H87" i="3"/>
  <c r="G87" i="3"/>
  <c r="F87" i="3"/>
  <c r="S87" i="3"/>
  <c r="J87" i="3"/>
  <c r="I87" i="3"/>
  <c r="E87" i="3"/>
  <c r="D87" i="3"/>
  <c r="A87" i="3"/>
  <c r="E204" i="6"/>
  <c r="G204" i="6" s="1"/>
  <c r="R204" i="6"/>
  <c r="K204" i="6"/>
  <c r="B204" i="6"/>
  <c r="N204" i="6"/>
  <c r="M204" i="6"/>
  <c r="J204" i="6"/>
  <c r="I204" i="6"/>
  <c r="H204" i="6"/>
  <c r="T204" i="6"/>
  <c r="X204" i="6" s="1"/>
  <c r="L204" i="6"/>
  <c r="F204" i="6"/>
  <c r="W204" i="6"/>
  <c r="O204" i="6"/>
  <c r="D204" i="6"/>
  <c r="C204" i="6"/>
  <c r="A204" i="3"/>
  <c r="T204" i="3"/>
  <c r="S204" i="3"/>
  <c r="Q204" i="3"/>
  <c r="E204" i="3"/>
  <c r="D204" i="3"/>
  <c r="B204" i="3"/>
  <c r="H204" i="3"/>
  <c r="C204" i="3"/>
  <c r="G204" i="3"/>
  <c r="F204" i="3"/>
  <c r="M204" i="3"/>
  <c r="L204" i="3"/>
  <c r="K204" i="3"/>
  <c r="I204" i="3"/>
  <c r="J204" i="3"/>
  <c r="R204" i="3"/>
  <c r="P204" i="3"/>
  <c r="O204" i="3"/>
  <c r="N204" i="3"/>
  <c r="W43" i="6"/>
  <c r="C43" i="6"/>
  <c r="M43" i="6"/>
  <c r="E43" i="6"/>
  <c r="G43" i="6" s="1"/>
  <c r="T43" i="6"/>
  <c r="X43" i="6" s="1"/>
  <c r="S43" i="6"/>
  <c r="R43" i="6"/>
  <c r="J43" i="6"/>
  <c r="I43" i="6"/>
  <c r="H43" i="6"/>
  <c r="K43" i="6"/>
  <c r="F43" i="6"/>
  <c r="D43" i="6"/>
  <c r="B43" i="6"/>
  <c r="O43" i="6"/>
  <c r="N43" i="6"/>
  <c r="L43" i="6"/>
  <c r="A43" i="3"/>
  <c r="S43" i="3"/>
  <c r="O43" i="3"/>
  <c r="N43" i="3"/>
  <c r="L43" i="3"/>
  <c r="B43" i="3"/>
  <c r="P43" i="3"/>
  <c r="J43" i="3"/>
  <c r="M43" i="3"/>
  <c r="G43" i="3"/>
  <c r="F43" i="3"/>
  <c r="E43" i="3"/>
  <c r="K43" i="3"/>
  <c r="I43" i="3"/>
  <c r="H43" i="3"/>
  <c r="D43" i="3"/>
  <c r="R43" i="3"/>
  <c r="Q43" i="3"/>
  <c r="C43" i="3"/>
  <c r="T43" i="3"/>
  <c r="N76" i="6"/>
  <c r="L76" i="6"/>
  <c r="M76" i="6"/>
  <c r="E76" i="6"/>
  <c r="G76" i="6" s="1"/>
  <c r="W76" i="6"/>
  <c r="R76" i="6"/>
  <c r="B76" i="6"/>
  <c r="O76" i="6"/>
  <c r="K76" i="6"/>
  <c r="J76" i="6"/>
  <c r="H76" i="3"/>
  <c r="F76" i="3"/>
  <c r="L76" i="3"/>
  <c r="K76" i="3"/>
  <c r="T76" i="6"/>
  <c r="Y76" i="6" s="1"/>
  <c r="I76" i="3"/>
  <c r="O76" i="3"/>
  <c r="N76" i="3"/>
  <c r="J76" i="3"/>
  <c r="G76" i="3"/>
  <c r="M76" i="3"/>
  <c r="R76" i="3"/>
  <c r="Q76" i="3"/>
  <c r="E76" i="3"/>
  <c r="D76" i="3"/>
  <c r="T76" i="3"/>
  <c r="I76" i="6"/>
  <c r="H76" i="6"/>
  <c r="C76" i="3"/>
  <c r="S76" i="3"/>
  <c r="P76" i="3"/>
  <c r="F76" i="6"/>
  <c r="B76" i="3"/>
  <c r="C76" i="6"/>
  <c r="D76" i="6"/>
  <c r="A76" i="3"/>
  <c r="Y75" i="6"/>
  <c r="D75" i="6"/>
  <c r="X75" i="6"/>
  <c r="B75" i="6"/>
  <c r="P75" i="6"/>
  <c r="Q75" i="6" s="1"/>
  <c r="I75" i="6"/>
  <c r="F75" i="6"/>
  <c r="W75" i="6"/>
  <c r="C75" i="6"/>
  <c r="M75" i="6"/>
  <c r="L75" i="6"/>
  <c r="K75" i="6"/>
  <c r="O75" i="6"/>
  <c r="N75" i="6"/>
  <c r="T75" i="6"/>
  <c r="J75" i="6"/>
  <c r="H75" i="6"/>
  <c r="E75" i="6"/>
  <c r="I75" i="3"/>
  <c r="G75" i="3"/>
  <c r="K75" i="3"/>
  <c r="J75" i="3"/>
  <c r="F75" i="3"/>
  <c r="H75" i="3"/>
  <c r="B75" i="3"/>
  <c r="E75" i="3"/>
  <c r="D75" i="3"/>
  <c r="C75" i="3"/>
  <c r="L75" i="3"/>
  <c r="A75" i="3"/>
  <c r="T75" i="3"/>
  <c r="S75" i="3"/>
  <c r="Q75" i="3"/>
  <c r="R75" i="3"/>
  <c r="P75" i="3"/>
  <c r="O75" i="3"/>
  <c r="M75" i="3"/>
  <c r="N75" i="3"/>
  <c r="T189" i="6"/>
  <c r="Y189" i="6" s="1"/>
  <c r="K189" i="6"/>
  <c r="B189" i="6"/>
  <c r="M189" i="6"/>
  <c r="L189" i="6"/>
  <c r="D189" i="6"/>
  <c r="C189" i="6"/>
  <c r="W189" i="6"/>
  <c r="N189" i="6"/>
  <c r="J189" i="6"/>
  <c r="I189" i="6"/>
  <c r="F189" i="6"/>
  <c r="E189" i="6"/>
  <c r="G189" i="6" s="1"/>
  <c r="S189" i="6"/>
  <c r="R189" i="6"/>
  <c r="O189" i="3"/>
  <c r="N189" i="3"/>
  <c r="T189" i="3"/>
  <c r="R189" i="3"/>
  <c r="S189" i="3"/>
  <c r="Q189" i="3"/>
  <c r="O189" i="6"/>
  <c r="M189" i="3"/>
  <c r="H189" i="6"/>
  <c r="P189" i="3"/>
  <c r="K189" i="3"/>
  <c r="L189" i="3"/>
  <c r="J189" i="3"/>
  <c r="E189" i="3"/>
  <c r="D189" i="3"/>
  <c r="C189" i="3"/>
  <c r="B189" i="3"/>
  <c r="A189" i="3"/>
  <c r="G189" i="3"/>
  <c r="I189" i="3"/>
  <c r="F189" i="3"/>
  <c r="H189" i="3"/>
  <c r="E184" i="6"/>
  <c r="G184" i="6" s="1"/>
  <c r="I184" i="6"/>
  <c r="N184" i="6"/>
  <c r="P184" i="6"/>
  <c r="Q184" i="6" s="1"/>
  <c r="O184" i="6"/>
  <c r="W184" i="6"/>
  <c r="F184" i="6"/>
  <c r="D184" i="6"/>
  <c r="C184" i="6"/>
  <c r="B184" i="6"/>
  <c r="H184" i="6"/>
  <c r="T184" i="6"/>
  <c r="Y184" i="6" s="1"/>
  <c r="T184" i="3"/>
  <c r="S184" i="3"/>
  <c r="M184" i="3"/>
  <c r="K184" i="3"/>
  <c r="M184" i="6"/>
  <c r="A184" i="3"/>
  <c r="G184" i="3"/>
  <c r="C184" i="3"/>
  <c r="F184" i="3"/>
  <c r="D184" i="3"/>
  <c r="J184" i="6"/>
  <c r="E184" i="3"/>
  <c r="L184" i="6"/>
  <c r="K184" i="6"/>
  <c r="R184" i="3"/>
  <c r="Q184" i="3"/>
  <c r="P184" i="3"/>
  <c r="O184" i="3"/>
  <c r="H184" i="3"/>
  <c r="B184" i="3"/>
  <c r="N184" i="3"/>
  <c r="L184" i="3"/>
  <c r="J184" i="3"/>
  <c r="I184" i="3"/>
  <c r="M143" i="6"/>
  <c r="W143" i="6"/>
  <c r="B143" i="6"/>
  <c r="L143" i="6"/>
  <c r="K143" i="6"/>
  <c r="F143" i="6"/>
  <c r="E143" i="6"/>
  <c r="P143" i="6" s="1"/>
  <c r="Q143" i="6" s="1"/>
  <c r="O143" i="6"/>
  <c r="H143" i="6"/>
  <c r="D143" i="6"/>
  <c r="N143" i="6"/>
  <c r="J143" i="6"/>
  <c r="I143" i="6"/>
  <c r="C143" i="6"/>
  <c r="T143" i="6"/>
  <c r="Y143" i="6" s="1"/>
  <c r="X143" i="6"/>
  <c r="A143" i="3"/>
  <c r="S143" i="3"/>
  <c r="E143" i="3"/>
  <c r="D143" i="3"/>
  <c r="B143" i="3"/>
  <c r="Q143" i="3"/>
  <c r="P143" i="3"/>
  <c r="N143" i="3"/>
  <c r="O143" i="3"/>
  <c r="M143" i="3"/>
  <c r="H143" i="3"/>
  <c r="C143" i="3"/>
  <c r="G143" i="3"/>
  <c r="F143" i="3"/>
  <c r="L143" i="3"/>
  <c r="I143" i="3"/>
  <c r="T143" i="3"/>
  <c r="R143" i="3"/>
  <c r="K143" i="3"/>
  <c r="J143" i="3"/>
  <c r="H78" i="6"/>
  <c r="J78" i="6"/>
  <c r="N78" i="6"/>
  <c r="I78" i="6"/>
  <c r="D78" i="6"/>
  <c r="B78" i="6"/>
  <c r="E78" i="6"/>
  <c r="R78" i="6" s="1"/>
  <c r="C78" i="6"/>
  <c r="O78" i="6"/>
  <c r="M78" i="6"/>
  <c r="L78" i="6"/>
  <c r="K78" i="6"/>
  <c r="T78" i="6"/>
  <c r="Y78" i="6" s="1"/>
  <c r="F78" i="6"/>
  <c r="F78" i="3"/>
  <c r="D78" i="3"/>
  <c r="N78" i="3"/>
  <c r="M78" i="3"/>
  <c r="K78" i="3"/>
  <c r="S78" i="3"/>
  <c r="T78" i="3"/>
  <c r="L78" i="3"/>
  <c r="J78" i="3"/>
  <c r="G78" i="3"/>
  <c r="E78" i="3"/>
  <c r="C78" i="3"/>
  <c r="B78" i="3"/>
  <c r="I78" i="3"/>
  <c r="H78" i="3"/>
  <c r="A78" i="3"/>
  <c r="W78" i="6"/>
  <c r="Q78" i="3"/>
  <c r="R78" i="3"/>
  <c r="P78" i="3"/>
  <c r="O78" i="3"/>
  <c r="K97" i="6"/>
  <c r="N97" i="6"/>
  <c r="L97" i="6"/>
  <c r="J97" i="6"/>
  <c r="M97" i="6"/>
  <c r="O97" i="6"/>
  <c r="B97" i="6"/>
  <c r="T97" i="6"/>
  <c r="X97" i="6" s="1"/>
  <c r="I97" i="6"/>
  <c r="H97" i="6"/>
  <c r="G97" i="3"/>
  <c r="E97" i="3"/>
  <c r="W97" i="6"/>
  <c r="O97" i="3"/>
  <c r="N97" i="3"/>
  <c r="F97" i="6"/>
  <c r="E97" i="6"/>
  <c r="P97" i="6" s="1"/>
  <c r="L97" i="3"/>
  <c r="D97" i="6"/>
  <c r="C97" i="6"/>
  <c r="R97" i="3"/>
  <c r="M97" i="3"/>
  <c r="Q97" i="3"/>
  <c r="P97" i="3"/>
  <c r="K97" i="3"/>
  <c r="T97" i="3"/>
  <c r="J97" i="3"/>
  <c r="I97" i="3"/>
  <c r="S97" i="3"/>
  <c r="D97" i="3"/>
  <c r="F97" i="3"/>
  <c r="C97" i="3"/>
  <c r="H97" i="3"/>
  <c r="B97" i="3"/>
  <c r="A97" i="3"/>
  <c r="F122" i="6"/>
  <c r="E122" i="6"/>
  <c r="G122" i="6" s="1"/>
  <c r="H122" i="6"/>
  <c r="M122" i="6"/>
  <c r="L122" i="6"/>
  <c r="R122" i="6"/>
  <c r="S122" i="6"/>
  <c r="P122" i="6"/>
  <c r="Q122" i="6" s="1"/>
  <c r="W122" i="6"/>
  <c r="T122" i="6"/>
  <c r="Y122" i="6" s="1"/>
  <c r="N122" i="6"/>
  <c r="K122" i="6"/>
  <c r="J122" i="6"/>
  <c r="I122" i="6"/>
  <c r="O122" i="6"/>
  <c r="B122" i="3"/>
  <c r="T122" i="3"/>
  <c r="A122" i="3"/>
  <c r="S122" i="3"/>
  <c r="N122" i="3"/>
  <c r="M122" i="3"/>
  <c r="K122" i="3"/>
  <c r="J122" i="3"/>
  <c r="L122" i="3"/>
  <c r="C122" i="6"/>
  <c r="R122" i="3"/>
  <c r="AD122" i="6"/>
  <c r="AE122" i="6" s="1"/>
  <c r="AF122" i="6" s="1"/>
  <c r="Q122" i="3"/>
  <c r="P122" i="3"/>
  <c r="I122" i="3"/>
  <c r="H122" i="3"/>
  <c r="E122" i="3"/>
  <c r="G122" i="3"/>
  <c r="F122" i="3"/>
  <c r="D122" i="3"/>
  <c r="C122" i="3"/>
  <c r="O122" i="3"/>
  <c r="D122" i="6"/>
  <c r="B122" i="6"/>
  <c r="H108" i="6"/>
  <c r="F108" i="6"/>
  <c r="K108" i="6"/>
  <c r="D108" i="6"/>
  <c r="W108" i="6"/>
  <c r="M108" i="6"/>
  <c r="L108" i="6"/>
  <c r="J108" i="6"/>
  <c r="I108" i="6"/>
  <c r="T108" i="6"/>
  <c r="X108" i="6" s="1"/>
  <c r="O108" i="6"/>
  <c r="C108" i="6"/>
  <c r="B108" i="6"/>
  <c r="P108" i="3"/>
  <c r="N108" i="3"/>
  <c r="F108" i="3"/>
  <c r="E108" i="3"/>
  <c r="C108" i="3"/>
  <c r="N108" i="6"/>
  <c r="R108" i="3"/>
  <c r="Q108" i="3"/>
  <c r="T108" i="3"/>
  <c r="S108" i="3"/>
  <c r="E108" i="6"/>
  <c r="J108" i="3"/>
  <c r="G108" i="3"/>
  <c r="I108" i="3"/>
  <c r="D108" i="3"/>
  <c r="B108" i="3"/>
  <c r="A108" i="3"/>
  <c r="H108" i="3"/>
  <c r="L108" i="3"/>
  <c r="O108" i="3"/>
  <c r="M108" i="3"/>
  <c r="K108" i="3"/>
  <c r="J199" i="6"/>
  <c r="O199" i="6"/>
  <c r="D199" i="6"/>
  <c r="C199" i="6"/>
  <c r="W199" i="6"/>
  <c r="N199" i="6"/>
  <c r="M199" i="6"/>
  <c r="L199" i="6"/>
  <c r="B199" i="6"/>
  <c r="K199" i="6"/>
  <c r="I199" i="6"/>
  <c r="H199" i="6"/>
  <c r="T199" i="6"/>
  <c r="Y199" i="6" s="1"/>
  <c r="E199" i="3"/>
  <c r="D199" i="3"/>
  <c r="J199" i="3"/>
  <c r="H199" i="3"/>
  <c r="F199" i="3"/>
  <c r="C199" i="3"/>
  <c r="R199" i="6"/>
  <c r="A199" i="3"/>
  <c r="M199" i="3"/>
  <c r="L199" i="3"/>
  <c r="I199" i="3"/>
  <c r="K199" i="3"/>
  <c r="G199" i="3"/>
  <c r="F199" i="6"/>
  <c r="Q199" i="3"/>
  <c r="T199" i="3"/>
  <c r="R199" i="3"/>
  <c r="P199" i="3"/>
  <c r="S199" i="3"/>
  <c r="O199" i="3"/>
  <c r="N199" i="3"/>
  <c r="E199" i="6"/>
  <c r="B199" i="3"/>
  <c r="D46" i="6"/>
  <c r="P46" i="6"/>
  <c r="AD46" i="6" s="1"/>
  <c r="AE46" i="6" s="1"/>
  <c r="AF46" i="6" s="1"/>
  <c r="O46" i="6"/>
  <c r="N46" i="6"/>
  <c r="M46" i="6"/>
  <c r="C46" i="6"/>
  <c r="B46" i="6"/>
  <c r="H46" i="6"/>
  <c r="G46" i="6"/>
  <c r="F46" i="6"/>
  <c r="W46" i="6"/>
  <c r="T46" i="6"/>
  <c r="Y46" i="6" s="1"/>
  <c r="L46" i="6"/>
  <c r="R46" i="3"/>
  <c r="P46" i="3"/>
  <c r="T46" i="3"/>
  <c r="S46" i="3"/>
  <c r="O46" i="3"/>
  <c r="K46" i="6"/>
  <c r="N46" i="3"/>
  <c r="E46" i="6"/>
  <c r="R46" i="6" s="1"/>
  <c r="J46" i="6"/>
  <c r="M46" i="3"/>
  <c r="J46" i="3"/>
  <c r="I46" i="6"/>
  <c r="L46" i="3"/>
  <c r="K46" i="3"/>
  <c r="Q46" i="3"/>
  <c r="I46" i="3"/>
  <c r="H46" i="3"/>
  <c r="G46" i="3"/>
  <c r="F46" i="3"/>
  <c r="D46" i="3"/>
  <c r="C46" i="3"/>
  <c r="B46" i="3"/>
  <c r="A46" i="3"/>
  <c r="E46" i="3"/>
  <c r="J134" i="6"/>
  <c r="E134" i="6"/>
  <c r="P134" i="6" s="1"/>
  <c r="AD134" i="6" s="1"/>
  <c r="AE134" i="6" s="1"/>
  <c r="AF134" i="6" s="1"/>
  <c r="B134" i="6"/>
  <c r="N134" i="6"/>
  <c r="D134" i="6"/>
  <c r="W134" i="6"/>
  <c r="T134" i="6"/>
  <c r="X134" i="6" s="1"/>
  <c r="H134" i="6"/>
  <c r="F134" i="6"/>
  <c r="C134" i="6"/>
  <c r="L134" i="6"/>
  <c r="K134" i="6"/>
  <c r="I134" i="6"/>
  <c r="O134" i="6"/>
  <c r="J134" i="3"/>
  <c r="H134" i="3"/>
  <c r="P134" i="3"/>
  <c r="O134" i="3"/>
  <c r="M134" i="3"/>
  <c r="T134" i="3"/>
  <c r="Q134" i="3"/>
  <c r="N134" i="3"/>
  <c r="S134" i="3"/>
  <c r="L134" i="3"/>
  <c r="M134" i="6"/>
  <c r="K134" i="3"/>
  <c r="G134" i="3"/>
  <c r="R134" i="3"/>
  <c r="I134" i="3"/>
  <c r="F134" i="3"/>
  <c r="C134" i="3"/>
  <c r="E134" i="3"/>
  <c r="B134" i="3"/>
  <c r="A134" i="3"/>
  <c r="D134" i="3"/>
  <c r="W51" i="6"/>
  <c r="B51" i="6"/>
  <c r="I51" i="6"/>
  <c r="O51" i="6"/>
  <c r="M51" i="6"/>
  <c r="D51" i="6"/>
  <c r="C51" i="6"/>
  <c r="N51" i="6"/>
  <c r="L51" i="6"/>
  <c r="K51" i="6"/>
  <c r="H51" i="6"/>
  <c r="F51" i="6"/>
  <c r="T51" i="6"/>
  <c r="J51" i="6"/>
  <c r="E51" i="6"/>
  <c r="G51" i="6" s="1"/>
  <c r="Y51" i="6"/>
  <c r="X51" i="6"/>
  <c r="M51" i="3"/>
  <c r="K51" i="3"/>
  <c r="C51" i="3"/>
  <c r="Y51" i="3" s="1"/>
  <c r="B51" i="3"/>
  <c r="P51" i="3"/>
  <c r="O51" i="3"/>
  <c r="L51" i="3"/>
  <c r="N51" i="3"/>
  <c r="J51" i="3"/>
  <c r="R51" i="3"/>
  <c r="I51" i="3"/>
  <c r="H51" i="3"/>
  <c r="T51" i="3"/>
  <c r="S51" i="3"/>
  <c r="Q51" i="3"/>
  <c r="G51" i="3"/>
  <c r="F51" i="3"/>
  <c r="D51" i="3"/>
  <c r="E51" i="3"/>
  <c r="A51" i="3"/>
  <c r="M208" i="6"/>
  <c r="K208" i="6"/>
  <c r="I208" i="6"/>
  <c r="F208" i="6"/>
  <c r="D208" i="6"/>
  <c r="C208" i="6"/>
  <c r="B208" i="6"/>
  <c r="Q208" i="3"/>
  <c r="P208" i="3"/>
  <c r="O208" i="3"/>
  <c r="G208" i="3"/>
  <c r="E208" i="3"/>
  <c r="W208" i="6"/>
  <c r="F208" i="3"/>
  <c r="D208" i="3"/>
  <c r="B208" i="3"/>
  <c r="A208" i="3"/>
  <c r="C208" i="3"/>
  <c r="T208" i="6"/>
  <c r="Y208" i="6" s="1"/>
  <c r="S208" i="6"/>
  <c r="H208" i="3"/>
  <c r="O208" i="6"/>
  <c r="N208" i="6"/>
  <c r="L208" i="6"/>
  <c r="H208" i="6"/>
  <c r="J208" i="3"/>
  <c r="J208" i="6"/>
  <c r="I208" i="3"/>
  <c r="E208" i="6"/>
  <c r="R208" i="6" s="1"/>
  <c r="T208" i="3"/>
  <c r="S208" i="3"/>
  <c r="R208" i="3"/>
  <c r="N208" i="3"/>
  <c r="K208" i="3"/>
  <c r="M208" i="3"/>
  <c r="L208" i="3"/>
  <c r="L30" i="6"/>
  <c r="D30" i="6"/>
  <c r="N30" i="6"/>
  <c r="M30" i="6"/>
  <c r="K30" i="6"/>
  <c r="E30" i="6"/>
  <c r="G30" i="6" s="1"/>
  <c r="C30" i="6"/>
  <c r="B30" i="6"/>
  <c r="T30" i="6"/>
  <c r="X30" i="6" s="1"/>
  <c r="R30" i="6"/>
  <c r="F30" i="6"/>
  <c r="O30" i="6"/>
  <c r="J30" i="6"/>
  <c r="I30" i="6"/>
  <c r="N30" i="3"/>
  <c r="L30" i="3"/>
  <c r="W30" i="6"/>
  <c r="S30" i="3"/>
  <c r="K30" i="3"/>
  <c r="H30" i="3"/>
  <c r="G30" i="3"/>
  <c r="J30" i="3"/>
  <c r="H30" i="6"/>
  <c r="I30" i="3"/>
  <c r="M30" i="3"/>
  <c r="F30" i="3"/>
  <c r="D30" i="3"/>
  <c r="C30" i="3"/>
  <c r="B30" i="3"/>
  <c r="A30" i="3"/>
  <c r="E30" i="3"/>
  <c r="T30" i="3"/>
  <c r="R30" i="3"/>
  <c r="O30" i="3"/>
  <c r="Q30" i="3"/>
  <c r="P30" i="3"/>
  <c r="K163" i="6"/>
  <c r="D163" i="6"/>
  <c r="C163" i="6"/>
  <c r="O163" i="6"/>
  <c r="N163" i="6"/>
  <c r="M163" i="6"/>
  <c r="T163" i="6"/>
  <c r="Y163" i="6" s="1"/>
  <c r="E163" i="6"/>
  <c r="B163" i="6"/>
  <c r="W163" i="6"/>
  <c r="I163" i="6"/>
  <c r="H163" i="6"/>
  <c r="F163" i="6"/>
  <c r="L163" i="6"/>
  <c r="A163" i="3"/>
  <c r="S163" i="3"/>
  <c r="G163" i="3"/>
  <c r="F163" i="3"/>
  <c r="D163" i="3"/>
  <c r="P163" i="3"/>
  <c r="M163" i="3"/>
  <c r="L163" i="3"/>
  <c r="O163" i="3"/>
  <c r="J163" i="6"/>
  <c r="N163" i="3"/>
  <c r="E163" i="3"/>
  <c r="C163" i="3"/>
  <c r="B163" i="3"/>
  <c r="T163" i="3"/>
  <c r="R163" i="3"/>
  <c r="Q163" i="3"/>
  <c r="J163" i="3"/>
  <c r="I163" i="3"/>
  <c r="H163" i="3"/>
  <c r="K163" i="3"/>
  <c r="I41" i="6"/>
  <c r="H41" i="6"/>
  <c r="F41" i="6"/>
  <c r="E41" i="6"/>
  <c r="R41" i="6" s="1"/>
  <c r="T41" i="6"/>
  <c r="Y41" i="6" s="1"/>
  <c r="O41" i="6"/>
  <c r="D41" i="6"/>
  <c r="C41" i="6"/>
  <c r="B41" i="6"/>
  <c r="J41" i="6"/>
  <c r="C41" i="3"/>
  <c r="W41" i="6"/>
  <c r="A41" i="3"/>
  <c r="M41" i="3"/>
  <c r="L41" i="3"/>
  <c r="J41" i="3"/>
  <c r="Q41" i="3"/>
  <c r="N41" i="3"/>
  <c r="K41" i="3"/>
  <c r="N41" i="6"/>
  <c r="P41" i="3"/>
  <c r="L41" i="6"/>
  <c r="M41" i="6"/>
  <c r="O41" i="3"/>
  <c r="K41" i="6"/>
  <c r="S41" i="3"/>
  <c r="R41" i="3"/>
  <c r="I41" i="3"/>
  <c r="H41" i="3"/>
  <c r="T41" i="3"/>
  <c r="G41" i="3"/>
  <c r="F41" i="3"/>
  <c r="D41" i="3"/>
  <c r="E41" i="3"/>
  <c r="B41" i="3"/>
  <c r="K202" i="6"/>
  <c r="J202" i="6"/>
  <c r="T202" i="6"/>
  <c r="X202" i="6" s="1"/>
  <c r="C202" i="6"/>
  <c r="B202" i="6"/>
  <c r="L202" i="6"/>
  <c r="I202" i="6"/>
  <c r="H202" i="6"/>
  <c r="O202" i="6"/>
  <c r="N202" i="6"/>
  <c r="M202" i="6"/>
  <c r="F202" i="6"/>
  <c r="E202" i="6"/>
  <c r="P202" i="6" s="1"/>
  <c r="D202" i="6"/>
  <c r="C202" i="3"/>
  <c r="B202" i="3"/>
  <c r="A202" i="3"/>
  <c r="O202" i="3"/>
  <c r="M202" i="3"/>
  <c r="S202" i="3"/>
  <c r="R202" i="3"/>
  <c r="P202" i="3"/>
  <c r="W202" i="6"/>
  <c r="H202" i="3"/>
  <c r="G202" i="3"/>
  <c r="E202" i="3"/>
  <c r="D202" i="3"/>
  <c r="F202" i="3"/>
  <c r="I202" i="3"/>
  <c r="K202" i="3"/>
  <c r="Q202" i="3"/>
  <c r="T202" i="3"/>
  <c r="L202" i="3"/>
  <c r="N202" i="3"/>
  <c r="J202" i="3"/>
  <c r="F207" i="6"/>
  <c r="C207" i="6"/>
  <c r="M207" i="6"/>
  <c r="L207" i="6"/>
  <c r="I207" i="6"/>
  <c r="H207" i="6"/>
  <c r="R207" i="3"/>
  <c r="Q207" i="3"/>
  <c r="P207" i="3"/>
  <c r="E207" i="3"/>
  <c r="C207" i="3"/>
  <c r="W207" i="6"/>
  <c r="T207" i="3"/>
  <c r="S207" i="3"/>
  <c r="N207" i="3"/>
  <c r="T207" i="6"/>
  <c r="Y207" i="6" s="1"/>
  <c r="O207" i="6"/>
  <c r="J207" i="6"/>
  <c r="K207" i="6"/>
  <c r="N207" i="6"/>
  <c r="E207" i="6"/>
  <c r="B207" i="6"/>
  <c r="M207" i="3"/>
  <c r="L207" i="3"/>
  <c r="J207" i="3"/>
  <c r="I207" i="3"/>
  <c r="H207" i="3"/>
  <c r="O207" i="3"/>
  <c r="K207" i="3"/>
  <c r="G207" i="3"/>
  <c r="F207" i="3"/>
  <c r="A207" i="3"/>
  <c r="D207" i="3"/>
  <c r="B207" i="3"/>
  <c r="D207" i="6"/>
  <c r="W172" i="6"/>
  <c r="M172" i="6"/>
  <c r="L172" i="6"/>
  <c r="N172" i="6"/>
  <c r="K172" i="6"/>
  <c r="J172" i="6"/>
  <c r="H172" i="6"/>
  <c r="F172" i="6"/>
  <c r="E172" i="6"/>
  <c r="S172" i="6" s="1"/>
  <c r="O172" i="6"/>
  <c r="I172" i="6"/>
  <c r="D172" i="6"/>
  <c r="T172" i="6"/>
  <c r="X172" i="6" s="1"/>
  <c r="C172" i="6"/>
  <c r="B172" i="6"/>
  <c r="L172" i="3"/>
  <c r="J172" i="3"/>
  <c r="R172" i="3"/>
  <c r="Q172" i="3"/>
  <c r="O172" i="3"/>
  <c r="I172" i="3"/>
  <c r="H172" i="3"/>
  <c r="F172" i="3"/>
  <c r="E172" i="3"/>
  <c r="G172" i="3"/>
  <c r="S172" i="3"/>
  <c r="P172" i="3"/>
  <c r="N172" i="3"/>
  <c r="T172" i="3"/>
  <c r="M172" i="3"/>
  <c r="D172" i="3"/>
  <c r="C172" i="3"/>
  <c r="B172" i="3"/>
  <c r="A172" i="3"/>
  <c r="K172" i="3"/>
  <c r="T190" i="6"/>
  <c r="X190" i="6" s="1"/>
  <c r="M190" i="6"/>
  <c r="C190" i="6"/>
  <c r="Y190" i="6"/>
  <c r="B190" i="6"/>
  <c r="K190" i="6"/>
  <c r="J190" i="6"/>
  <c r="I190" i="6"/>
  <c r="L190" i="6"/>
  <c r="H190" i="6"/>
  <c r="F190" i="6"/>
  <c r="N190" i="6"/>
  <c r="E190" i="6"/>
  <c r="R190" i="6" s="1"/>
  <c r="D190" i="6"/>
  <c r="O190" i="6"/>
  <c r="N190" i="3"/>
  <c r="M190" i="3"/>
  <c r="S190" i="3"/>
  <c r="R190" i="3"/>
  <c r="W190" i="6"/>
  <c r="T190" i="3"/>
  <c r="L190" i="3"/>
  <c r="J190" i="3"/>
  <c r="I190" i="3"/>
  <c r="Q190" i="3"/>
  <c r="H190" i="3"/>
  <c r="P190" i="3"/>
  <c r="O190" i="3"/>
  <c r="K190" i="3"/>
  <c r="G190" i="3"/>
  <c r="E190" i="3"/>
  <c r="F190" i="3"/>
  <c r="B190" i="3"/>
  <c r="D190" i="3"/>
  <c r="C190" i="3"/>
  <c r="A190" i="3"/>
  <c r="K192" i="6"/>
  <c r="E192" i="6"/>
  <c r="R192" i="6" s="1"/>
  <c r="D192" i="6"/>
  <c r="F192" i="6"/>
  <c r="C192" i="6"/>
  <c r="I192" i="6"/>
  <c r="H192" i="6"/>
  <c r="N192" i="6"/>
  <c r="M192" i="6"/>
  <c r="L192" i="6"/>
  <c r="W192" i="6"/>
  <c r="T192" i="6"/>
  <c r="Y192" i="6" s="1"/>
  <c r="O192" i="6"/>
  <c r="J192" i="6"/>
  <c r="B192" i="6"/>
  <c r="L192" i="3"/>
  <c r="K192" i="3"/>
  <c r="A192" i="3"/>
  <c r="E192" i="3"/>
  <c r="D192" i="3"/>
  <c r="B192" i="3"/>
  <c r="N192" i="3"/>
  <c r="I192" i="3"/>
  <c r="H192" i="3"/>
  <c r="M192" i="3"/>
  <c r="J192" i="3"/>
  <c r="T192" i="3"/>
  <c r="Q192" i="3"/>
  <c r="P192" i="3"/>
  <c r="S192" i="3"/>
  <c r="O192" i="3"/>
  <c r="F192" i="3"/>
  <c r="C192" i="3"/>
  <c r="R192" i="3"/>
  <c r="G192" i="3"/>
  <c r="O194" i="6"/>
  <c r="L194" i="6"/>
  <c r="J194" i="6"/>
  <c r="F194" i="6"/>
  <c r="N194" i="6"/>
  <c r="M194" i="6"/>
  <c r="T194" i="6"/>
  <c r="X194" i="6" s="1"/>
  <c r="I194" i="6"/>
  <c r="H194" i="6"/>
  <c r="E194" i="6"/>
  <c r="B194" i="6"/>
  <c r="J194" i="3"/>
  <c r="I194" i="3"/>
  <c r="C194" i="3"/>
  <c r="A194" i="3"/>
  <c r="K194" i="6"/>
  <c r="M194" i="3"/>
  <c r="D194" i="6"/>
  <c r="L194" i="3"/>
  <c r="C194" i="6"/>
  <c r="H194" i="3"/>
  <c r="W194" i="6"/>
  <c r="Q194" i="3"/>
  <c r="K194" i="3"/>
  <c r="P194" i="3"/>
  <c r="F194" i="3"/>
  <c r="E194" i="3"/>
  <c r="O194" i="3"/>
  <c r="N194" i="3"/>
  <c r="G194" i="3"/>
  <c r="D194" i="3"/>
  <c r="B194" i="3"/>
  <c r="R194" i="3"/>
  <c r="T194" i="3"/>
  <c r="S194" i="3"/>
  <c r="T104" i="6"/>
  <c r="Y104" i="6" s="1"/>
  <c r="M104" i="6"/>
  <c r="J104" i="6"/>
  <c r="L104" i="6"/>
  <c r="K104" i="6"/>
  <c r="N104" i="6"/>
  <c r="I104" i="6"/>
  <c r="H104" i="6"/>
  <c r="F104" i="6"/>
  <c r="E104" i="6"/>
  <c r="P104" i="6" s="1"/>
  <c r="D104" i="6"/>
  <c r="C104" i="6"/>
  <c r="O104" i="6"/>
  <c r="B104" i="6"/>
  <c r="T104" i="3"/>
  <c r="W104" i="6"/>
  <c r="R104" i="3"/>
  <c r="B104" i="3"/>
  <c r="A104" i="3"/>
  <c r="C104" i="3"/>
  <c r="M104" i="3"/>
  <c r="L104" i="3"/>
  <c r="S104" i="3"/>
  <c r="Q104" i="3"/>
  <c r="P104" i="3"/>
  <c r="O104" i="3"/>
  <c r="N104" i="3"/>
  <c r="K104" i="3"/>
  <c r="J104" i="3"/>
  <c r="F104" i="3"/>
  <c r="H104" i="3"/>
  <c r="E104" i="3"/>
  <c r="I104" i="3"/>
  <c r="G104" i="3"/>
  <c r="D104" i="3"/>
  <c r="L185" i="6"/>
  <c r="C185" i="6"/>
  <c r="F185" i="6"/>
  <c r="J185" i="6"/>
  <c r="I185" i="6"/>
  <c r="T185" i="6"/>
  <c r="X185" i="6" s="1"/>
  <c r="E185" i="6"/>
  <c r="R185" i="6" s="1"/>
  <c r="D185" i="6"/>
  <c r="B185" i="6"/>
  <c r="M185" i="6"/>
  <c r="K185" i="6"/>
  <c r="H185" i="6"/>
  <c r="N185" i="6"/>
  <c r="W185" i="6"/>
  <c r="O185" i="6"/>
  <c r="S185" i="3"/>
  <c r="R185" i="3"/>
  <c r="N185" i="3"/>
  <c r="L185" i="3"/>
  <c r="D185" i="3"/>
  <c r="C185" i="3"/>
  <c r="A185" i="3"/>
  <c r="O185" i="3"/>
  <c r="M185" i="3"/>
  <c r="K185" i="3"/>
  <c r="J185" i="3"/>
  <c r="I185" i="3"/>
  <c r="P185" i="3"/>
  <c r="E185" i="3"/>
  <c r="H185" i="3"/>
  <c r="G185" i="3"/>
  <c r="F185" i="3"/>
  <c r="B185" i="3"/>
  <c r="Q185" i="3"/>
  <c r="T185" i="3"/>
  <c r="F187" i="6"/>
  <c r="O187" i="6"/>
  <c r="B187" i="6"/>
  <c r="J187" i="6"/>
  <c r="I187" i="6"/>
  <c r="E187" i="6"/>
  <c r="D187" i="6"/>
  <c r="C187" i="6"/>
  <c r="W187" i="6"/>
  <c r="T187" i="6"/>
  <c r="Y187" i="6" s="1"/>
  <c r="P187" i="6"/>
  <c r="V187" i="6" s="1"/>
  <c r="N187" i="6"/>
  <c r="L187" i="6"/>
  <c r="K187" i="6"/>
  <c r="Q187" i="3"/>
  <c r="H187" i="6"/>
  <c r="P187" i="3"/>
  <c r="R187" i="3"/>
  <c r="N187" i="3"/>
  <c r="J187" i="3"/>
  <c r="I187" i="3"/>
  <c r="G187" i="3"/>
  <c r="B187" i="3"/>
  <c r="A187" i="3"/>
  <c r="K187" i="3"/>
  <c r="E187" i="3"/>
  <c r="D187" i="3"/>
  <c r="H187" i="3"/>
  <c r="C187" i="3"/>
  <c r="M187" i="6"/>
  <c r="F187" i="3"/>
  <c r="M187" i="3"/>
  <c r="L187" i="3"/>
  <c r="T187" i="3"/>
  <c r="S187" i="3"/>
  <c r="O187" i="3"/>
  <c r="W133" i="6"/>
  <c r="C133" i="6"/>
  <c r="M133" i="6"/>
  <c r="I133" i="6"/>
  <c r="H133" i="6"/>
  <c r="E133" i="6"/>
  <c r="P133" i="6" s="1"/>
  <c r="T133" i="6"/>
  <c r="X133" i="6" s="1"/>
  <c r="B133" i="6"/>
  <c r="F133" i="6"/>
  <c r="K133" i="3"/>
  <c r="I133" i="3"/>
  <c r="O133" i="3"/>
  <c r="N133" i="3"/>
  <c r="L133" i="3"/>
  <c r="N133" i="6"/>
  <c r="T133" i="3"/>
  <c r="S133" i="3"/>
  <c r="P133" i="3"/>
  <c r="R133" i="3"/>
  <c r="Q133" i="3"/>
  <c r="F133" i="3"/>
  <c r="E133" i="3"/>
  <c r="D133" i="3"/>
  <c r="C133" i="3"/>
  <c r="Y133" i="3" s="1"/>
  <c r="B133" i="3"/>
  <c r="A133" i="3"/>
  <c r="L133" i="6"/>
  <c r="D133" i="6"/>
  <c r="O133" i="6"/>
  <c r="K133" i="6"/>
  <c r="J133" i="6"/>
  <c r="M133" i="3"/>
  <c r="J133" i="3"/>
  <c r="H133" i="3"/>
  <c r="G133" i="3"/>
  <c r="R203" i="6"/>
  <c r="I203" i="6"/>
  <c r="L203" i="6"/>
  <c r="K203" i="6"/>
  <c r="T203" i="6"/>
  <c r="X203" i="6" s="1"/>
  <c r="D203" i="6"/>
  <c r="C203" i="6"/>
  <c r="B203" i="6"/>
  <c r="M203" i="6"/>
  <c r="J203" i="6"/>
  <c r="H203" i="6"/>
  <c r="N203" i="6"/>
  <c r="F203" i="6"/>
  <c r="E203" i="6"/>
  <c r="G203" i="6" s="1"/>
  <c r="B203" i="3"/>
  <c r="A203" i="3"/>
  <c r="W203" i="6"/>
  <c r="T203" i="3"/>
  <c r="Q203" i="3"/>
  <c r="O203" i="3"/>
  <c r="P203" i="3"/>
  <c r="N203" i="3"/>
  <c r="L203" i="3"/>
  <c r="K203" i="3"/>
  <c r="M203" i="3"/>
  <c r="I203" i="3"/>
  <c r="R203" i="3"/>
  <c r="J203" i="3"/>
  <c r="H203" i="3"/>
  <c r="S203" i="3"/>
  <c r="F203" i="3"/>
  <c r="G203" i="3"/>
  <c r="E203" i="3"/>
  <c r="D203" i="3"/>
  <c r="C203" i="3"/>
  <c r="O203" i="6"/>
  <c r="T54" i="6"/>
  <c r="X54" i="6" s="1"/>
  <c r="I54" i="6"/>
  <c r="F54" i="6"/>
  <c r="D54" i="6"/>
  <c r="C54" i="6"/>
  <c r="B54" i="6"/>
  <c r="H54" i="6"/>
  <c r="E54" i="6"/>
  <c r="W54" i="6"/>
  <c r="M54" i="6"/>
  <c r="J54" i="3"/>
  <c r="K54" i="6"/>
  <c r="H54" i="3"/>
  <c r="J54" i="6"/>
  <c r="N54" i="6"/>
  <c r="F54" i="3"/>
  <c r="L54" i="6"/>
  <c r="E54" i="3"/>
  <c r="C54" i="3"/>
  <c r="D54" i="3"/>
  <c r="B54" i="3"/>
  <c r="A54" i="3"/>
  <c r="T54" i="3"/>
  <c r="S54" i="3"/>
  <c r="P54" i="3"/>
  <c r="R54" i="3"/>
  <c r="Q54" i="3"/>
  <c r="O54" i="3"/>
  <c r="O54" i="6"/>
  <c r="K54" i="3"/>
  <c r="M54" i="3"/>
  <c r="I54" i="3"/>
  <c r="G54" i="3"/>
  <c r="N54" i="3"/>
  <c r="L54" i="3"/>
  <c r="F167" i="6"/>
  <c r="E167" i="6"/>
  <c r="S167" i="6" s="1"/>
  <c r="H167" i="6"/>
  <c r="J167" i="6"/>
  <c r="I167" i="6"/>
  <c r="C167" i="6"/>
  <c r="B167" i="6"/>
  <c r="M167" i="6"/>
  <c r="L167" i="6"/>
  <c r="K167" i="6"/>
  <c r="T167" i="6"/>
  <c r="Y167" i="6" s="1"/>
  <c r="W167" i="6"/>
  <c r="O167" i="6"/>
  <c r="N167" i="6"/>
  <c r="D167" i="6"/>
  <c r="Q167" i="3"/>
  <c r="O167" i="3"/>
  <c r="K167" i="3"/>
  <c r="J167" i="3"/>
  <c r="H167" i="3"/>
  <c r="L167" i="3"/>
  <c r="E167" i="3"/>
  <c r="I167" i="3"/>
  <c r="G167" i="3"/>
  <c r="F167" i="3"/>
  <c r="S167" i="3"/>
  <c r="R167" i="3"/>
  <c r="T167" i="3"/>
  <c r="P167" i="3"/>
  <c r="N167" i="3"/>
  <c r="M167" i="3"/>
  <c r="C167" i="3"/>
  <c r="B167" i="3"/>
  <c r="A167" i="3"/>
  <c r="D167" i="3"/>
  <c r="B110" i="6"/>
  <c r="C110" i="6"/>
  <c r="I110" i="6"/>
  <c r="T110" i="6"/>
  <c r="Y110" i="6" s="1"/>
  <c r="M110" i="6"/>
  <c r="E110" i="6"/>
  <c r="S110" i="6" s="1"/>
  <c r="N110" i="6"/>
  <c r="L110" i="6"/>
  <c r="K110" i="6"/>
  <c r="O110" i="6"/>
  <c r="J110" i="6"/>
  <c r="R110" i="6"/>
  <c r="H110" i="6"/>
  <c r="F110" i="6"/>
  <c r="D110" i="6"/>
  <c r="N110" i="3"/>
  <c r="L110" i="3"/>
  <c r="H110" i="3"/>
  <c r="G110" i="3"/>
  <c r="E110" i="3"/>
  <c r="D110" i="3"/>
  <c r="C110" i="3"/>
  <c r="B110" i="3"/>
  <c r="A110" i="3"/>
  <c r="W110" i="6"/>
  <c r="F110" i="3"/>
  <c r="S110" i="3"/>
  <c r="M110" i="3"/>
  <c r="J110" i="3"/>
  <c r="R110" i="3"/>
  <c r="I110" i="3"/>
  <c r="Q110" i="3"/>
  <c r="P110" i="3"/>
  <c r="O110" i="3"/>
  <c r="K110" i="3"/>
  <c r="T110" i="3"/>
  <c r="O129" i="6"/>
  <c r="C129" i="6"/>
  <c r="N129" i="6"/>
  <c r="E129" i="6"/>
  <c r="S129" i="6" s="1"/>
  <c r="D129" i="6"/>
  <c r="H129" i="6"/>
  <c r="F129" i="6"/>
  <c r="W129" i="6"/>
  <c r="B129" i="6"/>
  <c r="T129" i="6"/>
  <c r="X129" i="6" s="1"/>
  <c r="M129" i="6"/>
  <c r="L129" i="6"/>
  <c r="J129" i="6"/>
  <c r="I129" i="6"/>
  <c r="O129" i="3"/>
  <c r="M129" i="3"/>
  <c r="I129" i="3"/>
  <c r="H129" i="3"/>
  <c r="F129" i="3"/>
  <c r="T129" i="3"/>
  <c r="Q129" i="3"/>
  <c r="S129" i="3"/>
  <c r="P129" i="3"/>
  <c r="N129" i="3"/>
  <c r="L129" i="3"/>
  <c r="K129" i="3"/>
  <c r="J129" i="3"/>
  <c r="R129" i="3"/>
  <c r="G129" i="3"/>
  <c r="D129" i="3"/>
  <c r="C129" i="3"/>
  <c r="B129" i="3"/>
  <c r="A129" i="3"/>
  <c r="K129" i="6"/>
  <c r="E129" i="3"/>
  <c r="F141" i="6"/>
  <c r="N141" i="6"/>
  <c r="M141" i="6"/>
  <c r="O141" i="6"/>
  <c r="K141" i="6"/>
  <c r="W141" i="6"/>
  <c r="H141" i="6"/>
  <c r="E141" i="6"/>
  <c r="P141" i="6" s="1"/>
  <c r="B141" i="6"/>
  <c r="J141" i="6"/>
  <c r="I141" i="6"/>
  <c r="D141" i="6"/>
  <c r="C141" i="6"/>
  <c r="T141" i="6"/>
  <c r="X141" i="6" s="1"/>
  <c r="L141" i="6"/>
  <c r="C141" i="3"/>
  <c r="A141" i="3"/>
  <c r="B141" i="3"/>
  <c r="T141" i="3"/>
  <c r="I141" i="3"/>
  <c r="E141" i="3"/>
  <c r="H141" i="3"/>
  <c r="G141" i="3"/>
  <c r="F141" i="3"/>
  <c r="O141" i="3"/>
  <c r="D141" i="3"/>
  <c r="N141" i="3"/>
  <c r="M141" i="3"/>
  <c r="L141" i="3"/>
  <c r="K141" i="3"/>
  <c r="J141" i="3"/>
  <c r="Q141" i="3"/>
  <c r="S141" i="3"/>
  <c r="R141" i="3"/>
  <c r="P141" i="3"/>
  <c r="L140" i="6"/>
  <c r="C140" i="6"/>
  <c r="J140" i="6"/>
  <c r="I140" i="6"/>
  <c r="K140" i="6"/>
  <c r="H140" i="6"/>
  <c r="F140" i="6"/>
  <c r="E140" i="6"/>
  <c r="G140" i="6" s="1"/>
  <c r="D140" i="6"/>
  <c r="B140" i="6"/>
  <c r="T140" i="6"/>
  <c r="X140" i="6" s="1"/>
  <c r="Q140" i="6"/>
  <c r="D140" i="3"/>
  <c r="B140" i="3"/>
  <c r="O140" i="6"/>
  <c r="N140" i="6"/>
  <c r="M140" i="6"/>
  <c r="S140" i="3"/>
  <c r="E140" i="3"/>
  <c r="C140" i="3"/>
  <c r="A140" i="3"/>
  <c r="F140" i="3"/>
  <c r="T140" i="3"/>
  <c r="R140" i="3"/>
  <c r="Q140" i="3"/>
  <c r="P140" i="3"/>
  <c r="O140" i="3"/>
  <c r="L140" i="3"/>
  <c r="W140" i="6"/>
  <c r="J140" i="3"/>
  <c r="P140" i="6"/>
  <c r="V140" i="6" s="1"/>
  <c r="I140" i="3"/>
  <c r="H140" i="3"/>
  <c r="N140" i="3"/>
  <c r="G140" i="3"/>
  <c r="M140" i="3"/>
  <c r="K140" i="3"/>
  <c r="J179" i="6"/>
  <c r="E179" i="6"/>
  <c r="B179" i="6"/>
  <c r="D179" i="6"/>
  <c r="C179" i="6"/>
  <c r="Y179" i="6"/>
  <c r="W179" i="6"/>
  <c r="M179" i="6"/>
  <c r="L179" i="6"/>
  <c r="K179" i="6"/>
  <c r="F179" i="6"/>
  <c r="O179" i="6"/>
  <c r="N179" i="6"/>
  <c r="I179" i="6"/>
  <c r="H179" i="6"/>
  <c r="E179" i="3"/>
  <c r="H179" i="3"/>
  <c r="F179" i="3"/>
  <c r="G179" i="3"/>
  <c r="D179" i="3"/>
  <c r="B179" i="3"/>
  <c r="T179" i="6"/>
  <c r="X179" i="6" s="1"/>
  <c r="S179" i="3"/>
  <c r="R179" i="3"/>
  <c r="T179" i="3"/>
  <c r="O179" i="3"/>
  <c r="Q179" i="3"/>
  <c r="M179" i="3"/>
  <c r="L179" i="3"/>
  <c r="K179" i="3"/>
  <c r="J179" i="3"/>
  <c r="P179" i="3"/>
  <c r="N179" i="3"/>
  <c r="I179" i="3"/>
  <c r="A179" i="3"/>
  <c r="C179" i="3"/>
  <c r="Y9" i="6"/>
  <c r="O9" i="3" s="1"/>
  <c r="B197" i="6"/>
  <c r="N197" i="6"/>
  <c r="M197" i="6"/>
  <c r="F197" i="6"/>
  <c r="E197" i="6"/>
  <c r="S197" i="6" s="1"/>
  <c r="T197" i="6"/>
  <c r="X197" i="6" s="1"/>
  <c r="D197" i="6"/>
  <c r="C197" i="6"/>
  <c r="W197" i="6"/>
  <c r="O197" i="6"/>
  <c r="G197" i="3"/>
  <c r="F197" i="3"/>
  <c r="H197" i="3"/>
  <c r="L197" i="6"/>
  <c r="D197" i="3"/>
  <c r="K197" i="6"/>
  <c r="H197" i="6"/>
  <c r="S197" i="3"/>
  <c r="R197" i="3"/>
  <c r="Q197" i="3"/>
  <c r="J197" i="6"/>
  <c r="T197" i="3"/>
  <c r="I197" i="6"/>
  <c r="P197" i="3"/>
  <c r="O197" i="3"/>
  <c r="N197" i="3"/>
  <c r="L197" i="3"/>
  <c r="M197" i="3"/>
  <c r="K197" i="3"/>
  <c r="C197" i="3"/>
  <c r="B197" i="3"/>
  <c r="A197" i="3"/>
  <c r="J197" i="3"/>
  <c r="I197" i="3"/>
  <c r="E197" i="3"/>
  <c r="N126" i="6"/>
  <c r="E126" i="6"/>
  <c r="G126" i="6" s="1"/>
  <c r="O126" i="6"/>
  <c r="M126" i="6"/>
  <c r="I126" i="6"/>
  <c r="X126" i="6"/>
  <c r="Y126" i="6"/>
  <c r="W126" i="6"/>
  <c r="F126" i="6"/>
  <c r="D126" i="6"/>
  <c r="C126" i="6"/>
  <c r="L126" i="6"/>
  <c r="K126" i="6"/>
  <c r="R126" i="3"/>
  <c r="T126" i="6"/>
  <c r="P126" i="3"/>
  <c r="F126" i="3"/>
  <c r="E126" i="3"/>
  <c r="C126" i="3"/>
  <c r="J126" i="3"/>
  <c r="I126" i="3"/>
  <c r="G126" i="3"/>
  <c r="D126" i="3"/>
  <c r="H126" i="3"/>
  <c r="Q126" i="3"/>
  <c r="L126" i="3"/>
  <c r="K126" i="3"/>
  <c r="O126" i="3"/>
  <c r="M126" i="3"/>
  <c r="B126" i="3"/>
  <c r="A126" i="3"/>
  <c r="N126" i="3"/>
  <c r="B126" i="6"/>
  <c r="T126" i="3"/>
  <c r="S126" i="3"/>
  <c r="J126" i="6"/>
  <c r="H126" i="6"/>
  <c r="O154" i="6"/>
  <c r="N154" i="6"/>
  <c r="T154" i="6"/>
  <c r="Y154" i="6" s="1"/>
  <c r="D154" i="6"/>
  <c r="C154" i="6"/>
  <c r="K154" i="6"/>
  <c r="J154" i="6"/>
  <c r="L154" i="6"/>
  <c r="I154" i="6"/>
  <c r="H154" i="6"/>
  <c r="B154" i="6"/>
  <c r="M154" i="6"/>
  <c r="J154" i="3"/>
  <c r="H154" i="3"/>
  <c r="R154" i="3"/>
  <c r="Q154" i="3"/>
  <c r="W154" i="6"/>
  <c r="O154" i="3"/>
  <c r="E154" i="6"/>
  <c r="T154" i="3"/>
  <c r="F154" i="6"/>
  <c r="S154" i="3"/>
  <c r="L154" i="3"/>
  <c r="K154" i="3"/>
  <c r="P154" i="3"/>
  <c r="M154" i="3"/>
  <c r="G154" i="3"/>
  <c r="F154" i="3"/>
  <c r="N154" i="3"/>
  <c r="I154" i="3"/>
  <c r="E154" i="3"/>
  <c r="B154" i="3"/>
  <c r="D154" i="3"/>
  <c r="C154" i="3"/>
  <c r="A154" i="3"/>
  <c r="I91" i="6"/>
  <c r="W91" i="6"/>
  <c r="B91" i="6"/>
  <c r="D91" i="6"/>
  <c r="C91" i="6"/>
  <c r="N91" i="6"/>
  <c r="E91" i="6"/>
  <c r="G91" i="6" s="1"/>
  <c r="P91" i="6"/>
  <c r="Q91" i="6" s="1"/>
  <c r="O91" i="6"/>
  <c r="M91" i="6"/>
  <c r="F91" i="6"/>
  <c r="U91" i="6"/>
  <c r="T91" i="6"/>
  <c r="X91" i="6" s="1"/>
  <c r="S91" i="6"/>
  <c r="L91" i="6"/>
  <c r="K91" i="6"/>
  <c r="J91" i="6"/>
  <c r="H91" i="6"/>
  <c r="M91" i="3"/>
  <c r="K91" i="3"/>
  <c r="G91" i="3"/>
  <c r="F91" i="3"/>
  <c r="D91" i="3"/>
  <c r="N91" i="3"/>
  <c r="H91" i="3"/>
  <c r="L91" i="3"/>
  <c r="J91" i="3"/>
  <c r="I91" i="3"/>
  <c r="T91" i="3"/>
  <c r="Q91" i="3"/>
  <c r="P91" i="3"/>
  <c r="O91" i="3"/>
  <c r="E91" i="3"/>
  <c r="C91" i="3"/>
  <c r="S91" i="3"/>
  <c r="R91" i="3"/>
  <c r="B91" i="3"/>
  <c r="A91" i="3"/>
  <c r="B155" i="6"/>
  <c r="C155" i="6"/>
  <c r="I155" i="6"/>
  <c r="F155" i="6"/>
  <c r="E155" i="6"/>
  <c r="P155" i="6" s="1"/>
  <c r="D155" i="6"/>
  <c r="R155" i="6"/>
  <c r="O155" i="6"/>
  <c r="N155" i="6"/>
  <c r="M155" i="6"/>
  <c r="T155" i="6"/>
  <c r="Y155" i="6" s="1"/>
  <c r="S155" i="6"/>
  <c r="L155" i="6"/>
  <c r="K155" i="6"/>
  <c r="H155" i="6"/>
  <c r="J155" i="6"/>
  <c r="I155" i="3"/>
  <c r="G155" i="3"/>
  <c r="S155" i="3"/>
  <c r="R155" i="3"/>
  <c r="P155" i="3"/>
  <c r="B155" i="3"/>
  <c r="A155" i="3"/>
  <c r="C155" i="3"/>
  <c r="T155" i="3"/>
  <c r="Q155" i="3"/>
  <c r="W155" i="6"/>
  <c r="N155" i="3"/>
  <c r="M155" i="3"/>
  <c r="L155" i="3"/>
  <c r="K155" i="3"/>
  <c r="J155" i="3"/>
  <c r="E155" i="3"/>
  <c r="H155" i="3"/>
  <c r="F155" i="3"/>
  <c r="O155" i="3"/>
  <c r="D155" i="3"/>
  <c r="J114" i="6"/>
  <c r="C114" i="6"/>
  <c r="B114" i="6"/>
  <c r="I114" i="6"/>
  <c r="F114" i="6"/>
  <c r="D114" i="6"/>
  <c r="T114" i="6"/>
  <c r="Y114" i="6" s="1"/>
  <c r="E114" i="6"/>
  <c r="G114" i="6" s="1"/>
  <c r="J114" i="3"/>
  <c r="R114" i="6"/>
  <c r="H114" i="3"/>
  <c r="P114" i="6"/>
  <c r="U114" i="6" s="1"/>
  <c r="N114" i="3"/>
  <c r="M114" i="3"/>
  <c r="K114" i="3"/>
  <c r="L114" i="6"/>
  <c r="K114" i="6"/>
  <c r="H114" i="6"/>
  <c r="R114" i="3"/>
  <c r="N114" i="6"/>
  <c r="M114" i="6"/>
  <c r="O114" i="3"/>
  <c r="L114" i="3"/>
  <c r="T114" i="3"/>
  <c r="O114" i="6"/>
  <c r="Q114" i="3"/>
  <c r="P114" i="3"/>
  <c r="I114" i="3"/>
  <c r="W114" i="6"/>
  <c r="S114" i="3"/>
  <c r="G114" i="3"/>
  <c r="E114" i="3"/>
  <c r="F114" i="3"/>
  <c r="D114" i="3"/>
  <c r="A114" i="3"/>
  <c r="C114" i="3"/>
  <c r="B114" i="3"/>
  <c r="N180" i="6"/>
  <c r="L180" i="6"/>
  <c r="H180" i="6"/>
  <c r="O180" i="6"/>
  <c r="I180" i="6"/>
  <c r="F180" i="6"/>
  <c r="E180" i="6"/>
  <c r="G180" i="6" s="1"/>
  <c r="D180" i="6"/>
  <c r="C180" i="6"/>
  <c r="B180" i="6"/>
  <c r="K180" i="6"/>
  <c r="J180" i="6"/>
  <c r="W180" i="6"/>
  <c r="T180" i="6"/>
  <c r="Y180" i="6" s="1"/>
  <c r="S180" i="6"/>
  <c r="M180" i="6"/>
  <c r="D180" i="3"/>
  <c r="C180" i="3"/>
  <c r="I180" i="3"/>
  <c r="G180" i="3"/>
  <c r="K180" i="3"/>
  <c r="J180" i="3"/>
  <c r="F180" i="3"/>
  <c r="A180" i="3"/>
  <c r="B180" i="3"/>
  <c r="T180" i="3"/>
  <c r="Q180" i="3"/>
  <c r="P180" i="3"/>
  <c r="R180" i="3"/>
  <c r="S180" i="3"/>
  <c r="M180" i="3"/>
  <c r="O180" i="3"/>
  <c r="N180" i="3"/>
  <c r="L180" i="3"/>
  <c r="H180" i="3"/>
  <c r="E180" i="3"/>
  <c r="K137" i="6"/>
  <c r="L137" i="6"/>
  <c r="N137" i="6"/>
  <c r="O137" i="6"/>
  <c r="M137" i="6"/>
  <c r="I137" i="6"/>
  <c r="T137" i="6"/>
  <c r="Y137" i="6" s="1"/>
  <c r="W137" i="6"/>
  <c r="C137" i="6"/>
  <c r="B137" i="6"/>
  <c r="J137" i="6"/>
  <c r="F137" i="6"/>
  <c r="G137" i="3"/>
  <c r="D137" i="6"/>
  <c r="E137" i="3"/>
  <c r="S137" i="3"/>
  <c r="R137" i="3"/>
  <c r="H137" i="6"/>
  <c r="P137" i="3"/>
  <c r="M137" i="3"/>
  <c r="L137" i="3"/>
  <c r="I137" i="3"/>
  <c r="K137" i="3"/>
  <c r="J137" i="3"/>
  <c r="T137" i="3"/>
  <c r="Q137" i="3"/>
  <c r="O137" i="3"/>
  <c r="E137" i="6"/>
  <c r="C137" i="3"/>
  <c r="N137" i="3"/>
  <c r="D137" i="3"/>
  <c r="B137" i="3"/>
  <c r="H137" i="3"/>
  <c r="F137" i="3"/>
  <c r="A137" i="3"/>
  <c r="W63" i="6"/>
  <c r="C63" i="6"/>
  <c r="E63" i="6"/>
  <c r="P63" i="6" s="1"/>
  <c r="Q63" i="6" s="1"/>
  <c r="D63" i="6"/>
  <c r="H63" i="6"/>
  <c r="F63" i="6"/>
  <c r="N63" i="6"/>
  <c r="M63" i="6"/>
  <c r="L63" i="6"/>
  <c r="T63" i="6"/>
  <c r="Y63" i="6" s="1"/>
  <c r="A63" i="3"/>
  <c r="S63" i="3"/>
  <c r="J63" i="6"/>
  <c r="Q63" i="3"/>
  <c r="I63" i="6"/>
  <c r="P63" i="3"/>
  <c r="B63" i="6"/>
  <c r="N63" i="3"/>
  <c r="O63" i="6"/>
  <c r="K63" i="6"/>
  <c r="L63" i="3"/>
  <c r="I63" i="3"/>
  <c r="G63" i="3"/>
  <c r="K63" i="3"/>
  <c r="F63" i="3"/>
  <c r="E63" i="3"/>
  <c r="J63" i="3"/>
  <c r="H63" i="3"/>
  <c r="D63" i="3"/>
  <c r="C63" i="3"/>
  <c r="T63" i="3"/>
  <c r="B63" i="3"/>
  <c r="R63" i="3"/>
  <c r="O63" i="3"/>
  <c r="M63" i="3"/>
  <c r="N135" i="6"/>
  <c r="L135" i="6"/>
  <c r="K135" i="6"/>
  <c r="J135" i="6"/>
  <c r="E135" i="6"/>
  <c r="W135" i="6"/>
  <c r="T135" i="6"/>
  <c r="Y135" i="6" s="1"/>
  <c r="I135" i="6"/>
  <c r="H135" i="6"/>
  <c r="F135" i="6"/>
  <c r="D135" i="6"/>
  <c r="M135" i="6"/>
  <c r="I135" i="3"/>
  <c r="B135" i="6"/>
  <c r="G135" i="3"/>
  <c r="Q135" i="3"/>
  <c r="O135" i="6"/>
  <c r="P135" i="3"/>
  <c r="C135" i="6"/>
  <c r="N135" i="3"/>
  <c r="C135" i="3"/>
  <c r="B135" i="3"/>
  <c r="A135" i="3"/>
  <c r="D135" i="3"/>
  <c r="T135" i="3"/>
  <c r="R135" i="3"/>
  <c r="O135" i="3"/>
  <c r="M135" i="3"/>
  <c r="L135" i="3"/>
  <c r="K135" i="3"/>
  <c r="H135" i="3"/>
  <c r="F135" i="3"/>
  <c r="J135" i="3"/>
  <c r="S135" i="3"/>
  <c r="E135" i="3"/>
  <c r="J84" i="6"/>
  <c r="T84" i="6"/>
  <c r="Y84" i="6" s="1"/>
  <c r="M84" i="6"/>
  <c r="L84" i="6"/>
  <c r="W84" i="6"/>
  <c r="D84" i="6"/>
  <c r="B84" i="6"/>
  <c r="I84" i="6"/>
  <c r="H84" i="6"/>
  <c r="O84" i="6"/>
  <c r="N84" i="6"/>
  <c r="K84" i="6"/>
  <c r="F84" i="6"/>
  <c r="E84" i="6"/>
  <c r="R84" i="6" s="1"/>
  <c r="C84" i="6"/>
  <c r="T84" i="3"/>
  <c r="R84" i="3"/>
  <c r="Q84" i="3"/>
  <c r="D84" i="3"/>
  <c r="C84" i="3"/>
  <c r="B84" i="3"/>
  <c r="A84" i="3"/>
  <c r="S84" i="3"/>
  <c r="O84" i="3"/>
  <c r="P84" i="3"/>
  <c r="N84" i="3"/>
  <c r="M84" i="3"/>
  <c r="L84" i="3"/>
  <c r="K84" i="3"/>
  <c r="F84" i="3"/>
  <c r="E84" i="3"/>
  <c r="J84" i="3"/>
  <c r="I84" i="3"/>
  <c r="H84" i="3"/>
  <c r="G84" i="3"/>
  <c r="E29" i="6"/>
  <c r="P29" i="6" s="1"/>
  <c r="Q29" i="6" s="1"/>
  <c r="J29" i="6"/>
  <c r="W29" i="6"/>
  <c r="K29" i="6"/>
  <c r="I29" i="6"/>
  <c r="H29" i="6"/>
  <c r="T29" i="6"/>
  <c r="Y29" i="6" s="1"/>
  <c r="X29" i="6"/>
  <c r="O29" i="3"/>
  <c r="M29" i="3"/>
  <c r="T29" i="3"/>
  <c r="R29" i="3"/>
  <c r="G29" i="3"/>
  <c r="F29" i="3"/>
  <c r="D29" i="3"/>
  <c r="E29" i="3"/>
  <c r="C29" i="3"/>
  <c r="O29" i="6"/>
  <c r="B29" i="6"/>
  <c r="F29" i="6"/>
  <c r="C29" i="6"/>
  <c r="Q29" i="3"/>
  <c r="D29" i="6"/>
  <c r="S29" i="3"/>
  <c r="P29" i="3"/>
  <c r="L29" i="3"/>
  <c r="K29" i="3"/>
  <c r="J29" i="3"/>
  <c r="H29" i="3"/>
  <c r="M29" i="6"/>
  <c r="I29" i="3"/>
  <c r="A29" i="3"/>
  <c r="B29" i="3"/>
  <c r="N29" i="6"/>
  <c r="L29" i="6"/>
  <c r="N29" i="3"/>
  <c r="E49" i="6"/>
  <c r="G49" i="6" s="1"/>
  <c r="D49" i="6"/>
  <c r="J49" i="6"/>
  <c r="M49" i="6"/>
  <c r="K49" i="6"/>
  <c r="T49" i="6"/>
  <c r="X49" i="6" s="1"/>
  <c r="C49" i="6"/>
  <c r="B49" i="6"/>
  <c r="H49" i="6"/>
  <c r="F49" i="6"/>
  <c r="W49" i="6"/>
  <c r="O49" i="6"/>
  <c r="I49" i="6"/>
  <c r="O49" i="3"/>
  <c r="L49" i="6"/>
  <c r="M49" i="3"/>
  <c r="A49" i="3"/>
  <c r="T49" i="3"/>
  <c r="F49" i="3"/>
  <c r="C49" i="3"/>
  <c r="B49" i="3"/>
  <c r="E49" i="3"/>
  <c r="D49" i="3"/>
  <c r="N49" i="6"/>
  <c r="S49" i="3"/>
  <c r="P49" i="3"/>
  <c r="R49" i="3"/>
  <c r="Q49" i="3"/>
  <c r="N49" i="3"/>
  <c r="K49" i="3"/>
  <c r="J49" i="3"/>
  <c r="I49" i="3"/>
  <c r="G49" i="3"/>
  <c r="H49" i="3"/>
  <c r="L49" i="3"/>
  <c r="M73" i="6"/>
  <c r="G73" i="6"/>
  <c r="Y73" i="6"/>
  <c r="C73" i="6"/>
  <c r="N73" i="6"/>
  <c r="B73" i="6"/>
  <c r="X73" i="6"/>
  <c r="L73" i="6"/>
  <c r="K73" i="6"/>
  <c r="J73" i="6"/>
  <c r="O73" i="6"/>
  <c r="I73" i="6"/>
  <c r="H73" i="6"/>
  <c r="F73" i="6"/>
  <c r="E73" i="6"/>
  <c r="S73" i="6" s="1"/>
  <c r="D73" i="6"/>
  <c r="T73" i="6"/>
  <c r="R73" i="6"/>
  <c r="W73" i="6"/>
  <c r="P73" i="6"/>
  <c r="AD73" i="6" s="1"/>
  <c r="AE73" i="6" s="1"/>
  <c r="AF73" i="6" s="1"/>
  <c r="K73" i="3"/>
  <c r="I73" i="3"/>
  <c r="G73" i="3"/>
  <c r="F73" i="3"/>
  <c r="D73" i="3"/>
  <c r="T73" i="3"/>
  <c r="S73" i="3"/>
  <c r="N73" i="3"/>
  <c r="J73" i="3"/>
  <c r="E73" i="3"/>
  <c r="M73" i="3"/>
  <c r="H73" i="3"/>
  <c r="C73" i="3"/>
  <c r="B73" i="3"/>
  <c r="A73" i="3"/>
  <c r="L73" i="3"/>
  <c r="R73" i="3"/>
  <c r="Q73" i="3"/>
  <c r="O73" i="3"/>
  <c r="P73" i="3"/>
  <c r="Y9" i="3"/>
  <c r="C37" i="6"/>
  <c r="I37" i="6"/>
  <c r="M37" i="6"/>
  <c r="L37" i="6"/>
  <c r="K37" i="6"/>
  <c r="J37" i="6"/>
  <c r="H37" i="6"/>
  <c r="O37" i="6"/>
  <c r="N37" i="6"/>
  <c r="F37" i="6"/>
  <c r="E37" i="6"/>
  <c r="S37" i="6" s="1"/>
  <c r="T37" i="6"/>
  <c r="Y37" i="6" s="1"/>
  <c r="W37" i="6"/>
  <c r="B37" i="6"/>
  <c r="G37" i="3"/>
  <c r="E37" i="3"/>
  <c r="I37" i="3"/>
  <c r="H37" i="3"/>
  <c r="D37" i="3"/>
  <c r="R37" i="3"/>
  <c r="Q37" i="3"/>
  <c r="T37" i="3"/>
  <c r="S37" i="3"/>
  <c r="B37" i="3"/>
  <c r="A37" i="3"/>
  <c r="D37" i="6"/>
  <c r="O37" i="3"/>
  <c r="C37" i="3"/>
  <c r="N37" i="3"/>
  <c r="K37" i="3"/>
  <c r="M37" i="3"/>
  <c r="J37" i="3"/>
  <c r="L37" i="3"/>
  <c r="F37" i="3"/>
  <c r="P37" i="3"/>
  <c r="M13" i="6"/>
  <c r="L13" i="6"/>
  <c r="T13" i="6"/>
  <c r="F13" i="6"/>
  <c r="E13" i="6"/>
  <c r="R13" i="6" s="1"/>
  <c r="H13" i="6"/>
  <c r="D13" i="6"/>
  <c r="B13" i="3" s="1"/>
  <c r="C13" i="6"/>
  <c r="K13" i="6"/>
  <c r="I13" i="6"/>
  <c r="B13" i="6"/>
  <c r="N13" i="6"/>
  <c r="C13" i="3"/>
  <c r="I21" i="6"/>
  <c r="L21" i="6"/>
  <c r="K21" i="6"/>
  <c r="J21" i="6"/>
  <c r="H21" i="6"/>
  <c r="E21" i="6"/>
  <c r="D21" i="6"/>
  <c r="C21" i="6"/>
  <c r="P21" i="6"/>
  <c r="Q21" i="6" s="1"/>
  <c r="O21" i="6"/>
  <c r="N21" i="6"/>
  <c r="T21" i="6"/>
  <c r="X21" i="6" s="1"/>
  <c r="B21" i="6"/>
  <c r="W21" i="6"/>
  <c r="M21" i="6"/>
  <c r="C21" i="3"/>
  <c r="A21" i="3"/>
  <c r="K21" i="3"/>
  <c r="J21" i="3"/>
  <c r="H21" i="3"/>
  <c r="R21" i="3"/>
  <c r="Q21" i="3"/>
  <c r="O21" i="3"/>
  <c r="P21" i="3"/>
  <c r="N21" i="3"/>
  <c r="T21" i="3"/>
  <c r="M21" i="3"/>
  <c r="L21" i="3"/>
  <c r="S21" i="3"/>
  <c r="F21" i="6"/>
  <c r="I21" i="3"/>
  <c r="G21" i="3"/>
  <c r="E21" i="3"/>
  <c r="B21" i="3"/>
  <c r="F21" i="3"/>
  <c r="D21" i="3"/>
  <c r="T157" i="6"/>
  <c r="X157" i="6" s="1"/>
  <c r="H157" i="6"/>
  <c r="K157" i="6"/>
  <c r="J157" i="6"/>
  <c r="C157" i="6"/>
  <c r="B157" i="6"/>
  <c r="W157" i="6"/>
  <c r="O157" i="6"/>
  <c r="F157" i="6"/>
  <c r="E157" i="6"/>
  <c r="D157" i="6"/>
  <c r="I157" i="6"/>
  <c r="G157" i="6"/>
  <c r="N157" i="6"/>
  <c r="G157" i="3"/>
  <c r="L157" i="6"/>
  <c r="E157" i="3"/>
  <c r="T157" i="3"/>
  <c r="R157" i="3"/>
  <c r="L157" i="3"/>
  <c r="K157" i="3"/>
  <c r="I157" i="3"/>
  <c r="H157" i="3"/>
  <c r="J157" i="3"/>
  <c r="M157" i="6"/>
  <c r="Q157" i="3"/>
  <c r="S157" i="3"/>
  <c r="P157" i="3"/>
  <c r="O157" i="3"/>
  <c r="N157" i="3"/>
  <c r="D157" i="3"/>
  <c r="M157" i="3"/>
  <c r="F157" i="3"/>
  <c r="C157" i="3"/>
  <c r="B157" i="3"/>
  <c r="A157" i="3"/>
  <c r="K170" i="6"/>
  <c r="D170" i="6"/>
  <c r="C170" i="6"/>
  <c r="E170" i="6"/>
  <c r="S170" i="6" s="1"/>
  <c r="B170" i="6"/>
  <c r="W170" i="6"/>
  <c r="H170" i="6"/>
  <c r="F170" i="6"/>
  <c r="O170" i="6"/>
  <c r="N170" i="6"/>
  <c r="M170" i="6"/>
  <c r="L170" i="6"/>
  <c r="J170" i="6"/>
  <c r="N170" i="3"/>
  <c r="L170" i="3"/>
  <c r="P170" i="3"/>
  <c r="O170" i="3"/>
  <c r="K170" i="3"/>
  <c r="A170" i="3"/>
  <c r="T170" i="6"/>
  <c r="Y170" i="6" s="1"/>
  <c r="I170" i="6"/>
  <c r="B170" i="3"/>
  <c r="T170" i="3"/>
  <c r="S170" i="3"/>
  <c r="R170" i="3"/>
  <c r="G170" i="3"/>
  <c r="F170" i="3"/>
  <c r="H170" i="3"/>
  <c r="Q170" i="3"/>
  <c r="J170" i="3"/>
  <c r="M170" i="3"/>
  <c r="I170" i="3"/>
  <c r="E170" i="3"/>
  <c r="D170" i="3"/>
  <c r="C170" i="3"/>
  <c r="Y138" i="6"/>
  <c r="C138" i="6"/>
  <c r="F138" i="6"/>
  <c r="K138" i="6"/>
  <c r="I138" i="6"/>
  <c r="L138" i="6"/>
  <c r="H138" i="6"/>
  <c r="O138" i="6"/>
  <c r="N138" i="6"/>
  <c r="M138" i="6"/>
  <c r="J138" i="6"/>
  <c r="W138" i="6"/>
  <c r="T138" i="6"/>
  <c r="X138" i="6" s="1"/>
  <c r="F138" i="3"/>
  <c r="D138" i="3"/>
  <c r="T138" i="3"/>
  <c r="S138" i="3"/>
  <c r="Q138" i="3"/>
  <c r="R138" i="3"/>
  <c r="N138" i="3"/>
  <c r="M138" i="3"/>
  <c r="P138" i="3"/>
  <c r="E138" i="6"/>
  <c r="P138" i="6" s="1"/>
  <c r="Q138" i="6" s="1"/>
  <c r="O138" i="3"/>
  <c r="D138" i="6"/>
  <c r="B138" i="6"/>
  <c r="H138" i="3"/>
  <c r="G138" i="3"/>
  <c r="C138" i="3"/>
  <c r="E138" i="3"/>
  <c r="B138" i="3"/>
  <c r="A138" i="3"/>
  <c r="J138" i="3"/>
  <c r="L138" i="3"/>
  <c r="K138" i="3"/>
  <c r="I138" i="3"/>
  <c r="W121" i="6"/>
  <c r="I121" i="6"/>
  <c r="T121" i="6"/>
  <c r="X121" i="6" s="1"/>
  <c r="Y121" i="6"/>
  <c r="O121" i="6"/>
  <c r="N121" i="6"/>
  <c r="M121" i="6"/>
  <c r="L121" i="6"/>
  <c r="K121" i="6"/>
  <c r="C121" i="6"/>
  <c r="B121" i="6"/>
  <c r="C121" i="3"/>
  <c r="A121" i="3"/>
  <c r="T121" i="3"/>
  <c r="J121" i="6"/>
  <c r="R121" i="3"/>
  <c r="H121" i="6"/>
  <c r="J121" i="3"/>
  <c r="F121" i="3"/>
  <c r="I121" i="3"/>
  <c r="H121" i="3"/>
  <c r="G121" i="3"/>
  <c r="E121" i="6"/>
  <c r="P121" i="6" s="1"/>
  <c r="P121" i="3"/>
  <c r="L121" i="3"/>
  <c r="D121" i="6"/>
  <c r="O121" i="3"/>
  <c r="M121" i="3"/>
  <c r="D121" i="3"/>
  <c r="B121" i="3"/>
  <c r="N121" i="3"/>
  <c r="K121" i="3"/>
  <c r="E121" i="3"/>
  <c r="F121" i="6"/>
  <c r="S121" i="3"/>
  <c r="Q121" i="3"/>
  <c r="W48" i="6"/>
  <c r="T48" i="6"/>
  <c r="Y48" i="6" s="1"/>
  <c r="B48" i="6"/>
  <c r="H48" i="6"/>
  <c r="F48" i="6"/>
  <c r="E48" i="6"/>
  <c r="S48" i="6" s="1"/>
  <c r="D48" i="6"/>
  <c r="C48" i="6"/>
  <c r="P48" i="3"/>
  <c r="N48" i="3"/>
  <c r="S48" i="3"/>
  <c r="B48" i="3"/>
  <c r="L48" i="6"/>
  <c r="A48" i="3"/>
  <c r="N48" i="6"/>
  <c r="O48" i="6"/>
  <c r="M48" i="6"/>
  <c r="K48" i="6"/>
  <c r="M48" i="3"/>
  <c r="J48" i="3"/>
  <c r="L48" i="3"/>
  <c r="I48" i="6"/>
  <c r="G48" i="3"/>
  <c r="F48" i="3"/>
  <c r="K48" i="3"/>
  <c r="I48" i="3"/>
  <c r="J48" i="6"/>
  <c r="H48" i="3"/>
  <c r="E48" i="3"/>
  <c r="D48" i="3"/>
  <c r="T48" i="3"/>
  <c r="R48" i="3"/>
  <c r="Q48" i="3"/>
  <c r="O48" i="3"/>
  <c r="C48" i="3"/>
  <c r="G15" i="6"/>
  <c r="W15" i="6" s="1"/>
  <c r="M15" i="6"/>
  <c r="B15" i="6"/>
  <c r="T15" i="6"/>
  <c r="C15" i="6"/>
  <c r="N15" i="6"/>
  <c r="L15" i="6"/>
  <c r="K15" i="6"/>
  <c r="I15" i="6"/>
  <c r="D15" i="6"/>
  <c r="B15" i="3" s="1"/>
  <c r="H15" i="6"/>
  <c r="F15" i="6"/>
  <c r="E15" i="6"/>
  <c r="R15" i="6" s="1"/>
  <c r="C15" i="3"/>
  <c r="K125" i="6"/>
  <c r="B125" i="6"/>
  <c r="F125" i="6"/>
  <c r="D125" i="6"/>
  <c r="C125" i="6"/>
  <c r="W125" i="6"/>
  <c r="H125" i="6"/>
  <c r="E125" i="6"/>
  <c r="J125" i="6"/>
  <c r="I125" i="6"/>
  <c r="T125" i="6"/>
  <c r="X125" i="6" s="1"/>
  <c r="L125" i="6"/>
  <c r="S125" i="3"/>
  <c r="Q125" i="3"/>
  <c r="E125" i="3"/>
  <c r="D125" i="3"/>
  <c r="B125" i="3"/>
  <c r="O125" i="6"/>
  <c r="F125" i="3"/>
  <c r="C125" i="3"/>
  <c r="A125" i="3"/>
  <c r="N125" i="6"/>
  <c r="M125" i="6"/>
  <c r="G125" i="3"/>
  <c r="T125" i="3"/>
  <c r="P125" i="3"/>
  <c r="O125" i="3"/>
  <c r="I125" i="3"/>
  <c r="N125" i="3"/>
  <c r="L125" i="3"/>
  <c r="M125" i="3"/>
  <c r="J125" i="3"/>
  <c r="K125" i="3"/>
  <c r="R125" i="3"/>
  <c r="H125" i="3"/>
  <c r="O109" i="6"/>
  <c r="N109" i="6"/>
  <c r="T109" i="6"/>
  <c r="Y109" i="6" s="1"/>
  <c r="F109" i="6"/>
  <c r="K109" i="6"/>
  <c r="I109" i="6"/>
  <c r="L109" i="6"/>
  <c r="J109" i="6"/>
  <c r="H109" i="6"/>
  <c r="E109" i="6"/>
  <c r="P109" i="6" s="1"/>
  <c r="O109" i="3"/>
  <c r="M109" i="3"/>
  <c r="B109" i="6"/>
  <c r="G109" i="3"/>
  <c r="F109" i="3"/>
  <c r="D109" i="3"/>
  <c r="W109" i="6"/>
  <c r="N109" i="3"/>
  <c r="L109" i="3"/>
  <c r="T109" i="3"/>
  <c r="K109" i="3"/>
  <c r="S109" i="3"/>
  <c r="R109" i="3"/>
  <c r="Q109" i="3"/>
  <c r="P109" i="3"/>
  <c r="J109" i="3"/>
  <c r="H109" i="3"/>
  <c r="A109" i="3"/>
  <c r="M109" i="6"/>
  <c r="E109" i="3"/>
  <c r="D109" i="6"/>
  <c r="C109" i="3"/>
  <c r="C109" i="6"/>
  <c r="B109" i="3"/>
  <c r="I109" i="3"/>
  <c r="E115" i="6"/>
  <c r="G115" i="6" s="1"/>
  <c r="S115" i="6"/>
  <c r="O115" i="6"/>
  <c r="N115" i="6"/>
  <c r="W115" i="6"/>
  <c r="T115" i="6"/>
  <c r="Y115" i="6" s="1"/>
  <c r="M115" i="6"/>
  <c r="L115" i="6"/>
  <c r="F115" i="6"/>
  <c r="D115" i="6"/>
  <c r="C115" i="6"/>
  <c r="X115" i="6"/>
  <c r="K115" i="6"/>
  <c r="J115" i="6"/>
  <c r="I115" i="6"/>
  <c r="I115" i="3"/>
  <c r="G115" i="3"/>
  <c r="H115" i="6"/>
  <c r="O115" i="3"/>
  <c r="B115" i="6"/>
  <c r="N115" i="3"/>
  <c r="L115" i="3"/>
  <c r="D115" i="3"/>
  <c r="C115" i="3"/>
  <c r="A115" i="3"/>
  <c r="B115" i="3"/>
  <c r="E115" i="3"/>
  <c r="S115" i="3"/>
  <c r="M115" i="3"/>
  <c r="R115" i="3"/>
  <c r="H115" i="3"/>
  <c r="Q115" i="3"/>
  <c r="P115" i="3"/>
  <c r="K115" i="3"/>
  <c r="J115" i="3"/>
  <c r="T115" i="3"/>
  <c r="F115" i="3"/>
  <c r="W23" i="6"/>
  <c r="C23" i="6"/>
  <c r="D23" i="6"/>
  <c r="J23" i="6"/>
  <c r="M23" i="6"/>
  <c r="L23" i="6"/>
  <c r="K23" i="6"/>
  <c r="T23" i="6"/>
  <c r="Y23" i="6" s="1"/>
  <c r="B23" i="6"/>
  <c r="E23" i="6"/>
  <c r="F23" i="6"/>
  <c r="A23" i="3"/>
  <c r="S23" i="3"/>
  <c r="M23" i="3"/>
  <c r="L23" i="3"/>
  <c r="J23" i="3"/>
  <c r="O23" i="6"/>
  <c r="C23" i="3"/>
  <c r="N23" i="6"/>
  <c r="B23" i="3"/>
  <c r="H23" i="6"/>
  <c r="I23" i="6"/>
  <c r="Q23" i="3"/>
  <c r="N23" i="3"/>
  <c r="I23" i="3"/>
  <c r="P23" i="3"/>
  <c r="G23" i="3"/>
  <c r="F23" i="3"/>
  <c r="O23" i="3"/>
  <c r="K23" i="3"/>
  <c r="H23" i="3"/>
  <c r="E23" i="3"/>
  <c r="D23" i="3"/>
  <c r="T23" i="3"/>
  <c r="R23" i="3"/>
  <c r="H18" i="6"/>
  <c r="W18" i="6"/>
  <c r="B18" i="6"/>
  <c r="O18" i="6"/>
  <c r="C18" i="6"/>
  <c r="M18" i="6"/>
  <c r="L18" i="6"/>
  <c r="K18" i="6"/>
  <c r="J18" i="6"/>
  <c r="T18" i="6"/>
  <c r="Y18" i="6" s="1"/>
  <c r="N18" i="6"/>
  <c r="I18" i="6"/>
  <c r="F18" i="3"/>
  <c r="I18" i="3"/>
  <c r="H18" i="3"/>
  <c r="F18" i="6"/>
  <c r="E18" i="3"/>
  <c r="E18" i="6"/>
  <c r="S18" i="6" s="1"/>
  <c r="C18" i="3"/>
  <c r="B18" i="3"/>
  <c r="A18" i="3"/>
  <c r="D18" i="6"/>
  <c r="R18" i="3"/>
  <c r="O18" i="3"/>
  <c r="M18" i="3"/>
  <c r="Q18" i="3"/>
  <c r="L18" i="3"/>
  <c r="P18" i="3"/>
  <c r="N18" i="3"/>
  <c r="K18" i="3"/>
  <c r="J18" i="3"/>
  <c r="G18" i="3"/>
  <c r="T18" i="3"/>
  <c r="D18" i="3"/>
  <c r="S18" i="3"/>
  <c r="T74" i="6"/>
  <c r="X74" i="6" s="1"/>
  <c r="M74" i="6"/>
  <c r="C74" i="6"/>
  <c r="O74" i="6"/>
  <c r="E74" i="6"/>
  <c r="G74" i="6" s="1"/>
  <c r="D74" i="6"/>
  <c r="B74" i="6"/>
  <c r="I74" i="6"/>
  <c r="H74" i="6"/>
  <c r="L74" i="6"/>
  <c r="K74" i="6"/>
  <c r="J74" i="6"/>
  <c r="W74" i="6"/>
  <c r="J74" i="3"/>
  <c r="H74" i="3"/>
  <c r="I74" i="3"/>
  <c r="G74" i="3"/>
  <c r="N74" i="6"/>
  <c r="F74" i="6"/>
  <c r="E74" i="3"/>
  <c r="B74" i="3"/>
  <c r="A74" i="3"/>
  <c r="T74" i="3"/>
  <c r="R74" i="3"/>
  <c r="S74" i="3"/>
  <c r="Q74" i="3"/>
  <c r="P74" i="3"/>
  <c r="O74" i="3"/>
  <c r="N74" i="3"/>
  <c r="C74" i="3"/>
  <c r="L74" i="3"/>
  <c r="K74" i="3"/>
  <c r="F74" i="3"/>
  <c r="D74" i="3"/>
  <c r="M74" i="3"/>
  <c r="E119" i="6"/>
  <c r="P119" i="6" s="1"/>
  <c r="T119" i="6"/>
  <c r="X119" i="6" s="1"/>
  <c r="N119" i="6"/>
  <c r="B119" i="6"/>
  <c r="W119" i="6"/>
  <c r="O119" i="6"/>
  <c r="D119" i="6"/>
  <c r="C119" i="6"/>
  <c r="L119" i="6"/>
  <c r="K119" i="6"/>
  <c r="J119" i="6"/>
  <c r="I119" i="6"/>
  <c r="E119" i="3"/>
  <c r="C119" i="3"/>
  <c r="S119" i="3"/>
  <c r="R119" i="3"/>
  <c r="M119" i="6"/>
  <c r="P119" i="3"/>
  <c r="H119" i="6"/>
  <c r="F119" i="6"/>
  <c r="O119" i="3"/>
  <c r="L119" i="3"/>
  <c r="K119" i="3"/>
  <c r="T119" i="3"/>
  <c r="N119" i="3"/>
  <c r="M119" i="3"/>
  <c r="Q119" i="3"/>
  <c r="J119" i="3"/>
  <c r="I119" i="3"/>
  <c r="G119" i="3"/>
  <c r="F119" i="3"/>
  <c r="D119" i="3"/>
  <c r="B119" i="3"/>
  <c r="A119" i="3"/>
  <c r="H119" i="3"/>
  <c r="B175" i="6"/>
  <c r="L175" i="6"/>
  <c r="D175" i="6"/>
  <c r="O175" i="6"/>
  <c r="N175" i="6"/>
  <c r="M175" i="6"/>
  <c r="W175" i="6"/>
  <c r="T175" i="6"/>
  <c r="Y175" i="6" s="1"/>
  <c r="F175" i="6"/>
  <c r="E175" i="6"/>
  <c r="C175" i="6"/>
  <c r="I175" i="6"/>
  <c r="H175" i="6"/>
  <c r="G175" i="6"/>
  <c r="I175" i="3"/>
  <c r="G175" i="3"/>
  <c r="T175" i="3"/>
  <c r="R175" i="3"/>
  <c r="A175" i="3"/>
  <c r="K175" i="6"/>
  <c r="J175" i="6"/>
  <c r="B175" i="3"/>
  <c r="Q175" i="3"/>
  <c r="P175" i="3"/>
  <c r="S175" i="3"/>
  <c r="O175" i="3"/>
  <c r="M175" i="3"/>
  <c r="L175" i="3"/>
  <c r="E175" i="3"/>
  <c r="K175" i="3"/>
  <c r="H175" i="3"/>
  <c r="J175" i="3"/>
  <c r="F175" i="3"/>
  <c r="D175" i="3"/>
  <c r="N175" i="3"/>
  <c r="C175" i="3"/>
  <c r="F12" i="6"/>
  <c r="M12" i="6"/>
  <c r="B12" i="6"/>
  <c r="I12" i="6"/>
  <c r="H12" i="6"/>
  <c r="N12" i="6"/>
  <c r="E12" i="6"/>
  <c r="S12" i="6" s="1"/>
  <c r="D12" i="6"/>
  <c r="B12" i="3" s="1"/>
  <c r="C12" i="6"/>
  <c r="K12" i="6"/>
  <c r="L12" i="6"/>
  <c r="T12" i="6"/>
  <c r="C12" i="3"/>
  <c r="K47" i="6"/>
  <c r="J47" i="6"/>
  <c r="I47" i="6"/>
  <c r="F47" i="6"/>
  <c r="L47" i="6"/>
  <c r="H47" i="6"/>
  <c r="E47" i="6"/>
  <c r="G47" i="6" s="1"/>
  <c r="N47" i="6"/>
  <c r="M47" i="6"/>
  <c r="D47" i="6"/>
  <c r="T47" i="6"/>
  <c r="Y47" i="6" s="1"/>
  <c r="W47" i="6"/>
  <c r="Q47" i="3"/>
  <c r="O47" i="3"/>
  <c r="B47" i="6"/>
  <c r="T47" i="3"/>
  <c r="R47" i="3"/>
  <c r="P47" i="3"/>
  <c r="S47" i="3"/>
  <c r="N47" i="3"/>
  <c r="D47" i="3"/>
  <c r="C47" i="3"/>
  <c r="B47" i="3"/>
  <c r="A47" i="3"/>
  <c r="O47" i="6"/>
  <c r="C47" i="6"/>
  <c r="M47" i="3"/>
  <c r="H47" i="3"/>
  <c r="E47" i="3"/>
  <c r="L47" i="3"/>
  <c r="K47" i="3"/>
  <c r="G47" i="3"/>
  <c r="F47" i="3"/>
  <c r="J47" i="3"/>
  <c r="I47" i="3"/>
  <c r="M33" i="6"/>
  <c r="I33" i="6"/>
  <c r="J33" i="6"/>
  <c r="F33" i="6"/>
  <c r="E33" i="6"/>
  <c r="S33" i="6" s="1"/>
  <c r="D33" i="6"/>
  <c r="N33" i="6"/>
  <c r="L33" i="6"/>
  <c r="K33" i="6"/>
  <c r="O33" i="6"/>
  <c r="H33" i="6"/>
  <c r="T33" i="6"/>
  <c r="Y33" i="6" s="1"/>
  <c r="K33" i="3"/>
  <c r="I33" i="3"/>
  <c r="C33" i="3"/>
  <c r="B33" i="3"/>
  <c r="C33" i="6"/>
  <c r="A33" i="3"/>
  <c r="W33" i="6"/>
  <c r="B33" i="6"/>
  <c r="P33" i="3"/>
  <c r="M33" i="3"/>
  <c r="J33" i="3"/>
  <c r="O33" i="3"/>
  <c r="G33" i="3"/>
  <c r="F33" i="3"/>
  <c r="N33" i="3"/>
  <c r="L33" i="3"/>
  <c r="H33" i="3"/>
  <c r="E33" i="3"/>
  <c r="Q33" i="3"/>
  <c r="D33" i="3"/>
  <c r="T33" i="3"/>
  <c r="S33" i="3"/>
  <c r="R33" i="3"/>
  <c r="F72" i="6"/>
  <c r="T72" i="6"/>
  <c r="Y72" i="6" s="1"/>
  <c r="O72" i="6"/>
  <c r="X72" i="6"/>
  <c r="L72" i="6"/>
  <c r="J72" i="6"/>
  <c r="M72" i="6"/>
  <c r="K72" i="6"/>
  <c r="I72" i="6"/>
  <c r="D72" i="6"/>
  <c r="C72" i="6"/>
  <c r="B72" i="6"/>
  <c r="E72" i="6"/>
  <c r="R72" i="6" s="1"/>
  <c r="P72" i="6"/>
  <c r="U72" i="6" s="1"/>
  <c r="N72" i="6"/>
  <c r="L72" i="3"/>
  <c r="W72" i="6"/>
  <c r="J72" i="3"/>
  <c r="H72" i="6"/>
  <c r="F72" i="3"/>
  <c r="E72" i="3"/>
  <c r="C72" i="3"/>
  <c r="S72" i="3"/>
  <c r="R72" i="3"/>
  <c r="P72" i="3"/>
  <c r="O72" i="3"/>
  <c r="Q72" i="3"/>
  <c r="N72" i="3"/>
  <c r="M72" i="3"/>
  <c r="H72" i="3"/>
  <c r="K72" i="3"/>
  <c r="I72" i="3"/>
  <c r="D72" i="3"/>
  <c r="G72" i="3"/>
  <c r="A72" i="3"/>
  <c r="B72" i="3"/>
  <c r="T72" i="3"/>
  <c r="N151" i="6"/>
  <c r="I151" i="6"/>
  <c r="J151" i="6"/>
  <c r="L151" i="6"/>
  <c r="K151" i="6"/>
  <c r="H151" i="6"/>
  <c r="O151" i="6"/>
  <c r="W151" i="6"/>
  <c r="E151" i="6"/>
  <c r="R151" i="6" s="1"/>
  <c r="D151" i="6"/>
  <c r="C151" i="6"/>
  <c r="B151" i="6"/>
  <c r="T151" i="6"/>
  <c r="Y151" i="6" s="1"/>
  <c r="M151" i="3"/>
  <c r="K151" i="3"/>
  <c r="O151" i="3"/>
  <c r="N151" i="3"/>
  <c r="J151" i="3"/>
  <c r="F151" i="6"/>
  <c r="F151" i="3"/>
  <c r="E151" i="3"/>
  <c r="C151" i="3"/>
  <c r="D151" i="3"/>
  <c r="M151" i="6"/>
  <c r="B151" i="3"/>
  <c r="Q151" i="3"/>
  <c r="I151" i="3"/>
  <c r="H151" i="3"/>
  <c r="A151" i="3"/>
  <c r="P151" i="3"/>
  <c r="L151" i="3"/>
  <c r="G151" i="3"/>
  <c r="S151" i="3"/>
  <c r="T151" i="3"/>
  <c r="R151" i="3"/>
  <c r="O39" i="6"/>
  <c r="T39" i="6"/>
  <c r="X39" i="6" s="1"/>
  <c r="H39" i="6"/>
  <c r="N39" i="6"/>
  <c r="M39" i="6"/>
  <c r="Y39" i="6"/>
  <c r="W39" i="6"/>
  <c r="F39" i="6"/>
  <c r="E39" i="6"/>
  <c r="G39" i="6" s="1"/>
  <c r="D39" i="6"/>
  <c r="C39" i="6"/>
  <c r="B39" i="6"/>
  <c r="I39" i="6"/>
  <c r="E39" i="3"/>
  <c r="C39" i="3"/>
  <c r="K39" i="3"/>
  <c r="J39" i="3"/>
  <c r="H39" i="3"/>
  <c r="F39" i="3"/>
  <c r="L39" i="6"/>
  <c r="D39" i="3"/>
  <c r="J39" i="6"/>
  <c r="K39" i="6"/>
  <c r="B39" i="3"/>
  <c r="A39" i="3"/>
  <c r="T39" i="3"/>
  <c r="Q39" i="3"/>
  <c r="S39" i="3"/>
  <c r="R39" i="3"/>
  <c r="P39" i="3"/>
  <c r="N39" i="3"/>
  <c r="M39" i="3"/>
  <c r="L39" i="3"/>
  <c r="G39" i="3"/>
  <c r="I39" i="3"/>
  <c r="O39" i="3"/>
  <c r="E139" i="6"/>
  <c r="R139" i="6" s="1"/>
  <c r="I139" i="6"/>
  <c r="N139" i="6"/>
  <c r="T139" i="6"/>
  <c r="Y139" i="6" s="1"/>
  <c r="S139" i="6"/>
  <c r="B139" i="6"/>
  <c r="F139" i="6"/>
  <c r="C139" i="6"/>
  <c r="P139" i="6"/>
  <c r="AD139" i="6" s="1"/>
  <c r="AE139" i="6" s="1"/>
  <c r="AF139" i="6" s="1"/>
  <c r="O139" i="6"/>
  <c r="M139" i="6"/>
  <c r="X139" i="6"/>
  <c r="W139" i="6"/>
  <c r="L139" i="6"/>
  <c r="K139" i="6"/>
  <c r="J139" i="6"/>
  <c r="H139" i="6"/>
  <c r="E139" i="3"/>
  <c r="C139" i="3"/>
  <c r="D139" i="6"/>
  <c r="T139" i="3"/>
  <c r="R139" i="3"/>
  <c r="S139" i="3"/>
  <c r="Q139" i="3"/>
  <c r="N139" i="3"/>
  <c r="M139" i="3"/>
  <c r="P139" i="3"/>
  <c r="L139" i="3"/>
  <c r="K139" i="3"/>
  <c r="J139" i="3"/>
  <c r="I139" i="3"/>
  <c r="O139" i="3"/>
  <c r="H139" i="3"/>
  <c r="F139" i="3"/>
  <c r="D139" i="3"/>
  <c r="B139" i="3"/>
  <c r="A139" i="3"/>
  <c r="G139" i="3"/>
  <c r="H85" i="6"/>
  <c r="B85" i="6"/>
  <c r="W85" i="6"/>
  <c r="N85" i="6"/>
  <c r="T85" i="6"/>
  <c r="Y85" i="6" s="1"/>
  <c r="O85" i="6"/>
  <c r="M85" i="6"/>
  <c r="L85" i="6"/>
  <c r="F85" i="6"/>
  <c r="E85" i="6"/>
  <c r="S85" i="6" s="1"/>
  <c r="K85" i="6"/>
  <c r="J85" i="6"/>
  <c r="S85" i="3"/>
  <c r="Q85" i="3"/>
  <c r="A85" i="3"/>
  <c r="T85" i="3"/>
  <c r="I85" i="6"/>
  <c r="C85" i="6"/>
  <c r="H85" i="3"/>
  <c r="G85" i="3"/>
  <c r="E85" i="3"/>
  <c r="D85" i="3"/>
  <c r="F85" i="3"/>
  <c r="D85" i="6"/>
  <c r="I85" i="3"/>
  <c r="C85" i="3"/>
  <c r="B85" i="3"/>
  <c r="R85" i="3"/>
  <c r="P85" i="3"/>
  <c r="N85" i="3"/>
  <c r="O85" i="3"/>
  <c r="L85" i="3"/>
  <c r="M85" i="3"/>
  <c r="K85" i="3"/>
  <c r="J85" i="3"/>
  <c r="J94" i="6"/>
  <c r="M94" i="6"/>
  <c r="T94" i="6"/>
  <c r="Y94" i="6" s="1"/>
  <c r="N94" i="6"/>
  <c r="F94" i="6"/>
  <c r="D94" i="6"/>
  <c r="B94" i="6"/>
  <c r="C94" i="6"/>
  <c r="K94" i="6"/>
  <c r="I94" i="6"/>
  <c r="H94" i="6"/>
  <c r="E94" i="6"/>
  <c r="P94" i="6" s="1"/>
  <c r="W94" i="6"/>
  <c r="J94" i="3"/>
  <c r="H94" i="3"/>
  <c r="L94" i="3"/>
  <c r="K94" i="3"/>
  <c r="R94" i="6"/>
  <c r="G94" i="3"/>
  <c r="O94" i="6"/>
  <c r="L94" i="6"/>
  <c r="A94" i="3"/>
  <c r="O94" i="3"/>
  <c r="S94" i="3"/>
  <c r="T94" i="3"/>
  <c r="R94" i="3"/>
  <c r="Q94" i="3"/>
  <c r="P94" i="3"/>
  <c r="N94" i="3"/>
  <c r="M94" i="3"/>
  <c r="F94" i="3"/>
  <c r="E94" i="3"/>
  <c r="D94" i="3"/>
  <c r="B94" i="3"/>
  <c r="C94" i="3"/>
  <c r="I94" i="3"/>
  <c r="B195" i="6"/>
  <c r="W195" i="6"/>
  <c r="T195" i="6"/>
  <c r="Y195" i="6" s="1"/>
  <c r="F195" i="6"/>
  <c r="E195" i="6"/>
  <c r="G195" i="6" s="1"/>
  <c r="O195" i="6"/>
  <c r="N195" i="6"/>
  <c r="M195" i="6"/>
  <c r="L195" i="6"/>
  <c r="K195" i="6"/>
  <c r="D195" i="6"/>
  <c r="C195" i="6"/>
  <c r="H195" i="6"/>
  <c r="J195" i="6"/>
  <c r="I195" i="6"/>
  <c r="I195" i="3"/>
  <c r="H195" i="3"/>
  <c r="D195" i="3"/>
  <c r="B195" i="3"/>
  <c r="P195" i="3"/>
  <c r="O195" i="3"/>
  <c r="M195" i="3"/>
  <c r="G195" i="3"/>
  <c r="F195" i="3"/>
  <c r="C195" i="3"/>
  <c r="E195" i="3"/>
  <c r="A195" i="3"/>
  <c r="T195" i="3"/>
  <c r="R195" i="3"/>
  <c r="S195" i="3"/>
  <c r="J195" i="3"/>
  <c r="Q195" i="3"/>
  <c r="N195" i="3"/>
  <c r="L195" i="3"/>
  <c r="K195" i="3"/>
  <c r="D136" i="6"/>
  <c r="W136" i="6"/>
  <c r="B136" i="6"/>
  <c r="C136" i="6"/>
  <c r="T136" i="6"/>
  <c r="X136" i="6" s="1"/>
  <c r="O136" i="6"/>
  <c r="N136" i="6"/>
  <c r="M136" i="6"/>
  <c r="H136" i="6"/>
  <c r="F136" i="6"/>
  <c r="E136" i="6"/>
  <c r="S136" i="6" s="1"/>
  <c r="H136" i="3"/>
  <c r="F136" i="3"/>
  <c r="R136" i="3"/>
  <c r="Q136" i="3"/>
  <c r="O136" i="3"/>
  <c r="K136" i="6"/>
  <c r="I136" i="6"/>
  <c r="I136" i="3"/>
  <c r="D136" i="3"/>
  <c r="G136" i="3"/>
  <c r="E136" i="3"/>
  <c r="C136" i="3"/>
  <c r="P136" i="3"/>
  <c r="J136" i="3"/>
  <c r="B136" i="3"/>
  <c r="N136" i="3"/>
  <c r="K136" i="3"/>
  <c r="A136" i="3"/>
  <c r="M136" i="3"/>
  <c r="L136" i="3"/>
  <c r="L136" i="6"/>
  <c r="T136" i="3"/>
  <c r="S136" i="3"/>
  <c r="J136" i="6"/>
  <c r="L120" i="6"/>
  <c r="H120" i="6"/>
  <c r="K120" i="6"/>
  <c r="J120" i="6"/>
  <c r="F120" i="6"/>
  <c r="W120" i="6"/>
  <c r="T120" i="6"/>
  <c r="Y120" i="6" s="1"/>
  <c r="I120" i="6"/>
  <c r="E120" i="6"/>
  <c r="R120" i="6" s="1"/>
  <c r="D120" i="6"/>
  <c r="C120" i="6"/>
  <c r="D120" i="3"/>
  <c r="B120" i="3"/>
  <c r="T120" i="3"/>
  <c r="S120" i="3"/>
  <c r="Q120" i="3"/>
  <c r="F120" i="3"/>
  <c r="A120" i="3"/>
  <c r="E120" i="3"/>
  <c r="C120" i="3"/>
  <c r="G120" i="3"/>
  <c r="O120" i="6"/>
  <c r="N120" i="6"/>
  <c r="M120" i="6"/>
  <c r="B120" i="6"/>
  <c r="K120" i="3"/>
  <c r="P120" i="3"/>
  <c r="N120" i="3"/>
  <c r="M120" i="3"/>
  <c r="R120" i="3"/>
  <c r="O120" i="3"/>
  <c r="L120" i="3"/>
  <c r="J120" i="3"/>
  <c r="I120" i="3"/>
  <c r="H120" i="3"/>
  <c r="H128" i="6"/>
  <c r="D128" i="6"/>
  <c r="O128" i="6"/>
  <c r="M128" i="6"/>
  <c r="K128" i="6"/>
  <c r="I128" i="6"/>
  <c r="T128" i="6"/>
  <c r="Y128" i="6"/>
  <c r="X128" i="6"/>
  <c r="W128" i="6"/>
  <c r="L128" i="6"/>
  <c r="J128" i="6"/>
  <c r="F128" i="6"/>
  <c r="P128" i="3"/>
  <c r="N128" i="3"/>
  <c r="N128" i="6"/>
  <c r="E128" i="6"/>
  <c r="R128" i="6" s="1"/>
  <c r="H128" i="3"/>
  <c r="C128" i="6"/>
  <c r="G128" i="3"/>
  <c r="B128" i="6"/>
  <c r="E128" i="3"/>
  <c r="T128" i="3"/>
  <c r="S128" i="3"/>
  <c r="R128" i="3"/>
  <c r="Q128" i="3"/>
  <c r="O128" i="3"/>
  <c r="I128" i="3"/>
  <c r="F128" i="3"/>
  <c r="D128" i="3"/>
  <c r="C128" i="3"/>
  <c r="B128" i="3"/>
  <c r="A128" i="3"/>
  <c r="M128" i="3"/>
  <c r="L128" i="3"/>
  <c r="K128" i="3"/>
  <c r="J128" i="3"/>
  <c r="I81" i="6"/>
  <c r="O81" i="6"/>
  <c r="W81" i="6"/>
  <c r="B81" i="6"/>
  <c r="C81" i="6"/>
  <c r="K81" i="6"/>
  <c r="J81" i="6"/>
  <c r="H81" i="6"/>
  <c r="T81" i="6"/>
  <c r="Y81" i="6" s="1"/>
  <c r="N81" i="6"/>
  <c r="L81" i="6"/>
  <c r="F81" i="6"/>
  <c r="E81" i="6"/>
  <c r="M81" i="6"/>
  <c r="D81" i="6"/>
  <c r="C81" i="3"/>
  <c r="A81" i="3"/>
  <c r="Q81" i="3"/>
  <c r="P81" i="3"/>
  <c r="N81" i="3"/>
  <c r="L81" i="3"/>
  <c r="I81" i="3"/>
  <c r="K81" i="3"/>
  <c r="J81" i="3"/>
  <c r="H81" i="3"/>
  <c r="R81" i="3"/>
  <c r="O81" i="3"/>
  <c r="G81" i="3"/>
  <c r="F81" i="3"/>
  <c r="T81" i="3"/>
  <c r="M81" i="3"/>
  <c r="S81" i="3"/>
  <c r="E81" i="3"/>
  <c r="D81" i="3"/>
  <c r="B81" i="3"/>
  <c r="K71" i="6"/>
  <c r="D71" i="6"/>
  <c r="L71" i="6"/>
  <c r="T71" i="6"/>
  <c r="Y71" i="6" s="1"/>
  <c r="O71" i="6"/>
  <c r="N71" i="6"/>
  <c r="E71" i="6"/>
  <c r="R71" i="6" s="1"/>
  <c r="C71" i="6"/>
  <c r="B71" i="6"/>
  <c r="W71" i="6"/>
  <c r="J71" i="6"/>
  <c r="I71" i="6"/>
  <c r="H71" i="6"/>
  <c r="M71" i="3"/>
  <c r="K71" i="3"/>
  <c r="E71" i="3"/>
  <c r="D71" i="3"/>
  <c r="B71" i="3"/>
  <c r="F71" i="6"/>
  <c r="O71" i="3"/>
  <c r="I71" i="3"/>
  <c r="M71" i="6"/>
  <c r="N71" i="3"/>
  <c r="L71" i="3"/>
  <c r="J71" i="3"/>
  <c r="Q71" i="3"/>
  <c r="H71" i="3"/>
  <c r="G71" i="3"/>
  <c r="T71" i="3"/>
  <c r="F71" i="3"/>
  <c r="S71" i="3"/>
  <c r="R71" i="3"/>
  <c r="P71" i="3"/>
  <c r="C71" i="3"/>
  <c r="A71" i="3"/>
  <c r="O89" i="6"/>
  <c r="E89" i="6"/>
  <c r="P89" i="6" s="1"/>
  <c r="B89" i="6"/>
  <c r="W89" i="6"/>
  <c r="D89" i="6"/>
  <c r="N89" i="6"/>
  <c r="T89" i="6"/>
  <c r="X89" i="6" s="1"/>
  <c r="C89" i="6"/>
  <c r="L89" i="6"/>
  <c r="K89" i="6"/>
  <c r="J89" i="6"/>
  <c r="I89" i="6"/>
  <c r="M89" i="6"/>
  <c r="H89" i="6"/>
  <c r="F89" i="6"/>
  <c r="O89" i="3"/>
  <c r="M89" i="3"/>
  <c r="E89" i="3"/>
  <c r="D89" i="3"/>
  <c r="B89" i="3"/>
  <c r="A89" i="3"/>
  <c r="S89" i="3"/>
  <c r="Q89" i="3"/>
  <c r="L89" i="3"/>
  <c r="T89" i="3"/>
  <c r="R89" i="3"/>
  <c r="P89" i="3"/>
  <c r="N89" i="3"/>
  <c r="K89" i="3"/>
  <c r="I89" i="3"/>
  <c r="C89" i="3"/>
  <c r="Y89" i="3" s="1"/>
  <c r="H89" i="3"/>
  <c r="G89" i="3"/>
  <c r="F89" i="3"/>
  <c r="J89" i="3"/>
  <c r="W113" i="6"/>
  <c r="C113" i="6"/>
  <c r="H113" i="6"/>
  <c r="N113" i="6"/>
  <c r="M113" i="6"/>
  <c r="L113" i="6"/>
  <c r="J113" i="6"/>
  <c r="B113" i="6"/>
  <c r="T113" i="6"/>
  <c r="X113" i="6" s="1"/>
  <c r="O113" i="6"/>
  <c r="K113" i="6"/>
  <c r="I113" i="6"/>
  <c r="K113" i="3"/>
  <c r="I113" i="3"/>
  <c r="M113" i="3"/>
  <c r="F113" i="6"/>
  <c r="L113" i="3"/>
  <c r="E113" i="6"/>
  <c r="D113" i="6"/>
  <c r="H113" i="3"/>
  <c r="Q113" i="3"/>
  <c r="T113" i="3"/>
  <c r="S113" i="3"/>
  <c r="R113" i="3"/>
  <c r="G113" i="3"/>
  <c r="B113" i="3"/>
  <c r="F113" i="3"/>
  <c r="A113" i="3"/>
  <c r="E113" i="3"/>
  <c r="D113" i="3"/>
  <c r="C113" i="3"/>
  <c r="Y113" i="6"/>
  <c r="P113" i="3"/>
  <c r="O113" i="3"/>
  <c r="J113" i="3"/>
  <c r="N113" i="3"/>
  <c r="N106" i="6"/>
  <c r="I106" i="6"/>
  <c r="J106" i="6"/>
  <c r="O106" i="6"/>
  <c r="F106" i="6"/>
  <c r="D106" i="6"/>
  <c r="C106" i="6"/>
  <c r="B106" i="6"/>
  <c r="M106" i="6"/>
  <c r="L106" i="6"/>
  <c r="K106" i="6"/>
  <c r="H106" i="6"/>
  <c r="T106" i="6"/>
  <c r="X106" i="6" s="1"/>
  <c r="E106" i="6"/>
  <c r="G106" i="6" s="1"/>
  <c r="R106" i="3"/>
  <c r="P106" i="3"/>
  <c r="D106" i="3"/>
  <c r="C106" i="3"/>
  <c r="A106" i="3"/>
  <c r="K106" i="3"/>
  <c r="G106" i="3"/>
  <c r="J106" i="3"/>
  <c r="I106" i="3"/>
  <c r="H106" i="3"/>
  <c r="S106" i="3"/>
  <c r="M106" i="3"/>
  <c r="L106" i="3"/>
  <c r="Q106" i="3"/>
  <c r="N106" i="3"/>
  <c r="B106" i="3"/>
  <c r="O106" i="3"/>
  <c r="F106" i="3"/>
  <c r="E106" i="3"/>
  <c r="T106" i="3"/>
  <c r="W106" i="6"/>
  <c r="J64" i="6"/>
  <c r="K64" i="6"/>
  <c r="N64" i="6"/>
  <c r="W64" i="6"/>
  <c r="F64" i="6"/>
  <c r="E64" i="6"/>
  <c r="R64" i="6" s="1"/>
  <c r="D64" i="6"/>
  <c r="C64" i="6"/>
  <c r="B64" i="6"/>
  <c r="T64" i="3"/>
  <c r="R64" i="3"/>
  <c r="S64" i="3"/>
  <c r="Q64" i="3"/>
  <c r="T64" i="6"/>
  <c r="X64" i="6" s="1"/>
  <c r="O64" i="3"/>
  <c r="E64" i="3"/>
  <c r="A64" i="3"/>
  <c r="D64" i="3"/>
  <c r="C64" i="3"/>
  <c r="B64" i="3"/>
  <c r="O64" i="6"/>
  <c r="M64" i="6"/>
  <c r="L64" i="6"/>
  <c r="M64" i="3"/>
  <c r="P64" i="3"/>
  <c r="N64" i="3"/>
  <c r="L64" i="3"/>
  <c r="I64" i="6"/>
  <c r="H64" i="6"/>
  <c r="K64" i="3"/>
  <c r="I64" i="3"/>
  <c r="H64" i="3"/>
  <c r="G64" i="3"/>
  <c r="F64" i="3"/>
  <c r="J64" i="3"/>
  <c r="M53" i="6"/>
  <c r="H53" i="6"/>
  <c r="K53" i="6"/>
  <c r="J53" i="6"/>
  <c r="I53" i="6"/>
  <c r="F53" i="6"/>
  <c r="E53" i="6"/>
  <c r="G53" i="6" s="1"/>
  <c r="D53" i="6"/>
  <c r="W53" i="6"/>
  <c r="T53" i="6"/>
  <c r="Y53" i="6" s="1"/>
  <c r="O53" i="6"/>
  <c r="C53" i="6"/>
  <c r="B53" i="6"/>
  <c r="K53" i="3"/>
  <c r="I53" i="3"/>
  <c r="E53" i="3"/>
  <c r="D53" i="3"/>
  <c r="B53" i="3"/>
  <c r="T53" i="3"/>
  <c r="L53" i="6"/>
  <c r="O53" i="3"/>
  <c r="L53" i="3"/>
  <c r="H53" i="3"/>
  <c r="N53" i="3"/>
  <c r="G53" i="3"/>
  <c r="F53" i="3"/>
  <c r="M53" i="3"/>
  <c r="J53" i="3"/>
  <c r="A53" i="3"/>
  <c r="C53" i="3"/>
  <c r="R53" i="3"/>
  <c r="Q53" i="3"/>
  <c r="P53" i="3"/>
  <c r="N53" i="6"/>
  <c r="S53" i="3"/>
  <c r="O11" i="6"/>
  <c r="H11" i="3"/>
  <c r="I196" i="6"/>
  <c r="J196" i="6"/>
  <c r="L196" i="6"/>
  <c r="M196" i="6"/>
  <c r="K196" i="6"/>
  <c r="W196" i="6"/>
  <c r="N196" i="6"/>
  <c r="H196" i="6"/>
  <c r="T196" i="6"/>
  <c r="Y196" i="6" s="1"/>
  <c r="X196" i="6"/>
  <c r="O196" i="6"/>
  <c r="E196" i="6"/>
  <c r="D196" i="6"/>
  <c r="H196" i="3"/>
  <c r="C196" i="6"/>
  <c r="G196" i="3"/>
  <c r="E196" i="3"/>
  <c r="C196" i="3"/>
  <c r="S196" i="3"/>
  <c r="R196" i="3"/>
  <c r="P196" i="3"/>
  <c r="O196" i="3"/>
  <c r="K196" i="3"/>
  <c r="N196" i="3"/>
  <c r="L196" i="3"/>
  <c r="M196" i="3"/>
  <c r="Q196" i="3"/>
  <c r="D196" i="3"/>
  <c r="B196" i="3"/>
  <c r="J196" i="3"/>
  <c r="F196" i="3"/>
  <c r="I196" i="3"/>
  <c r="A196" i="3"/>
  <c r="F196" i="6"/>
  <c r="T196" i="3"/>
  <c r="B196" i="6"/>
  <c r="L100" i="6"/>
  <c r="T100" i="6"/>
  <c r="K100" i="6"/>
  <c r="F100" i="6"/>
  <c r="E100" i="6"/>
  <c r="P100" i="6" s="1"/>
  <c r="S100" i="6"/>
  <c r="W100" i="6"/>
  <c r="C100" i="6"/>
  <c r="B100" i="6"/>
  <c r="G100" i="6"/>
  <c r="D100" i="6"/>
  <c r="H100" i="6"/>
  <c r="J100" i="6"/>
  <c r="I100" i="6"/>
  <c r="D100" i="3"/>
  <c r="B100" i="3"/>
  <c r="R100" i="3"/>
  <c r="Q100" i="3"/>
  <c r="O100" i="3"/>
  <c r="O100" i="6"/>
  <c r="M100" i="6"/>
  <c r="G100" i="3"/>
  <c r="F100" i="3"/>
  <c r="C100" i="3"/>
  <c r="A100" i="3"/>
  <c r="E100" i="3"/>
  <c r="R100" i="6"/>
  <c r="H100" i="3"/>
  <c r="Y100" i="6"/>
  <c r="N100" i="6"/>
  <c r="X100" i="6"/>
  <c r="M100" i="3"/>
  <c r="L100" i="3"/>
  <c r="I100" i="3"/>
  <c r="K100" i="3"/>
  <c r="J100" i="3"/>
  <c r="T100" i="3"/>
  <c r="S100" i="3"/>
  <c r="P100" i="3"/>
  <c r="N100" i="3"/>
  <c r="D96" i="6"/>
  <c r="E96" i="6"/>
  <c r="G96" i="6" s="1"/>
  <c r="L96" i="6"/>
  <c r="T96" i="6"/>
  <c r="X96" i="6" s="1"/>
  <c r="S96" i="6"/>
  <c r="P96" i="6"/>
  <c r="U96" i="6" s="1"/>
  <c r="B96" i="6"/>
  <c r="J96" i="6"/>
  <c r="I96" i="6"/>
  <c r="H96" i="6"/>
  <c r="W96" i="6"/>
  <c r="O96" i="6"/>
  <c r="N96" i="6"/>
  <c r="M96" i="6"/>
  <c r="K96" i="6"/>
  <c r="H96" i="3"/>
  <c r="F96" i="3"/>
  <c r="N96" i="3"/>
  <c r="M96" i="3"/>
  <c r="K96" i="3"/>
  <c r="L96" i="3"/>
  <c r="J96" i="3"/>
  <c r="G96" i="3"/>
  <c r="E96" i="3"/>
  <c r="I96" i="3"/>
  <c r="F96" i="6"/>
  <c r="C96" i="6"/>
  <c r="T96" i="3"/>
  <c r="Q96" i="3"/>
  <c r="P96" i="3"/>
  <c r="O96" i="3"/>
  <c r="D96" i="3"/>
  <c r="S96" i="3"/>
  <c r="B96" i="3"/>
  <c r="R96" i="3"/>
  <c r="C96" i="3"/>
  <c r="A96" i="3"/>
  <c r="L70" i="6"/>
  <c r="W70" i="6"/>
  <c r="B70" i="6"/>
  <c r="O70" i="6"/>
  <c r="F70" i="6"/>
  <c r="D70" i="6"/>
  <c r="E70" i="6"/>
  <c r="S70" i="6" s="1"/>
  <c r="C70" i="6"/>
  <c r="T70" i="6"/>
  <c r="Y70" i="6" s="1"/>
  <c r="R70" i="6"/>
  <c r="P70" i="6"/>
  <c r="N70" i="6"/>
  <c r="M70" i="6"/>
  <c r="K70" i="6"/>
  <c r="V70" i="6"/>
  <c r="N70" i="3"/>
  <c r="J70" i="6"/>
  <c r="L70" i="3"/>
  <c r="I70" i="6"/>
  <c r="D70" i="3"/>
  <c r="C70" i="3"/>
  <c r="A70" i="3"/>
  <c r="I70" i="3"/>
  <c r="F70" i="3"/>
  <c r="H70" i="3"/>
  <c r="G70" i="3"/>
  <c r="E70" i="3"/>
  <c r="J70" i="3"/>
  <c r="B70" i="3"/>
  <c r="H70" i="6"/>
  <c r="Q70" i="6"/>
  <c r="S70" i="3"/>
  <c r="Q70" i="3"/>
  <c r="T70" i="3"/>
  <c r="M70" i="3"/>
  <c r="K70" i="3"/>
  <c r="P70" i="3"/>
  <c r="R70" i="3"/>
  <c r="O70" i="3"/>
  <c r="O79" i="6"/>
  <c r="B79" i="6"/>
  <c r="T79" i="6"/>
  <c r="Y79" i="6" s="1"/>
  <c r="W79" i="6"/>
  <c r="N79" i="6"/>
  <c r="J79" i="6"/>
  <c r="I79" i="6"/>
  <c r="H79" i="6"/>
  <c r="M79" i="6"/>
  <c r="L79" i="6"/>
  <c r="D79" i="6"/>
  <c r="C79" i="6"/>
  <c r="K79" i="6"/>
  <c r="E79" i="3"/>
  <c r="E79" i="6"/>
  <c r="R79" i="6" s="1"/>
  <c r="C79" i="3"/>
  <c r="F79" i="6"/>
  <c r="O79" i="3"/>
  <c r="N79" i="3"/>
  <c r="L79" i="3"/>
  <c r="B79" i="3"/>
  <c r="A79" i="3"/>
  <c r="R79" i="3"/>
  <c r="T79" i="3"/>
  <c r="M79" i="3"/>
  <c r="S79" i="3"/>
  <c r="Q79" i="3"/>
  <c r="P79" i="3"/>
  <c r="K79" i="3"/>
  <c r="I79" i="3"/>
  <c r="D79" i="3"/>
  <c r="H79" i="3"/>
  <c r="G79" i="3"/>
  <c r="F79" i="3"/>
  <c r="J79" i="3"/>
  <c r="F107" i="6"/>
  <c r="E107" i="6"/>
  <c r="R107" i="6" s="1"/>
  <c r="N107" i="6"/>
  <c r="B107" i="6"/>
  <c r="C107" i="6"/>
  <c r="D107" i="6"/>
  <c r="O107" i="6"/>
  <c r="W107" i="6"/>
  <c r="T107" i="6"/>
  <c r="Y107" i="6" s="1"/>
  <c r="M107" i="6"/>
  <c r="L107" i="6"/>
  <c r="K107" i="6"/>
  <c r="Q107" i="3"/>
  <c r="O107" i="3"/>
  <c r="E107" i="3"/>
  <c r="D107" i="3"/>
  <c r="B107" i="3"/>
  <c r="P107" i="3"/>
  <c r="N107" i="3"/>
  <c r="L107" i="3"/>
  <c r="M107" i="3"/>
  <c r="K107" i="3"/>
  <c r="J107" i="6"/>
  <c r="I107" i="6"/>
  <c r="H107" i="6"/>
  <c r="T107" i="3"/>
  <c r="S107" i="3"/>
  <c r="R107" i="3"/>
  <c r="J107" i="3"/>
  <c r="F107" i="3"/>
  <c r="C107" i="3"/>
  <c r="A107" i="3"/>
  <c r="I107" i="3"/>
  <c r="H107" i="3"/>
  <c r="G107" i="3"/>
  <c r="I131" i="6"/>
  <c r="O131" i="6"/>
  <c r="F131" i="6"/>
  <c r="M131" i="6"/>
  <c r="E131" i="6"/>
  <c r="P131" i="6" s="1"/>
  <c r="Q131" i="6" s="1"/>
  <c r="D131" i="6"/>
  <c r="C131" i="6"/>
  <c r="N131" i="6"/>
  <c r="L131" i="6"/>
  <c r="K131" i="6"/>
  <c r="J131" i="6"/>
  <c r="H131" i="6"/>
  <c r="B131" i="6"/>
  <c r="T131" i="6"/>
  <c r="X131" i="6" s="1"/>
  <c r="M131" i="3"/>
  <c r="K131" i="3"/>
  <c r="L131" i="3"/>
  <c r="J131" i="3"/>
  <c r="H131" i="3"/>
  <c r="G131" i="3"/>
  <c r="C131" i="3"/>
  <c r="F131" i="3"/>
  <c r="D131" i="3"/>
  <c r="E131" i="3"/>
  <c r="R131" i="3"/>
  <c r="N131" i="3"/>
  <c r="I131" i="3"/>
  <c r="B131" i="3"/>
  <c r="Q131" i="3"/>
  <c r="O131" i="3"/>
  <c r="W131" i="6"/>
  <c r="A131" i="3"/>
  <c r="P131" i="3"/>
  <c r="T131" i="3"/>
  <c r="S131" i="3"/>
  <c r="N16" i="6"/>
  <c r="E16" i="6"/>
  <c r="M16" i="6"/>
  <c r="L16" i="6"/>
  <c r="T16" i="6"/>
  <c r="K16" i="6"/>
  <c r="F16" i="6"/>
  <c r="D16" i="6"/>
  <c r="B16" i="3" s="1"/>
  <c r="C16" i="6"/>
  <c r="B16" i="6"/>
  <c r="I16" i="6"/>
  <c r="H16" i="6"/>
  <c r="J16" i="6" s="1"/>
  <c r="C16" i="3"/>
  <c r="O149" i="6"/>
  <c r="L149" i="6"/>
  <c r="J149" i="6"/>
  <c r="I149" i="6"/>
  <c r="B149" i="6"/>
  <c r="M149" i="6"/>
  <c r="W149" i="6"/>
  <c r="T149" i="6"/>
  <c r="Y149" i="6" s="1"/>
  <c r="N149" i="6"/>
  <c r="F149" i="6"/>
  <c r="E149" i="6"/>
  <c r="D149" i="6"/>
  <c r="C149" i="6"/>
  <c r="O149" i="3"/>
  <c r="M149" i="3"/>
  <c r="K149" i="3"/>
  <c r="J149" i="3"/>
  <c r="H149" i="3"/>
  <c r="S149" i="3"/>
  <c r="T149" i="3"/>
  <c r="K149" i="6"/>
  <c r="R149" i="3"/>
  <c r="L149" i="3"/>
  <c r="I149" i="3"/>
  <c r="H149" i="6"/>
  <c r="G149" i="3"/>
  <c r="F149" i="3"/>
  <c r="Q149" i="3"/>
  <c r="P149" i="3"/>
  <c r="N149" i="3"/>
  <c r="G149" i="6"/>
  <c r="E149" i="3"/>
  <c r="C149" i="3"/>
  <c r="B149" i="3"/>
  <c r="A149" i="3"/>
  <c r="D149" i="3"/>
  <c r="D201" i="6"/>
  <c r="L201" i="6"/>
  <c r="H201" i="6"/>
  <c r="J201" i="6"/>
  <c r="I201" i="6"/>
  <c r="O201" i="6"/>
  <c r="N201" i="6"/>
  <c r="M201" i="6"/>
  <c r="K201" i="6"/>
  <c r="F201" i="6"/>
  <c r="C201" i="6"/>
  <c r="B201" i="6"/>
  <c r="W201" i="6"/>
  <c r="T201" i="6"/>
  <c r="X201" i="6" s="1"/>
  <c r="D201" i="3"/>
  <c r="C201" i="3"/>
  <c r="B201" i="3"/>
  <c r="M201" i="3"/>
  <c r="K201" i="3"/>
  <c r="O201" i="3"/>
  <c r="N201" i="3"/>
  <c r="J201" i="3"/>
  <c r="E201" i="6"/>
  <c r="S201" i="6" s="1"/>
  <c r="S201" i="3"/>
  <c r="R201" i="3"/>
  <c r="L201" i="3"/>
  <c r="I201" i="3"/>
  <c r="T201" i="3"/>
  <c r="Q201" i="3"/>
  <c r="P201" i="3"/>
  <c r="H201" i="3"/>
  <c r="G201" i="3"/>
  <c r="E201" i="3"/>
  <c r="A201" i="3"/>
  <c r="F201" i="3"/>
  <c r="W82" i="6"/>
  <c r="B82" i="6"/>
  <c r="L82" i="6"/>
  <c r="K82" i="6"/>
  <c r="O82" i="6"/>
  <c r="C82" i="6"/>
  <c r="N82" i="6"/>
  <c r="M82" i="6"/>
  <c r="J82" i="6"/>
  <c r="H82" i="6"/>
  <c r="F82" i="6"/>
  <c r="E82" i="6"/>
  <c r="S82" i="6" s="1"/>
  <c r="T82" i="6"/>
  <c r="X82" i="6" s="1"/>
  <c r="R82" i="6"/>
  <c r="I82" i="6"/>
  <c r="D82" i="6"/>
  <c r="B82" i="3"/>
  <c r="T82" i="3"/>
  <c r="R82" i="3"/>
  <c r="Q82" i="3"/>
  <c r="O82" i="3"/>
  <c r="S82" i="3"/>
  <c r="L82" i="3"/>
  <c r="P82" i="3"/>
  <c r="N82" i="3"/>
  <c r="M82" i="3"/>
  <c r="A82" i="3"/>
  <c r="K82" i="3"/>
  <c r="J82" i="3"/>
  <c r="I82" i="3"/>
  <c r="H82" i="3"/>
  <c r="G82" i="3"/>
  <c r="F82" i="3"/>
  <c r="E82" i="3"/>
  <c r="D82" i="3"/>
  <c r="C82" i="3"/>
  <c r="M103" i="6"/>
  <c r="D103" i="6"/>
  <c r="T103" i="6"/>
  <c r="X103" i="6" s="1"/>
  <c r="O103" i="6"/>
  <c r="N103" i="6"/>
  <c r="F103" i="6"/>
  <c r="E103" i="6"/>
  <c r="G103" i="6" s="1"/>
  <c r="C103" i="6"/>
  <c r="W103" i="6"/>
  <c r="L103" i="6"/>
  <c r="K103" i="6"/>
  <c r="J103" i="6"/>
  <c r="I103" i="6"/>
  <c r="A103" i="3"/>
  <c r="S103" i="3"/>
  <c r="R103" i="3"/>
  <c r="T103" i="3"/>
  <c r="P103" i="3"/>
  <c r="Q103" i="3"/>
  <c r="O103" i="3"/>
  <c r="H103" i="6"/>
  <c r="B103" i="6"/>
  <c r="J103" i="3"/>
  <c r="G103" i="3"/>
  <c r="I103" i="3"/>
  <c r="F103" i="3"/>
  <c r="E103" i="3"/>
  <c r="D103" i="3"/>
  <c r="C103" i="3"/>
  <c r="B103" i="3"/>
  <c r="H103" i="3"/>
  <c r="N103" i="3"/>
  <c r="L103" i="3"/>
  <c r="M103" i="3"/>
  <c r="K103" i="3"/>
  <c r="B150" i="6"/>
  <c r="W150" i="6"/>
  <c r="T150" i="6"/>
  <c r="H150" i="6"/>
  <c r="F150" i="6"/>
  <c r="O150" i="6"/>
  <c r="M150" i="6"/>
  <c r="Y150" i="6"/>
  <c r="E150" i="6"/>
  <c r="R150" i="6" s="1"/>
  <c r="D150" i="6"/>
  <c r="C150" i="6"/>
  <c r="X150" i="6"/>
  <c r="N150" i="3"/>
  <c r="L150" i="3"/>
  <c r="L150" i="6"/>
  <c r="M150" i="3"/>
  <c r="K150" i="6"/>
  <c r="K150" i="3"/>
  <c r="J150" i="6"/>
  <c r="I150" i="6"/>
  <c r="I150" i="3"/>
  <c r="B150" i="3"/>
  <c r="A150" i="3"/>
  <c r="C150" i="3"/>
  <c r="T150" i="3"/>
  <c r="N150" i="6"/>
  <c r="S150" i="3"/>
  <c r="G150" i="3"/>
  <c r="F150" i="3"/>
  <c r="E150" i="3"/>
  <c r="D150" i="3"/>
  <c r="R150" i="3"/>
  <c r="P150" i="3"/>
  <c r="O150" i="3"/>
  <c r="J150" i="3"/>
  <c r="H150" i="3"/>
  <c r="Q150" i="3"/>
  <c r="F35" i="6"/>
  <c r="K35" i="6"/>
  <c r="L35" i="6"/>
  <c r="J35" i="6"/>
  <c r="I35" i="6"/>
  <c r="W35" i="6"/>
  <c r="B35" i="6"/>
  <c r="H35" i="6"/>
  <c r="E35" i="6"/>
  <c r="G35" i="6" s="1"/>
  <c r="D35" i="6"/>
  <c r="C35" i="6"/>
  <c r="S35" i="6"/>
  <c r="R35" i="6"/>
  <c r="I35" i="3"/>
  <c r="G35" i="3"/>
  <c r="E35" i="3"/>
  <c r="D35" i="3"/>
  <c r="B35" i="3"/>
  <c r="M35" i="3"/>
  <c r="L35" i="3"/>
  <c r="H35" i="3"/>
  <c r="K35" i="3"/>
  <c r="J35" i="3"/>
  <c r="T35" i="6"/>
  <c r="X35" i="6" s="1"/>
  <c r="N35" i="3"/>
  <c r="O35" i="6"/>
  <c r="F35" i="3"/>
  <c r="M35" i="6"/>
  <c r="A35" i="3"/>
  <c r="N35" i="6"/>
  <c r="C35" i="3"/>
  <c r="Q35" i="3"/>
  <c r="T35" i="3"/>
  <c r="S35" i="3"/>
  <c r="R35" i="3"/>
  <c r="P35" i="3"/>
  <c r="O35" i="3"/>
  <c r="K118" i="6"/>
  <c r="H118" i="6"/>
  <c r="F118" i="6"/>
  <c r="C118" i="6"/>
  <c r="J118" i="6"/>
  <c r="I118" i="6"/>
  <c r="E118" i="6"/>
  <c r="S118" i="6" s="1"/>
  <c r="T118" i="6"/>
  <c r="X118" i="6" s="1"/>
  <c r="B118" i="6"/>
  <c r="F118" i="3"/>
  <c r="D118" i="3"/>
  <c r="W118" i="6"/>
  <c r="R118" i="3"/>
  <c r="Q118" i="3"/>
  <c r="O118" i="3"/>
  <c r="O118" i="6"/>
  <c r="T118" i="3"/>
  <c r="P118" i="3"/>
  <c r="N118" i="3"/>
  <c r="S118" i="3"/>
  <c r="I118" i="3"/>
  <c r="B118" i="3"/>
  <c r="N118" i="6"/>
  <c r="H118" i="3"/>
  <c r="L118" i="6"/>
  <c r="A118" i="3"/>
  <c r="M118" i="6"/>
  <c r="G118" i="3"/>
  <c r="E118" i="3"/>
  <c r="D118" i="6"/>
  <c r="C118" i="3"/>
  <c r="K118" i="3"/>
  <c r="L118" i="3"/>
  <c r="M118" i="3"/>
  <c r="J118" i="3"/>
  <c r="F52" i="6"/>
  <c r="K52" i="6"/>
  <c r="T52" i="6"/>
  <c r="Y52" i="6" s="1"/>
  <c r="E52" i="6"/>
  <c r="G52" i="6" s="1"/>
  <c r="C52" i="6"/>
  <c r="H52" i="6"/>
  <c r="D52" i="6"/>
  <c r="J52" i="6"/>
  <c r="I52" i="6"/>
  <c r="B52" i="6"/>
  <c r="W52" i="6"/>
  <c r="M52" i="6"/>
  <c r="L52" i="3"/>
  <c r="J52" i="3"/>
  <c r="D52" i="3"/>
  <c r="C52" i="3"/>
  <c r="A52" i="3"/>
  <c r="N52" i="6"/>
  <c r="T52" i="3"/>
  <c r="P52" i="3"/>
  <c r="L52" i="6"/>
  <c r="S52" i="3"/>
  <c r="R52" i="3"/>
  <c r="Q52" i="3"/>
  <c r="O52" i="6"/>
  <c r="B52" i="3"/>
  <c r="O52" i="3"/>
  <c r="N52" i="3"/>
  <c r="M52" i="3"/>
  <c r="K52" i="3"/>
  <c r="I52" i="3"/>
  <c r="G52" i="3"/>
  <c r="H52" i="3"/>
  <c r="F52" i="3"/>
  <c r="E52" i="3"/>
  <c r="N17" i="6"/>
  <c r="K17" i="6"/>
  <c r="D17" i="6"/>
  <c r="B17" i="3" s="1"/>
  <c r="C17" i="6"/>
  <c r="B17" i="6"/>
  <c r="I17" i="6"/>
  <c r="H17" i="6"/>
  <c r="J17" i="6" s="1"/>
  <c r="M17" i="6"/>
  <c r="L17" i="6"/>
  <c r="F17" i="6"/>
  <c r="T17" i="6"/>
  <c r="C17" i="3"/>
  <c r="E17" i="6"/>
  <c r="C77" i="6"/>
  <c r="M77" i="6"/>
  <c r="K77" i="6"/>
  <c r="J77" i="6"/>
  <c r="I77" i="6"/>
  <c r="H77" i="6"/>
  <c r="O77" i="6"/>
  <c r="F77" i="6"/>
  <c r="E77" i="6"/>
  <c r="S77" i="6" s="1"/>
  <c r="D77" i="6"/>
  <c r="B77" i="6"/>
  <c r="G77" i="6"/>
  <c r="N77" i="6"/>
  <c r="L77" i="6"/>
  <c r="G77" i="3"/>
  <c r="E77" i="3"/>
  <c r="M77" i="3"/>
  <c r="L77" i="3"/>
  <c r="J77" i="3"/>
  <c r="T77" i="6"/>
  <c r="Y77" i="6" s="1"/>
  <c r="S77" i="3"/>
  <c r="P77" i="3"/>
  <c r="R77" i="3"/>
  <c r="Q77" i="3"/>
  <c r="W77" i="6"/>
  <c r="O77" i="3"/>
  <c r="I77" i="3"/>
  <c r="C77" i="3"/>
  <c r="H77" i="3"/>
  <c r="D77" i="3"/>
  <c r="T77" i="3"/>
  <c r="N77" i="3"/>
  <c r="K77" i="3"/>
  <c r="F77" i="3"/>
  <c r="B77" i="3"/>
  <c r="A77" i="3"/>
  <c r="L165" i="6"/>
  <c r="H165" i="6"/>
  <c r="F165" i="6"/>
  <c r="E165" i="6"/>
  <c r="G165" i="6" s="1"/>
  <c r="W165" i="6"/>
  <c r="C165" i="6"/>
  <c r="B165" i="6"/>
  <c r="O165" i="6"/>
  <c r="N165" i="6"/>
  <c r="M165" i="6"/>
  <c r="T165" i="6"/>
  <c r="Y165" i="6" s="1"/>
  <c r="J165" i="6"/>
  <c r="S165" i="3"/>
  <c r="D165" i="6"/>
  <c r="Q165" i="3"/>
  <c r="I165" i="3"/>
  <c r="H165" i="3"/>
  <c r="K165" i="6"/>
  <c r="F165" i="3"/>
  <c r="I165" i="6"/>
  <c r="A165" i="3"/>
  <c r="B165" i="3"/>
  <c r="T165" i="3"/>
  <c r="R165" i="3"/>
  <c r="P165" i="3"/>
  <c r="N165" i="3"/>
  <c r="M165" i="3"/>
  <c r="L165" i="3"/>
  <c r="J165" i="3"/>
  <c r="D165" i="3"/>
  <c r="K165" i="3"/>
  <c r="E165" i="3"/>
  <c r="G165" i="3"/>
  <c r="O165" i="3"/>
  <c r="C165" i="3"/>
  <c r="I176" i="6"/>
  <c r="O176" i="6"/>
  <c r="D176" i="6"/>
  <c r="C176" i="6"/>
  <c r="F176" i="6"/>
  <c r="W176" i="6"/>
  <c r="T176" i="6"/>
  <c r="Y176" i="6" s="1"/>
  <c r="L176" i="6"/>
  <c r="K176" i="6"/>
  <c r="J176" i="6"/>
  <c r="N176" i="6"/>
  <c r="M176" i="6"/>
  <c r="H176" i="6"/>
  <c r="E176" i="6"/>
  <c r="P176" i="6" s="1"/>
  <c r="B176" i="6"/>
  <c r="H176" i="3"/>
  <c r="F176" i="3"/>
  <c r="S176" i="3"/>
  <c r="E176" i="3"/>
  <c r="B176" i="3"/>
  <c r="D176" i="3"/>
  <c r="A176" i="3"/>
  <c r="C176" i="3"/>
  <c r="M176" i="3"/>
  <c r="J176" i="3"/>
  <c r="I176" i="3"/>
  <c r="G176" i="3"/>
  <c r="L176" i="3"/>
  <c r="K176" i="3"/>
  <c r="P176" i="3"/>
  <c r="Q176" i="3"/>
  <c r="N176" i="3"/>
  <c r="T176" i="3"/>
  <c r="O176" i="3"/>
  <c r="R176" i="3"/>
  <c r="R170" i="6" l="1"/>
  <c r="J12" i="6"/>
  <c r="Y68" i="6"/>
  <c r="Y186" i="3"/>
  <c r="A16" i="3"/>
  <c r="R40" i="6"/>
  <c r="R67" i="6"/>
  <c r="Y48" i="3"/>
  <c r="P170" i="6"/>
  <c r="Q170" i="6" s="1"/>
  <c r="R16" i="3"/>
  <c r="Q16" i="3" s="1"/>
  <c r="X184" i="6"/>
  <c r="X70" i="6"/>
  <c r="P147" i="6"/>
  <c r="Q147" i="6" s="1"/>
  <c r="Y97" i="3"/>
  <c r="R166" i="6"/>
  <c r="S34" i="6"/>
  <c r="S46" i="6"/>
  <c r="Y199" i="3"/>
  <c r="X152" i="6"/>
  <c r="G144" i="6"/>
  <c r="Y26" i="3"/>
  <c r="R34" i="6"/>
  <c r="X65" i="6"/>
  <c r="G97" i="6"/>
  <c r="S106" i="6"/>
  <c r="AD75" i="6"/>
  <c r="AE75" i="6" s="1"/>
  <c r="AF75" i="6" s="1"/>
  <c r="X37" i="6"/>
  <c r="R121" i="6"/>
  <c r="Y59" i="3"/>
  <c r="Y58" i="6"/>
  <c r="R165" i="6"/>
  <c r="X195" i="6"/>
  <c r="X46" i="6"/>
  <c r="R42" i="6"/>
  <c r="Y61" i="3"/>
  <c r="P182" i="6"/>
  <c r="Q182" i="6" s="1"/>
  <c r="G58" i="6"/>
  <c r="Y205" i="6"/>
  <c r="R133" i="6"/>
  <c r="X176" i="6"/>
  <c r="P165" i="6"/>
  <c r="V165" i="6" s="1"/>
  <c r="R140" i="6"/>
  <c r="U183" i="6"/>
  <c r="Y24" i="6"/>
  <c r="X77" i="6"/>
  <c r="P37" i="6"/>
  <c r="U37" i="6" s="1"/>
  <c r="R195" i="6"/>
  <c r="X137" i="6"/>
  <c r="Y203" i="6"/>
  <c r="Y207" i="3"/>
  <c r="U122" i="6"/>
  <c r="Y19" i="3"/>
  <c r="P93" i="6"/>
  <c r="Q93" i="6" s="1"/>
  <c r="Y62" i="3"/>
  <c r="Y141" i="3"/>
  <c r="P195" i="6"/>
  <c r="Q195" i="6" s="1"/>
  <c r="Y96" i="3"/>
  <c r="A15" i="3"/>
  <c r="R37" i="6"/>
  <c r="S133" i="6"/>
  <c r="V122" i="6"/>
  <c r="P76" i="6"/>
  <c r="U76" i="6" s="1"/>
  <c r="R111" i="6"/>
  <c r="Y42" i="6"/>
  <c r="Y181" i="3"/>
  <c r="Y93" i="3"/>
  <c r="Y34" i="3"/>
  <c r="S103" i="6"/>
  <c r="X163" i="6"/>
  <c r="S30" i="6"/>
  <c r="P164" i="6"/>
  <c r="Q164" i="6" s="1"/>
  <c r="G64" i="6"/>
  <c r="U46" i="6"/>
  <c r="G111" i="6"/>
  <c r="S67" i="6"/>
  <c r="R164" i="6"/>
  <c r="P186" i="6"/>
  <c r="Y77" i="3"/>
  <c r="G121" i="6"/>
  <c r="V91" i="6"/>
  <c r="P110" i="6"/>
  <c r="Q110" i="6" s="1"/>
  <c r="Y97" i="6"/>
  <c r="R184" i="6"/>
  <c r="X189" i="6"/>
  <c r="S86" i="6"/>
  <c r="S112" i="6"/>
  <c r="S88" i="6"/>
  <c r="X193" i="6"/>
  <c r="R186" i="6"/>
  <c r="S121" i="6"/>
  <c r="S27" i="6"/>
  <c r="X34" i="6"/>
  <c r="Y30" i="6"/>
  <c r="G136" i="6"/>
  <c r="Y118" i="6"/>
  <c r="V46" i="6"/>
  <c r="P55" i="6"/>
  <c r="AD55" i="6" s="1"/>
  <c r="AE55" i="6" s="1"/>
  <c r="AF55" i="6" s="1"/>
  <c r="P48" i="6"/>
  <c r="Q48" i="6" s="1"/>
  <c r="R134" i="6"/>
  <c r="R48" i="6"/>
  <c r="Q46" i="6"/>
  <c r="R86" i="6"/>
  <c r="G55" i="6"/>
  <c r="G134" i="6"/>
  <c r="Y125" i="3"/>
  <c r="G190" i="6"/>
  <c r="G183" i="6"/>
  <c r="G164" i="6"/>
  <c r="S94" i="6"/>
  <c r="Y141" i="6"/>
  <c r="Y204" i="6"/>
  <c r="Y42" i="3"/>
  <c r="P49" i="6"/>
  <c r="V49" i="6" s="1"/>
  <c r="AD114" i="6"/>
  <c r="AE114" i="6" s="1"/>
  <c r="AF114" i="6" s="1"/>
  <c r="X167" i="6"/>
  <c r="Y136" i="3"/>
  <c r="A13" i="3"/>
  <c r="AD91" i="6"/>
  <c r="AE91" i="6" s="1"/>
  <c r="AF91" i="6" s="1"/>
  <c r="P30" i="6"/>
  <c r="U30" i="6" s="1"/>
  <c r="X90" i="6"/>
  <c r="R22" i="6"/>
  <c r="S99" i="6"/>
  <c r="X38" i="6"/>
  <c r="P65" i="6"/>
  <c r="Q65" i="6" s="1"/>
  <c r="X26" i="6"/>
  <c r="Y89" i="6"/>
  <c r="Y125" i="6"/>
  <c r="S140" i="6"/>
  <c r="A14" i="3"/>
  <c r="Y198" i="3"/>
  <c r="X45" i="6"/>
  <c r="R99" i="6"/>
  <c r="G20" i="6"/>
  <c r="R50" i="6"/>
  <c r="G17" i="6"/>
  <c r="W17" i="6" s="1"/>
  <c r="Y17" i="6" s="1"/>
  <c r="P107" i="6"/>
  <c r="U107" i="6" s="1"/>
  <c r="S52" i="6"/>
  <c r="S107" i="6"/>
  <c r="P79" i="6"/>
  <c r="Q79" i="6" s="1"/>
  <c r="Y128" i="3"/>
  <c r="R136" i="6"/>
  <c r="G94" i="6"/>
  <c r="S72" i="6"/>
  <c r="S119" i="6"/>
  <c r="J13" i="6"/>
  <c r="O13" i="6" s="1"/>
  <c r="R49" i="6"/>
  <c r="G110" i="6"/>
  <c r="G143" i="6"/>
  <c r="X156" i="6"/>
  <c r="S22" i="6"/>
  <c r="P67" i="6"/>
  <c r="Q67" i="6" s="1"/>
  <c r="S19" i="6"/>
  <c r="R32" i="6"/>
  <c r="Y183" i="6"/>
  <c r="AD164" i="6"/>
  <c r="AE164" i="6" s="1"/>
  <c r="AF164" i="6" s="1"/>
  <c r="X178" i="6"/>
  <c r="Y157" i="3"/>
  <c r="Y54" i="3"/>
  <c r="AD79" i="6"/>
  <c r="AE79" i="6" s="1"/>
  <c r="AF79" i="6" s="1"/>
  <c r="Y208" i="3"/>
  <c r="X161" i="6"/>
  <c r="S117" i="6"/>
  <c r="Y168" i="6"/>
  <c r="G65" i="6"/>
  <c r="G79" i="6"/>
  <c r="Y69" i="3"/>
  <c r="X105" i="6"/>
  <c r="S191" i="6"/>
  <c r="S186" i="6"/>
  <c r="Y147" i="3"/>
  <c r="U140" i="6"/>
  <c r="S134" i="6"/>
  <c r="X22" i="6"/>
  <c r="G86" i="6"/>
  <c r="P136" i="6"/>
  <c r="V136" i="6" s="1"/>
  <c r="Q72" i="6"/>
  <c r="R17" i="6"/>
  <c r="S17" i="6" s="1"/>
  <c r="P17" i="3" s="1"/>
  <c r="S79" i="6"/>
  <c r="Y64" i="6"/>
  <c r="R106" i="6"/>
  <c r="A12" i="3"/>
  <c r="R119" i="6"/>
  <c r="S49" i="6"/>
  <c r="Y140" i="6"/>
  <c r="S190" i="6"/>
  <c r="S188" i="6"/>
  <c r="X144" i="6"/>
  <c r="S32" i="6"/>
  <c r="G34" i="6"/>
  <c r="U34" i="6"/>
  <c r="V34" i="6"/>
  <c r="Q34" i="6"/>
  <c r="AD34" i="6"/>
  <c r="AE34" i="6" s="1"/>
  <c r="AF34" i="6" s="1"/>
  <c r="AD173" i="6"/>
  <c r="AE173" i="6" s="1"/>
  <c r="AF173" i="6" s="1"/>
  <c r="Y154" i="3"/>
  <c r="Y93" i="6"/>
  <c r="Y140" i="3"/>
  <c r="X110" i="6"/>
  <c r="U200" i="6"/>
  <c r="X59" i="6"/>
  <c r="X120" i="6"/>
  <c r="S39" i="6"/>
  <c r="Y87" i="3"/>
  <c r="S132" i="6"/>
  <c r="R109" i="6"/>
  <c r="O17" i="6"/>
  <c r="P33" i="6"/>
  <c r="Q33" i="6" s="1"/>
  <c r="R14" i="3"/>
  <c r="H14" i="3" s="1"/>
  <c r="X160" i="6"/>
  <c r="S87" i="6"/>
  <c r="V63" i="6"/>
  <c r="X14" i="6"/>
  <c r="G132" i="6"/>
  <c r="Y182" i="6"/>
  <c r="R31" i="6"/>
  <c r="U38" i="6"/>
  <c r="Y20" i="3"/>
  <c r="V166" i="6"/>
  <c r="P162" i="6"/>
  <c r="V162" i="6" s="1"/>
  <c r="G26" i="6"/>
  <c r="Y82" i="6"/>
  <c r="Y55" i="6"/>
  <c r="S162" i="6"/>
  <c r="S89" i="6"/>
  <c r="G167" i="6"/>
  <c r="Y108" i="6"/>
  <c r="Y159" i="3"/>
  <c r="G159" i="6"/>
  <c r="G85" i="6"/>
  <c r="R39" i="6"/>
  <c r="X159" i="6"/>
  <c r="V159" i="6"/>
  <c r="G130" i="6"/>
  <c r="U42" i="6"/>
  <c r="Y57" i="6"/>
  <c r="U93" i="6"/>
  <c r="G38" i="6"/>
  <c r="R89" i="6"/>
  <c r="P120" i="6"/>
  <c r="U120" i="6" s="1"/>
  <c r="S114" i="6"/>
  <c r="P173" i="6"/>
  <c r="Q173" i="6" s="1"/>
  <c r="G153" i="6"/>
  <c r="Y21" i="6"/>
  <c r="P45" i="6"/>
  <c r="U45" i="6" s="1"/>
  <c r="S50" i="6"/>
  <c r="AD187" i="6"/>
  <c r="AE187" i="6" s="1"/>
  <c r="AF187" i="6" s="1"/>
  <c r="Y102" i="3"/>
  <c r="A17" i="3"/>
  <c r="Y120" i="3"/>
  <c r="G109" i="6"/>
  <c r="X114" i="6"/>
  <c r="S203" i="6"/>
  <c r="S144" i="6"/>
  <c r="X186" i="6"/>
  <c r="R17" i="3"/>
  <c r="S17" i="3" s="1"/>
  <c r="S187" i="6"/>
  <c r="AD184" i="6"/>
  <c r="AE184" i="6" s="1"/>
  <c r="AF184" i="6" s="1"/>
  <c r="S156" i="6"/>
  <c r="Y162" i="3"/>
  <c r="Y171" i="6"/>
  <c r="O16" i="6"/>
  <c r="Y131" i="6"/>
  <c r="G139" i="6"/>
  <c r="Y185" i="3"/>
  <c r="S80" i="6"/>
  <c r="V173" i="6"/>
  <c r="X88" i="6"/>
  <c r="R181" i="6"/>
  <c r="S24" i="6"/>
  <c r="G70" i="6"/>
  <c r="G156" i="6"/>
  <c r="V170" i="6"/>
  <c r="S63" i="6"/>
  <c r="Y54" i="6"/>
  <c r="R159" i="6"/>
  <c r="S127" i="6"/>
  <c r="AD111" i="6"/>
  <c r="AE111" i="6" s="1"/>
  <c r="AF111" i="6" s="1"/>
  <c r="G105" i="6"/>
  <c r="R130" i="6"/>
  <c r="Y67" i="3"/>
  <c r="G191" i="6"/>
  <c r="S95" i="6"/>
  <c r="G171" i="6"/>
  <c r="R26" i="6"/>
  <c r="R153" i="6"/>
  <c r="V65" i="6"/>
  <c r="R176" i="6"/>
  <c r="R103" i="6"/>
  <c r="Y149" i="3"/>
  <c r="X79" i="6"/>
  <c r="R96" i="6"/>
  <c r="X71" i="6"/>
  <c r="Y39" i="3"/>
  <c r="S151" i="6"/>
  <c r="U33" i="6"/>
  <c r="J15" i="6"/>
  <c r="O15" i="6" s="1"/>
  <c r="AD138" i="6"/>
  <c r="AE138" i="6" s="1"/>
  <c r="AF138" i="6" s="1"/>
  <c r="G63" i="6"/>
  <c r="R129" i="6"/>
  <c r="X187" i="6"/>
  <c r="X207" i="6"/>
  <c r="Y163" i="3"/>
  <c r="X199" i="6"/>
  <c r="P80" i="6"/>
  <c r="Q80" i="6" s="1"/>
  <c r="V127" i="6"/>
  <c r="R156" i="6"/>
  <c r="AD99" i="6"/>
  <c r="AE99" i="6" s="1"/>
  <c r="AF99" i="6" s="1"/>
  <c r="AD112" i="6"/>
  <c r="AE112" i="6" s="1"/>
  <c r="AF112" i="6" s="1"/>
  <c r="V20" i="6"/>
  <c r="S20" i="6"/>
  <c r="AD183" i="6"/>
  <c r="AE183" i="6" s="1"/>
  <c r="AF183" i="6" s="1"/>
  <c r="G160" i="6"/>
  <c r="X27" i="6"/>
  <c r="X83" i="6"/>
  <c r="G24" i="6"/>
  <c r="V114" i="6"/>
  <c r="P203" i="6"/>
  <c r="U203" i="6" s="1"/>
  <c r="G187" i="6"/>
  <c r="Y172" i="6"/>
  <c r="X60" i="6"/>
  <c r="P26" i="6"/>
  <c r="AD26" i="6" s="1"/>
  <c r="AE26" i="6" s="1"/>
  <c r="AF26" i="6" s="1"/>
  <c r="Y102" i="6"/>
  <c r="Y64" i="3"/>
  <c r="U63" i="6"/>
  <c r="R158" i="6"/>
  <c r="Y57" i="3"/>
  <c r="R146" i="6"/>
  <c r="Y98" i="6"/>
  <c r="R24" i="6"/>
  <c r="R47" i="6"/>
  <c r="U21" i="6"/>
  <c r="O14" i="6"/>
  <c r="M14" i="3" s="1"/>
  <c r="R200" i="6"/>
  <c r="Y52" i="3"/>
  <c r="Y35" i="3"/>
  <c r="Y35" i="6"/>
  <c r="Y43" i="6"/>
  <c r="Y173" i="3"/>
  <c r="P22" i="6"/>
  <c r="V22" i="6" s="1"/>
  <c r="O12" i="6"/>
  <c r="X12" i="6" s="1"/>
  <c r="R91" i="6"/>
  <c r="S184" i="6"/>
  <c r="P159" i="6"/>
  <c r="S181" i="6"/>
  <c r="P103" i="6"/>
  <c r="AD103" i="6" s="1"/>
  <c r="AE103" i="6" s="1"/>
  <c r="AF103" i="6" s="1"/>
  <c r="Y113" i="3"/>
  <c r="Y94" i="3"/>
  <c r="AD72" i="6"/>
  <c r="AE72" i="6" s="1"/>
  <c r="AF72" i="6" s="1"/>
  <c r="S47" i="6"/>
  <c r="R15" i="3"/>
  <c r="Q15" i="3" s="1"/>
  <c r="X135" i="6"/>
  <c r="P129" i="6"/>
  <c r="Q129" i="6" s="1"/>
  <c r="AD70" i="6"/>
  <c r="AE70" i="6" s="1"/>
  <c r="AF70" i="6" s="1"/>
  <c r="P85" i="6"/>
  <c r="AD63" i="6"/>
  <c r="AE63" i="6" s="1"/>
  <c r="AF63" i="6" s="1"/>
  <c r="G129" i="6"/>
  <c r="P190" i="6"/>
  <c r="V190" i="6" s="1"/>
  <c r="U184" i="6"/>
  <c r="Y80" i="3"/>
  <c r="R80" i="6"/>
  <c r="S173" i="6"/>
  <c r="Y105" i="3"/>
  <c r="Y191" i="6"/>
  <c r="P171" i="6"/>
  <c r="V171" i="6" s="1"/>
  <c r="P181" i="6"/>
  <c r="Q181" i="6" s="1"/>
  <c r="V38" i="6"/>
  <c r="P58" i="6"/>
  <c r="AD58" i="6" s="1"/>
  <c r="AE58" i="6" s="1"/>
  <c r="AF58" i="6" s="1"/>
  <c r="R178" i="6"/>
  <c r="R177" i="6"/>
  <c r="AD102" i="6"/>
  <c r="AE102" i="6" s="1"/>
  <c r="AF102" i="6" s="1"/>
  <c r="P36" i="6"/>
  <c r="V36" i="6" s="1"/>
  <c r="U65" i="6"/>
  <c r="Y137" i="3"/>
  <c r="P132" i="6"/>
  <c r="AD132" i="6" s="1"/>
  <c r="AE132" i="6" s="1"/>
  <c r="AF132" i="6" s="1"/>
  <c r="P95" i="6"/>
  <c r="Q95" i="6" s="1"/>
  <c r="R173" i="6"/>
  <c r="V148" i="6"/>
  <c r="R63" i="6"/>
  <c r="R187" i="6"/>
  <c r="Y194" i="6"/>
  <c r="V75" i="6"/>
  <c r="S159" i="6"/>
  <c r="P200" i="6"/>
  <c r="AD200" i="6" s="1"/>
  <c r="AE200" i="6" s="1"/>
  <c r="AF200" i="6" s="1"/>
  <c r="R112" i="6"/>
  <c r="R162" i="6"/>
  <c r="G120" i="6"/>
  <c r="X104" i="6"/>
  <c r="P43" i="6"/>
  <c r="U173" i="6"/>
  <c r="R95" i="6"/>
  <c r="S26" i="6"/>
  <c r="S146" i="6"/>
  <c r="P191" i="6"/>
  <c r="U191" i="6" s="1"/>
  <c r="Y171" i="3"/>
  <c r="S157" i="6"/>
  <c r="G176" i="6"/>
  <c r="U70" i="6"/>
  <c r="R85" i="6"/>
  <c r="G33" i="6"/>
  <c r="Y37" i="3"/>
  <c r="Y135" i="3"/>
  <c r="Y180" i="3"/>
  <c r="Q114" i="6"/>
  <c r="R104" i="6"/>
  <c r="Y202" i="3"/>
  <c r="G148" i="6"/>
  <c r="P161" i="6"/>
  <c r="U161" i="6" s="1"/>
  <c r="Y127" i="6"/>
  <c r="R116" i="6"/>
  <c r="P166" i="6"/>
  <c r="AD166" i="6" s="1"/>
  <c r="AE166" i="6" s="1"/>
  <c r="AF166" i="6" s="1"/>
  <c r="V69" i="6"/>
  <c r="P130" i="6"/>
  <c r="Q130" i="6" s="1"/>
  <c r="Y200" i="3"/>
  <c r="Y152" i="3"/>
  <c r="Y147" i="6"/>
  <c r="X67" i="6"/>
  <c r="G112" i="6"/>
  <c r="R144" i="6"/>
  <c r="Y32" i="3"/>
  <c r="R171" i="6"/>
  <c r="Y160" i="3"/>
  <c r="S58" i="6"/>
  <c r="S178" i="6"/>
  <c r="Y131" i="3"/>
  <c r="Y70" i="3"/>
  <c r="V139" i="6"/>
  <c r="Y74" i="3"/>
  <c r="G170" i="6"/>
  <c r="P157" i="6"/>
  <c r="Q157" i="6" s="1"/>
  <c r="AD37" i="6"/>
  <c r="AE37" i="6" s="1"/>
  <c r="AF37" i="6" s="1"/>
  <c r="G208" i="6"/>
  <c r="V184" i="6"/>
  <c r="AD76" i="6"/>
  <c r="AE76" i="6" s="1"/>
  <c r="AF76" i="6" s="1"/>
  <c r="P116" i="6"/>
  <c r="Q116" i="6" s="1"/>
  <c r="Y69" i="6"/>
  <c r="S130" i="6"/>
  <c r="S147" i="6"/>
  <c r="AD42" i="6"/>
  <c r="AE42" i="6" s="1"/>
  <c r="AF42" i="6" s="1"/>
  <c r="P193" i="6"/>
  <c r="Q193" i="6" s="1"/>
  <c r="P153" i="6"/>
  <c r="Q153" i="6" s="1"/>
  <c r="V25" i="6"/>
  <c r="U25" i="6"/>
  <c r="Q25" i="6"/>
  <c r="AD144" i="6"/>
  <c r="AE144" i="6" s="1"/>
  <c r="AF144" i="6" s="1"/>
  <c r="Q144" i="6"/>
  <c r="V144" i="6"/>
  <c r="U144" i="6"/>
  <c r="AD90" i="6"/>
  <c r="AE90" i="6" s="1"/>
  <c r="AF90" i="6" s="1"/>
  <c r="Q117" i="6"/>
  <c r="U117" i="6"/>
  <c r="Q119" i="6"/>
  <c r="U119" i="6"/>
  <c r="Q155" i="6"/>
  <c r="U155" i="6"/>
  <c r="Q176" i="6"/>
  <c r="AD176" i="6"/>
  <c r="AE176" i="6" s="1"/>
  <c r="AF176" i="6" s="1"/>
  <c r="AD133" i="6"/>
  <c r="AE133" i="6" s="1"/>
  <c r="AF133" i="6" s="1"/>
  <c r="V133" i="6"/>
  <c r="Q133" i="6"/>
  <c r="Q24" i="6"/>
  <c r="U24" i="6"/>
  <c r="AD24" i="6"/>
  <c r="AE24" i="6" s="1"/>
  <c r="AF24" i="6" s="1"/>
  <c r="V196" i="6"/>
  <c r="V179" i="6"/>
  <c r="Q141" i="6"/>
  <c r="AD141" i="6"/>
  <c r="AE141" i="6" s="1"/>
  <c r="AF141" i="6" s="1"/>
  <c r="AD174" i="6"/>
  <c r="AE174" i="6" s="1"/>
  <c r="AF174" i="6" s="1"/>
  <c r="Q174" i="6"/>
  <c r="J14" i="3"/>
  <c r="P14" i="3"/>
  <c r="N14" i="3"/>
  <c r="Q50" i="6"/>
  <c r="U50" i="6"/>
  <c r="V50" i="6"/>
  <c r="AD50" i="6"/>
  <c r="AE50" i="6" s="1"/>
  <c r="AF50" i="6" s="1"/>
  <c r="U100" i="6"/>
  <c r="AD100" i="6"/>
  <c r="AE100" i="6" s="1"/>
  <c r="AF100" i="6" s="1"/>
  <c r="V100" i="6"/>
  <c r="Q100" i="6"/>
  <c r="Q19" i="6"/>
  <c r="U19" i="6"/>
  <c r="V19" i="6"/>
  <c r="Q202" i="6"/>
  <c r="U202" i="6"/>
  <c r="V202" i="6"/>
  <c r="Q104" i="6"/>
  <c r="U104" i="6"/>
  <c r="Q146" i="6"/>
  <c r="U146" i="6"/>
  <c r="AD109" i="6"/>
  <c r="AE109" i="6" s="1"/>
  <c r="AF109" i="6" s="1"/>
  <c r="V109" i="6"/>
  <c r="U109" i="6"/>
  <c r="Q109" i="6"/>
  <c r="Q178" i="6"/>
  <c r="AD178" i="6"/>
  <c r="AE178" i="6" s="1"/>
  <c r="AF178" i="6" s="1"/>
  <c r="Q89" i="6"/>
  <c r="U89" i="6"/>
  <c r="V89" i="6"/>
  <c r="AD89" i="6"/>
  <c r="AE89" i="6" s="1"/>
  <c r="AF89" i="6" s="1"/>
  <c r="Q88" i="6"/>
  <c r="AD88" i="6"/>
  <c r="AE88" i="6" s="1"/>
  <c r="AF88" i="6" s="1"/>
  <c r="J17" i="3"/>
  <c r="T33" i="2"/>
  <c r="V94" i="6"/>
  <c r="AD94" i="6"/>
  <c r="AE94" i="6" s="1"/>
  <c r="AF94" i="6" s="1"/>
  <c r="Q94" i="6"/>
  <c r="U94" i="6"/>
  <c r="V86" i="6"/>
  <c r="Q86" i="6"/>
  <c r="U86" i="6"/>
  <c r="AD86" i="6"/>
  <c r="AE86" i="6" s="1"/>
  <c r="AF86" i="6" s="1"/>
  <c r="AD156" i="6"/>
  <c r="AE156" i="6" s="1"/>
  <c r="AF156" i="6" s="1"/>
  <c r="U156" i="6"/>
  <c r="V156" i="6"/>
  <c r="Q156" i="6"/>
  <c r="V128" i="6"/>
  <c r="Q121" i="6"/>
  <c r="V121" i="6"/>
  <c r="U121" i="6"/>
  <c r="AD121" i="6"/>
  <c r="AE121" i="6" s="1"/>
  <c r="AF121" i="6" s="1"/>
  <c r="R12" i="3"/>
  <c r="U97" i="6"/>
  <c r="Q97" i="6"/>
  <c r="AD97" i="6"/>
  <c r="AE97" i="6" s="1"/>
  <c r="AF97" i="6" s="1"/>
  <c r="V97" i="6"/>
  <c r="P16" i="6"/>
  <c r="Q16" i="6" s="1"/>
  <c r="S185" i="6"/>
  <c r="Q14" i="6"/>
  <c r="Q165" i="6"/>
  <c r="Y181" i="6"/>
  <c r="G206" i="6"/>
  <c r="P118" i="6"/>
  <c r="AD118" i="6" s="1"/>
  <c r="AE118" i="6" s="1"/>
  <c r="AF118" i="6" s="1"/>
  <c r="G16" i="3"/>
  <c r="S128" i="6"/>
  <c r="Q37" i="6"/>
  <c r="S204" i="6"/>
  <c r="Y80" i="6"/>
  <c r="V205" i="6"/>
  <c r="V131" i="6"/>
  <c r="Y129" i="6"/>
  <c r="P123" i="6"/>
  <c r="Q123" i="6" s="1"/>
  <c r="G135" i="6"/>
  <c r="R137" i="6"/>
  <c r="P179" i="6"/>
  <c r="Q179" i="6" s="1"/>
  <c r="AD104" i="6"/>
  <c r="AE104" i="6" s="1"/>
  <c r="AF104" i="6" s="1"/>
  <c r="V99" i="6"/>
  <c r="G16" i="6"/>
  <c r="W16" i="6" s="1"/>
  <c r="Y16" i="6" s="1"/>
  <c r="S113" i="6"/>
  <c r="AD179" i="6"/>
  <c r="AE179" i="6" s="1"/>
  <c r="AF179" i="6" s="1"/>
  <c r="Y194" i="3"/>
  <c r="Y46" i="3"/>
  <c r="U111" i="6"/>
  <c r="X63" i="6"/>
  <c r="U141" i="6"/>
  <c r="S56" i="6"/>
  <c r="V42" i="6"/>
  <c r="S206" i="6"/>
  <c r="G28" i="6"/>
  <c r="Y142" i="6"/>
  <c r="AD165" i="6"/>
  <c r="AE165" i="6" s="1"/>
  <c r="AF165" i="6" s="1"/>
  <c r="P196" i="6"/>
  <c r="R53" i="6"/>
  <c r="Y195" i="3"/>
  <c r="G179" i="6"/>
  <c r="Q96" i="6"/>
  <c r="P15" i="6"/>
  <c r="Q15" i="6" s="1"/>
  <c r="Q111" i="6"/>
  <c r="Y183" i="3"/>
  <c r="G71" i="6"/>
  <c r="P128" i="6"/>
  <c r="Q128" i="6" s="1"/>
  <c r="P142" i="6"/>
  <c r="Q142" i="6" s="1"/>
  <c r="P23" i="6"/>
  <c r="Q23" i="6" s="1"/>
  <c r="Y58" i="3"/>
  <c r="Y126" i="3"/>
  <c r="Y167" i="3"/>
  <c r="Y192" i="3"/>
  <c r="P192" i="6"/>
  <c r="Q192" i="6" s="1"/>
  <c r="Y202" i="6"/>
  <c r="Y30" i="3"/>
  <c r="AD160" i="6"/>
  <c r="AE160" i="6" s="1"/>
  <c r="AF160" i="6" s="1"/>
  <c r="R13" i="3"/>
  <c r="G141" i="6"/>
  <c r="Q203" i="6"/>
  <c r="Y91" i="3"/>
  <c r="Y60" i="3"/>
  <c r="S131" i="6"/>
  <c r="G113" i="6"/>
  <c r="G169" i="6"/>
  <c r="Y146" i="6"/>
  <c r="P53" i="6"/>
  <c r="Q53" i="6" s="1"/>
  <c r="X154" i="6"/>
  <c r="P54" i="6"/>
  <c r="Q54" i="6" s="1"/>
  <c r="AD148" i="6"/>
  <c r="AE148" i="6" s="1"/>
  <c r="AF148" i="6" s="1"/>
  <c r="X158" i="6"/>
  <c r="AD182" i="6"/>
  <c r="AE182" i="6" s="1"/>
  <c r="AF182" i="6" s="1"/>
  <c r="Y36" i="3"/>
  <c r="P77" i="6"/>
  <c r="Q77" i="6" s="1"/>
  <c r="Y189" i="3"/>
  <c r="Q76" i="6"/>
  <c r="X19" i="6"/>
  <c r="U99" i="6"/>
  <c r="P31" i="6"/>
  <c r="U31" i="6" s="1"/>
  <c r="Y25" i="3"/>
  <c r="P62" i="6"/>
  <c r="AD62" i="6" s="1"/>
  <c r="AE62" i="6" s="1"/>
  <c r="AF62" i="6" s="1"/>
  <c r="P71" i="6"/>
  <c r="Q139" i="6"/>
  <c r="P81" i="6"/>
  <c r="Q81" i="6" s="1"/>
  <c r="Y114" i="3"/>
  <c r="R68" i="6"/>
  <c r="X107" i="6"/>
  <c r="Y72" i="3"/>
  <c r="Y119" i="3"/>
  <c r="P204" i="6"/>
  <c r="Q204" i="6" s="1"/>
  <c r="S138" i="6"/>
  <c r="Y99" i="6"/>
  <c r="Y178" i="3"/>
  <c r="M11" i="3"/>
  <c r="X11" i="6"/>
  <c r="N11" i="3"/>
  <c r="Y11" i="6"/>
  <c r="O11" i="3" s="1"/>
  <c r="Y119" i="6"/>
  <c r="AD21" i="6"/>
  <c r="AE21" i="6" s="1"/>
  <c r="AF21" i="6" s="1"/>
  <c r="X188" i="6"/>
  <c r="X87" i="6"/>
  <c r="X44" i="6"/>
  <c r="R98" i="6"/>
  <c r="Y103" i="6"/>
  <c r="S175" i="6"/>
  <c r="G104" i="6"/>
  <c r="G78" i="6"/>
  <c r="S75" i="6"/>
  <c r="Q186" i="6"/>
  <c r="F16" i="3"/>
  <c r="U139" i="6"/>
  <c r="AD155" i="6"/>
  <c r="AE155" i="6" s="1"/>
  <c r="AF155" i="6" s="1"/>
  <c r="V40" i="6"/>
  <c r="Y68" i="3"/>
  <c r="R16" i="6"/>
  <c r="S16" i="6" s="1"/>
  <c r="G81" i="6"/>
  <c r="Y144" i="3"/>
  <c r="P205" i="6"/>
  <c r="Q205" i="6" s="1"/>
  <c r="X84" i="6"/>
  <c r="V28" i="6"/>
  <c r="Y117" i="6"/>
  <c r="S81" i="6"/>
  <c r="G108" i="6"/>
  <c r="G90" i="6"/>
  <c r="S40" i="6"/>
  <c r="AD128" i="6"/>
  <c r="AE128" i="6" s="1"/>
  <c r="AF128" i="6" s="1"/>
  <c r="U136" i="6"/>
  <c r="R74" i="6"/>
  <c r="X18" i="6"/>
  <c r="P199" i="6"/>
  <c r="Q199" i="6" s="1"/>
  <c r="R198" i="6"/>
  <c r="R28" i="6"/>
  <c r="S123" i="6"/>
  <c r="U176" i="6"/>
  <c r="P135" i="6"/>
  <c r="AD135" i="6" s="1"/>
  <c r="AE135" i="6" s="1"/>
  <c r="AF135" i="6" s="1"/>
  <c r="G185" i="6"/>
  <c r="G128" i="6"/>
  <c r="X85" i="6"/>
  <c r="Y21" i="3"/>
  <c r="Y104" i="3"/>
  <c r="X41" i="6"/>
  <c r="Y134" i="6"/>
  <c r="Y132" i="3"/>
  <c r="Y132" i="6"/>
  <c r="P198" i="6"/>
  <c r="Q198" i="6" s="1"/>
  <c r="AD28" i="6"/>
  <c r="AE28" i="6" s="1"/>
  <c r="AF28" i="6" s="1"/>
  <c r="U40" i="6"/>
  <c r="P56" i="6"/>
  <c r="Q56" i="6" s="1"/>
  <c r="Q183" i="6"/>
  <c r="Q171" i="6"/>
  <c r="G117" i="6"/>
  <c r="Y182" i="3"/>
  <c r="P98" i="6"/>
  <c r="U98" i="6" s="1"/>
  <c r="G62" i="6"/>
  <c r="X177" i="6"/>
  <c r="S176" i="6"/>
  <c r="Y165" i="3"/>
  <c r="R149" i="6"/>
  <c r="G131" i="6"/>
  <c r="V96" i="6"/>
  <c r="X94" i="6"/>
  <c r="R29" i="6"/>
  <c r="Y91" i="6"/>
  <c r="Q187" i="6"/>
  <c r="Y190" i="3"/>
  <c r="S41" i="6"/>
  <c r="S199" i="6"/>
  <c r="R108" i="6"/>
  <c r="Y92" i="3"/>
  <c r="G198" i="6"/>
  <c r="Y130" i="3"/>
  <c r="Y103" i="3"/>
  <c r="Y96" i="6"/>
  <c r="X33" i="6"/>
  <c r="X47" i="6"/>
  <c r="P12" i="6"/>
  <c r="U12" i="6" s="1"/>
  <c r="S74" i="6"/>
  <c r="P41" i="6"/>
  <c r="AD41" i="6" s="1"/>
  <c r="AE41" i="6" s="1"/>
  <c r="AF41" i="6" s="1"/>
  <c r="Y108" i="3"/>
  <c r="P90" i="6"/>
  <c r="U90" i="6" s="1"/>
  <c r="Y99" i="3"/>
  <c r="V168" i="6"/>
  <c r="AD193" i="6"/>
  <c r="AE193" i="6" s="1"/>
  <c r="AF193" i="6" s="1"/>
  <c r="AD29" i="6"/>
  <c r="AE29" i="6" s="1"/>
  <c r="AF29" i="6" s="1"/>
  <c r="G197" i="6"/>
  <c r="AD38" i="6"/>
  <c r="AE38" i="6" s="1"/>
  <c r="AF38" i="6" s="1"/>
  <c r="Y82" i="3"/>
  <c r="R125" i="6"/>
  <c r="G21" i="6"/>
  <c r="P167" i="6"/>
  <c r="Y158" i="3"/>
  <c r="R196" i="6"/>
  <c r="P113" i="6"/>
  <c r="Q113" i="6" s="1"/>
  <c r="Y47" i="3"/>
  <c r="S23" i="6"/>
  <c r="R194" i="6"/>
  <c r="S76" i="6"/>
  <c r="V21" i="6"/>
  <c r="P87" i="6"/>
  <c r="AD116" i="6"/>
  <c r="AE116" i="6" s="1"/>
  <c r="AF116" i="6" s="1"/>
  <c r="G45" i="6"/>
  <c r="AD20" i="6"/>
  <c r="AE20" i="6" s="1"/>
  <c r="AF20" i="6" s="1"/>
  <c r="G59" i="6"/>
  <c r="Y31" i="6"/>
  <c r="G93" i="6"/>
  <c r="Y205" i="3"/>
  <c r="Y100" i="3"/>
  <c r="Y139" i="3"/>
  <c r="X175" i="6"/>
  <c r="X170" i="6"/>
  <c r="X13" i="6"/>
  <c r="G37" i="6"/>
  <c r="G56" i="6"/>
  <c r="Y118" i="3"/>
  <c r="G196" i="6"/>
  <c r="S64" i="6"/>
  <c r="V113" i="6"/>
  <c r="R175" i="6"/>
  <c r="X208" i="6"/>
  <c r="S78" i="6"/>
  <c r="V80" i="6"/>
  <c r="G166" i="6"/>
  <c r="Y55" i="3"/>
  <c r="AD19" i="6"/>
  <c r="AE19" i="6" s="1"/>
  <c r="AF19" i="6" s="1"/>
  <c r="Q20" i="6"/>
  <c r="Y95" i="3"/>
  <c r="U174" i="6"/>
  <c r="Y101" i="6"/>
  <c r="S182" i="6"/>
  <c r="S57" i="6"/>
  <c r="R77" i="6"/>
  <c r="Y106" i="3"/>
  <c r="X81" i="6"/>
  <c r="P151" i="6"/>
  <c r="U151" i="6" s="1"/>
  <c r="X151" i="6"/>
  <c r="AD33" i="6"/>
  <c r="AE33" i="6" s="1"/>
  <c r="AF33" i="6" s="1"/>
  <c r="P175" i="6"/>
  <c r="U175" i="6" s="1"/>
  <c r="Y74" i="6"/>
  <c r="P115" i="6"/>
  <c r="Q115" i="6" s="1"/>
  <c r="U138" i="6"/>
  <c r="R21" i="6"/>
  <c r="G137" i="6"/>
  <c r="X155" i="6"/>
  <c r="R154" i="6"/>
  <c r="V141" i="6"/>
  <c r="Y203" i="3"/>
  <c r="G133" i="6"/>
  <c r="R97" i="6"/>
  <c r="Y78" i="3"/>
  <c r="Y75" i="3"/>
  <c r="S69" i="6"/>
  <c r="S111" i="6"/>
  <c r="Y90" i="3"/>
  <c r="Y28" i="6"/>
  <c r="P152" i="6"/>
  <c r="Q152" i="6" s="1"/>
  <c r="P44" i="6"/>
  <c r="V44" i="6" s="1"/>
  <c r="G40" i="6"/>
  <c r="Y56" i="6"/>
  <c r="R147" i="6"/>
  <c r="Y86" i="3"/>
  <c r="S169" i="6"/>
  <c r="R88" i="6"/>
  <c r="R20" i="6"/>
  <c r="R123" i="6"/>
  <c r="G168" i="6"/>
  <c r="G61" i="6"/>
  <c r="AD146" i="6"/>
  <c r="AE146" i="6" s="1"/>
  <c r="AF146" i="6" s="1"/>
  <c r="U160" i="6"/>
  <c r="S93" i="6"/>
  <c r="G25" i="6"/>
  <c r="Y24" i="3"/>
  <c r="Y62" i="6"/>
  <c r="V178" i="6"/>
  <c r="Y22" i="3"/>
  <c r="X32" i="6"/>
  <c r="G158" i="6"/>
  <c r="R145" i="6"/>
  <c r="X124" i="6"/>
  <c r="AD131" i="6"/>
  <c r="AE131" i="6" s="1"/>
  <c r="AF131" i="6" s="1"/>
  <c r="P18" i="6"/>
  <c r="V18" i="6" s="1"/>
  <c r="Y109" i="3"/>
  <c r="S13" i="6"/>
  <c r="S29" i="6"/>
  <c r="S126" i="6"/>
  <c r="Y185" i="6"/>
  <c r="Y184" i="3"/>
  <c r="Y204" i="3"/>
  <c r="U127" i="6"/>
  <c r="R152" i="6"/>
  <c r="P57" i="6"/>
  <c r="Q57" i="6" s="1"/>
  <c r="S98" i="6"/>
  <c r="P17" i="6"/>
  <c r="AD17" i="6" s="1"/>
  <c r="AE17" i="6" s="1"/>
  <c r="P52" i="6"/>
  <c r="G118" i="6"/>
  <c r="S196" i="6"/>
  <c r="Y136" i="6"/>
  <c r="Y121" i="3"/>
  <c r="U73" i="6"/>
  <c r="G54" i="6"/>
  <c r="Y133" i="6"/>
  <c r="U187" i="6"/>
  <c r="P194" i="6"/>
  <c r="Q194" i="6" s="1"/>
  <c r="U143" i="6"/>
  <c r="S92" i="6"/>
  <c r="Y40" i="3"/>
  <c r="P169" i="6"/>
  <c r="Q169" i="6" s="1"/>
  <c r="Y112" i="3"/>
  <c r="V174" i="6"/>
  <c r="S142" i="6"/>
  <c r="R25" i="6"/>
  <c r="U102" i="6"/>
  <c r="P64" i="6"/>
  <c r="Q64" i="6" s="1"/>
  <c r="G18" i="6"/>
  <c r="Q73" i="6"/>
  <c r="G207" i="6"/>
  <c r="U134" i="6"/>
  <c r="P124" i="6"/>
  <c r="V124" i="6" s="1"/>
  <c r="AD25" i="6"/>
  <c r="AE25" i="6" s="1"/>
  <c r="AF25" i="6" s="1"/>
  <c r="V102" i="6"/>
  <c r="Y150" i="3"/>
  <c r="V167" i="6"/>
  <c r="Y206" i="6"/>
  <c r="R69" i="6"/>
  <c r="G200" i="6"/>
  <c r="V112" i="6"/>
  <c r="V32" i="6"/>
  <c r="V146" i="6"/>
  <c r="R38" i="6"/>
  <c r="S150" i="6"/>
  <c r="S149" i="6"/>
  <c r="R131" i="6"/>
  <c r="U165" i="6"/>
  <c r="S71" i="6"/>
  <c r="S195" i="6"/>
  <c r="Y85" i="3"/>
  <c r="Y151" i="3"/>
  <c r="G72" i="6"/>
  <c r="Y33" i="3"/>
  <c r="P47" i="6"/>
  <c r="AD47" i="6" s="1"/>
  <c r="AE47" i="6" s="1"/>
  <c r="AF47" i="6" s="1"/>
  <c r="AD119" i="6"/>
  <c r="AE119" i="6" s="1"/>
  <c r="AF119" i="6" s="1"/>
  <c r="Y23" i="3"/>
  <c r="Y115" i="3"/>
  <c r="R115" i="6"/>
  <c r="G125" i="6"/>
  <c r="G48" i="6"/>
  <c r="V138" i="6"/>
  <c r="R138" i="6"/>
  <c r="S21" i="6"/>
  <c r="Y73" i="3"/>
  <c r="G29" i="6"/>
  <c r="U29" i="6"/>
  <c r="R197" i="6"/>
  <c r="AD140" i="6"/>
  <c r="AE140" i="6" s="1"/>
  <c r="AF140" i="6" s="1"/>
  <c r="U133" i="6"/>
  <c r="X192" i="6"/>
  <c r="P172" i="6"/>
  <c r="Q172" i="6" s="1"/>
  <c r="P207" i="6"/>
  <c r="U207" i="6" s="1"/>
  <c r="Y41" i="3"/>
  <c r="G163" i="6"/>
  <c r="P108" i="6"/>
  <c r="Q108" i="6" s="1"/>
  <c r="S97" i="6"/>
  <c r="P78" i="6"/>
  <c r="Q78" i="6" s="1"/>
  <c r="R143" i="6"/>
  <c r="X76" i="6"/>
  <c r="Y43" i="3"/>
  <c r="R132" i="6"/>
  <c r="Y116" i="6"/>
  <c r="G68" i="6"/>
  <c r="S68" i="6"/>
  <c r="G92" i="6"/>
  <c r="U28" i="6"/>
  <c r="R44" i="6"/>
  <c r="R56" i="6"/>
  <c r="U67" i="6"/>
  <c r="R66" i="6"/>
  <c r="P59" i="6"/>
  <c r="U59" i="6" s="1"/>
  <c r="Y174" i="6"/>
  <c r="Y101" i="3"/>
  <c r="R168" i="6"/>
  <c r="U193" i="6"/>
  <c r="G146" i="6"/>
  <c r="V160" i="6"/>
  <c r="G178" i="6"/>
  <c r="Y177" i="3"/>
  <c r="G102" i="6"/>
  <c r="G205" i="6"/>
  <c r="Y27" i="3"/>
  <c r="P27" i="6"/>
  <c r="V27" i="6" s="1"/>
  <c r="P84" i="6"/>
  <c r="Q84" i="6" s="1"/>
  <c r="G27" i="6"/>
  <c r="Y157" i="6"/>
  <c r="S141" i="6"/>
  <c r="G202" i="6"/>
  <c r="P163" i="6"/>
  <c r="V163" i="6" s="1"/>
  <c r="V143" i="6"/>
  <c r="U112" i="6"/>
  <c r="R182" i="6"/>
  <c r="R57" i="6"/>
  <c r="G124" i="6"/>
  <c r="AD65" i="6"/>
  <c r="AE65" i="6" s="1"/>
  <c r="AF65" i="6" s="1"/>
  <c r="S165" i="6"/>
  <c r="R52" i="6"/>
  <c r="R118" i="6"/>
  <c r="Y71" i="3"/>
  <c r="V72" i="6"/>
  <c r="R33" i="6"/>
  <c r="Y197" i="6"/>
  <c r="V76" i="6"/>
  <c r="Q127" i="6"/>
  <c r="Y166" i="3"/>
  <c r="P158" i="6"/>
  <c r="AD158" i="6" s="1"/>
  <c r="AE158" i="6" s="1"/>
  <c r="AF158" i="6" s="1"/>
  <c r="X164" i="6"/>
  <c r="G31" i="6"/>
  <c r="G82" i="6"/>
  <c r="Y176" i="3"/>
  <c r="V176" i="6"/>
  <c r="X165" i="6"/>
  <c r="X52" i="6"/>
  <c r="R201" i="6"/>
  <c r="V107" i="6"/>
  <c r="AD96" i="6"/>
  <c r="AE96" i="6" s="1"/>
  <c r="AF96" i="6" s="1"/>
  <c r="Y106" i="6"/>
  <c r="P106" i="6"/>
  <c r="AD106" i="6" s="1"/>
  <c r="AE106" i="6" s="1"/>
  <c r="AF106" i="6" s="1"/>
  <c r="Y81" i="3"/>
  <c r="S120" i="6"/>
  <c r="P39" i="6"/>
  <c r="AD39" i="6" s="1"/>
  <c r="AE39" i="6" s="1"/>
  <c r="AF39" i="6" s="1"/>
  <c r="Y175" i="3"/>
  <c r="G119" i="6"/>
  <c r="X23" i="6"/>
  <c r="S109" i="6"/>
  <c r="P125" i="6"/>
  <c r="Q125" i="6" s="1"/>
  <c r="Y170" i="3"/>
  <c r="U170" i="6"/>
  <c r="R157" i="6"/>
  <c r="Y49" i="6"/>
  <c r="V29" i="6"/>
  <c r="S84" i="6"/>
  <c r="R135" i="6"/>
  <c r="S137" i="6"/>
  <c r="G155" i="6"/>
  <c r="V155" i="6"/>
  <c r="P126" i="6"/>
  <c r="V126" i="6" s="1"/>
  <c r="P197" i="6"/>
  <c r="V197" i="6" s="1"/>
  <c r="R179" i="6"/>
  <c r="G172" i="6"/>
  <c r="S163" i="6"/>
  <c r="P51" i="6"/>
  <c r="Q51" i="6" s="1"/>
  <c r="Q134" i="6"/>
  <c r="S143" i="6"/>
  <c r="P189" i="6"/>
  <c r="AD189" i="6" s="1"/>
  <c r="AE189" i="6" s="1"/>
  <c r="AF189" i="6" s="1"/>
  <c r="Y76" i="3"/>
  <c r="Y148" i="3"/>
  <c r="X198" i="6"/>
  <c r="S200" i="6"/>
  <c r="Y45" i="3"/>
  <c r="R55" i="6"/>
  <c r="V67" i="6"/>
  <c r="Y86" i="6"/>
  <c r="P60" i="6"/>
  <c r="AD60" i="6" s="1"/>
  <c r="AE60" i="6" s="1"/>
  <c r="AF60" i="6" s="1"/>
  <c r="P66" i="6"/>
  <c r="X95" i="6"/>
  <c r="Y174" i="3"/>
  <c r="G123" i="6"/>
  <c r="S101" i="6"/>
  <c r="U168" i="6"/>
  <c r="R61" i="6"/>
  <c r="P177" i="6"/>
  <c r="AD177" i="6" s="1"/>
  <c r="AE177" i="6" s="1"/>
  <c r="AF177" i="6" s="1"/>
  <c r="S153" i="6"/>
  <c r="Y83" i="3"/>
  <c r="R83" i="6"/>
  <c r="G75" i="6"/>
  <c r="Y130" i="6"/>
  <c r="U147" i="6"/>
  <c r="V88" i="6"/>
  <c r="X162" i="6"/>
  <c r="G174" i="6"/>
  <c r="Y164" i="3"/>
  <c r="P145" i="6"/>
  <c r="Q145" i="6" s="1"/>
  <c r="P201" i="6"/>
  <c r="U201" i="6" s="1"/>
  <c r="R126" i="6"/>
  <c r="R81" i="6"/>
  <c r="S54" i="6"/>
  <c r="Y187" i="3"/>
  <c r="S104" i="6"/>
  <c r="G41" i="6"/>
  <c r="S108" i="6"/>
  <c r="Y169" i="3"/>
  <c r="V164" i="6"/>
  <c r="X25" i="6"/>
  <c r="P92" i="6"/>
  <c r="V92" i="6" s="1"/>
  <c r="R90" i="6"/>
  <c r="G152" i="6"/>
  <c r="Q32" i="6"/>
  <c r="Y98" i="3"/>
  <c r="G201" i="6"/>
  <c r="U131" i="6"/>
  <c r="P154" i="6"/>
  <c r="Q154" i="6" s="1"/>
  <c r="R141" i="6"/>
  <c r="U167" i="6"/>
  <c r="R75" i="6"/>
  <c r="S90" i="6"/>
  <c r="G66" i="6"/>
  <c r="P101" i="6"/>
  <c r="Q101" i="6" s="1"/>
  <c r="X17" i="6"/>
  <c r="P35" i="6"/>
  <c r="Q35" i="6" s="1"/>
  <c r="P82" i="6"/>
  <c r="U82" i="6" s="1"/>
  <c r="X149" i="6"/>
  <c r="Y110" i="3"/>
  <c r="V134" i="6"/>
  <c r="P68" i="6"/>
  <c r="Q68" i="6" s="1"/>
  <c r="R117" i="6"/>
  <c r="Y31" i="3"/>
  <c r="S25" i="6"/>
  <c r="V24" i="6"/>
  <c r="U178" i="6"/>
  <c r="N16" i="3"/>
  <c r="G150" i="6"/>
  <c r="P150" i="6"/>
  <c r="P149" i="6"/>
  <c r="Q149" i="6" s="1"/>
  <c r="G107" i="6"/>
  <c r="X53" i="6"/>
  <c r="R113" i="6"/>
  <c r="V119" i="6"/>
  <c r="S125" i="6"/>
  <c r="P13" i="6"/>
  <c r="Q13" i="6" s="1"/>
  <c r="Y84" i="3"/>
  <c r="S135" i="6"/>
  <c r="Y63" i="3"/>
  <c r="P137" i="6"/>
  <c r="Q137" i="6" s="1"/>
  <c r="X180" i="6"/>
  <c r="P180" i="6"/>
  <c r="U180" i="6" s="1"/>
  <c r="G154" i="6"/>
  <c r="Y197" i="3"/>
  <c r="S179" i="6"/>
  <c r="R54" i="6"/>
  <c r="G192" i="6"/>
  <c r="Y172" i="3"/>
  <c r="R172" i="6"/>
  <c r="R163" i="6"/>
  <c r="P208" i="6"/>
  <c r="Y122" i="3"/>
  <c r="Y143" i="3"/>
  <c r="U75" i="6"/>
  <c r="Y161" i="3"/>
  <c r="X166" i="6"/>
  <c r="AD69" i="6"/>
  <c r="AE69" i="6" s="1"/>
  <c r="AF69" i="6" s="1"/>
  <c r="Y188" i="3"/>
  <c r="P188" i="6"/>
  <c r="Q188" i="6" s="1"/>
  <c r="X40" i="6"/>
  <c r="R45" i="6"/>
  <c r="Y56" i="3"/>
  <c r="G19" i="6"/>
  <c r="R59" i="6"/>
  <c r="AD32" i="6"/>
  <c r="AE32" i="6" s="1"/>
  <c r="AF32" i="6" s="1"/>
  <c r="G142" i="6"/>
  <c r="AD117" i="6"/>
  <c r="AE117" i="6" s="1"/>
  <c r="AF117" i="6" s="1"/>
  <c r="S61" i="6"/>
  <c r="R193" i="6"/>
  <c r="R62" i="6"/>
  <c r="S102" i="6"/>
  <c r="R205" i="6"/>
  <c r="S83" i="6"/>
  <c r="Y18" i="3"/>
  <c r="R23" i="6"/>
  <c r="Y49" i="3"/>
  <c r="Y155" i="3"/>
  <c r="G12" i="6"/>
  <c r="W12" i="6" s="1"/>
  <c r="X122" i="6"/>
  <c r="AD143" i="6"/>
  <c r="AE143" i="6" s="1"/>
  <c r="AF143" i="6" s="1"/>
  <c r="X173" i="6"/>
  <c r="Q148" i="6"/>
  <c r="J16" i="3"/>
  <c r="S53" i="6"/>
  <c r="P74" i="6"/>
  <c r="Q74" i="6" s="1"/>
  <c r="X16" i="6"/>
  <c r="G89" i="6"/>
  <c r="V39" i="6"/>
  <c r="G23" i="6"/>
  <c r="G138" i="6"/>
  <c r="S202" i="6"/>
  <c r="Y44" i="3"/>
  <c r="Y53" i="3"/>
  <c r="V104" i="6"/>
  <c r="G199" i="6"/>
  <c r="Y145" i="6"/>
  <c r="P61" i="6"/>
  <c r="AD61" i="6" s="1"/>
  <c r="AE61" i="6" s="1"/>
  <c r="AF61" i="6" s="1"/>
  <c r="Y201" i="3"/>
  <c r="AD195" i="6"/>
  <c r="AE195" i="6" s="1"/>
  <c r="AF195" i="6" s="1"/>
  <c r="X109" i="6"/>
  <c r="S51" i="6"/>
  <c r="P105" i="6"/>
  <c r="R169" i="6"/>
  <c r="Y50" i="3"/>
  <c r="P83" i="6"/>
  <c r="Y201" i="6"/>
  <c r="Y107" i="3"/>
  <c r="Y79" i="3"/>
  <c r="Y196" i="3"/>
  <c r="G151" i="6"/>
  <c r="R12" i="6"/>
  <c r="R18" i="6"/>
  <c r="V115" i="6"/>
  <c r="X48" i="6"/>
  <c r="Y138" i="3"/>
  <c r="Y29" i="3"/>
  <c r="R180" i="6"/>
  <c r="S154" i="6"/>
  <c r="Y179" i="3"/>
  <c r="Y129" i="3"/>
  <c r="R167" i="6"/>
  <c r="G194" i="6"/>
  <c r="S192" i="6"/>
  <c r="S207" i="6"/>
  <c r="R207" i="6"/>
  <c r="R51" i="6"/>
  <c r="Y134" i="3"/>
  <c r="X78" i="6"/>
  <c r="Y206" i="3"/>
  <c r="P206" i="6"/>
  <c r="V206" i="6" s="1"/>
  <c r="G14" i="6"/>
  <c r="W14" i="6" s="1"/>
  <c r="T14" i="3" s="1"/>
  <c r="U69" i="6"/>
  <c r="S105" i="6"/>
  <c r="X92" i="6"/>
  <c r="U88" i="6"/>
  <c r="Y66" i="3"/>
  <c r="V117" i="6"/>
  <c r="V193" i="6"/>
  <c r="Y124" i="3"/>
  <c r="G98" i="6"/>
  <c r="Y38" i="3"/>
  <c r="S38" i="6"/>
  <c r="Y153" i="3"/>
  <c r="Y65" i="3"/>
  <c r="R65" i="6"/>
  <c r="G13" i="6"/>
  <c r="W13" i="6" s="1"/>
  <c r="Y13" i="6" s="1"/>
  <c r="V73" i="6"/>
  <c r="P185" i="6"/>
  <c r="Q185" i="6" s="1"/>
  <c r="R202" i="6"/>
  <c r="R206" i="6"/>
  <c r="S152" i="6"/>
  <c r="S145" i="6"/>
  <c r="G193" i="6"/>
  <c r="S194" i="6"/>
  <c r="AD202" i="6"/>
  <c r="AE202" i="6" s="1"/>
  <c r="AF202" i="6" s="1"/>
  <c r="AF11" i="6"/>
  <c r="L11" i="3"/>
  <c r="Y88" i="3"/>
  <c r="S28" i="6"/>
  <c r="G84" i="6"/>
  <c r="S15" i="6"/>
  <c r="Y28" i="3"/>
  <c r="Y156" i="3"/>
  <c r="AD40" i="6"/>
  <c r="AE40" i="6" s="1"/>
  <c r="AF40" i="6" s="1"/>
  <c r="Y191" i="3"/>
  <c r="Y117" i="3"/>
  <c r="Y123" i="3"/>
  <c r="Y145" i="3"/>
  <c r="Y193" i="3"/>
  <c r="V147" i="6" l="1"/>
  <c r="AD120" i="6"/>
  <c r="AE120" i="6" s="1"/>
  <c r="AF120" i="6" s="1"/>
  <c r="U128" i="6"/>
  <c r="AD67" i="6"/>
  <c r="AE67" i="6" s="1"/>
  <c r="AF67" i="6" s="1"/>
  <c r="V154" i="6"/>
  <c r="D16" i="3"/>
  <c r="E14" i="3"/>
  <c r="V182" i="6"/>
  <c r="G14" i="3"/>
  <c r="T31" i="2"/>
  <c r="T29" i="2"/>
  <c r="V37" i="6"/>
  <c r="S16" i="3"/>
  <c r="D14" i="3"/>
  <c r="V195" i="6"/>
  <c r="AD147" i="6"/>
  <c r="AE147" i="6" s="1"/>
  <c r="AF147" i="6" s="1"/>
  <c r="U171" i="6"/>
  <c r="U142" i="6"/>
  <c r="S14" i="3"/>
  <c r="AD12" i="6"/>
  <c r="AE12" i="6" s="1"/>
  <c r="AF12" i="6" s="1"/>
  <c r="U53" i="6"/>
  <c r="F14" i="3"/>
  <c r="V110" i="6"/>
  <c r="Q136" i="6"/>
  <c r="S15" i="3"/>
  <c r="T30" i="2"/>
  <c r="AD93" i="6"/>
  <c r="AE93" i="6" s="1"/>
  <c r="AF93" i="6" s="1"/>
  <c r="T25" i="2"/>
  <c r="H16" i="3"/>
  <c r="U164" i="6"/>
  <c r="P16" i="3"/>
  <c r="Q14" i="3"/>
  <c r="M16" i="3"/>
  <c r="U78" i="6"/>
  <c r="V48" i="6"/>
  <c r="U195" i="6"/>
  <c r="O16" i="3"/>
  <c r="V13" i="6"/>
  <c r="V142" i="6"/>
  <c r="AD170" i="6"/>
  <c r="AE170" i="6" s="1"/>
  <c r="AF170" i="6" s="1"/>
  <c r="AD142" i="6"/>
  <c r="AE142" i="6" s="1"/>
  <c r="AF142" i="6" s="1"/>
  <c r="I14" i="3"/>
  <c r="AD123" i="6"/>
  <c r="AE123" i="6" s="1"/>
  <c r="AF123" i="6" s="1"/>
  <c r="AD49" i="6"/>
  <c r="AE49" i="6" s="1"/>
  <c r="AF49" i="6" s="1"/>
  <c r="I16" i="3"/>
  <c r="U182" i="6"/>
  <c r="V145" i="6"/>
  <c r="U54" i="6"/>
  <c r="V93" i="6"/>
  <c r="V58" i="6"/>
  <c r="I17" i="3"/>
  <c r="V116" i="6"/>
  <c r="T17" i="3"/>
  <c r="Q58" i="6"/>
  <c r="E17" i="3"/>
  <c r="U101" i="6"/>
  <c r="Q36" i="6"/>
  <c r="V151" i="6"/>
  <c r="U108" i="6"/>
  <c r="V79" i="6"/>
  <c r="AD48" i="6"/>
  <c r="AE48" i="6" s="1"/>
  <c r="AF48" i="6" s="1"/>
  <c r="Q107" i="6"/>
  <c r="AD185" i="6"/>
  <c r="AE185" i="6" s="1"/>
  <c r="AF185" i="6" s="1"/>
  <c r="V198" i="6"/>
  <c r="AD154" i="6"/>
  <c r="AE154" i="6" s="1"/>
  <c r="AF154" i="6" s="1"/>
  <c r="AD136" i="6"/>
  <c r="AE136" i="6" s="1"/>
  <c r="AF136" i="6" s="1"/>
  <c r="Q120" i="6"/>
  <c r="H17" i="3"/>
  <c r="AD152" i="6"/>
  <c r="AE152" i="6" s="1"/>
  <c r="AF152" i="6" s="1"/>
  <c r="U64" i="6"/>
  <c r="AD78" i="6"/>
  <c r="AE78" i="6" s="1"/>
  <c r="AF78" i="6" s="1"/>
  <c r="U79" i="6"/>
  <c r="U163" i="6"/>
  <c r="AD30" i="6"/>
  <c r="AE30" i="6" s="1"/>
  <c r="AF30" i="6" s="1"/>
  <c r="AD74" i="6"/>
  <c r="AE74" i="6" s="1"/>
  <c r="AF74" i="6" s="1"/>
  <c r="U48" i="6"/>
  <c r="Q49" i="6"/>
  <c r="AD198" i="6"/>
  <c r="AE198" i="6" s="1"/>
  <c r="AF198" i="6" s="1"/>
  <c r="V74" i="6"/>
  <c r="V149" i="6"/>
  <c r="M17" i="3"/>
  <c r="V188" i="6"/>
  <c r="V129" i="6"/>
  <c r="V181" i="6"/>
  <c r="U123" i="6"/>
  <c r="V152" i="6"/>
  <c r="V103" i="6"/>
  <c r="Q200" i="6"/>
  <c r="U103" i="6"/>
  <c r="AD194" i="6"/>
  <c r="AE194" i="6" s="1"/>
  <c r="AF194" i="6" s="1"/>
  <c r="N17" i="3"/>
  <c r="V33" i="6"/>
  <c r="Q17" i="3"/>
  <c r="F17" i="3"/>
  <c r="V153" i="6"/>
  <c r="U110" i="6"/>
  <c r="Q55" i="6"/>
  <c r="U55" i="6"/>
  <c r="V55" i="6"/>
  <c r="AD108" i="6"/>
  <c r="AE108" i="6" s="1"/>
  <c r="AF108" i="6" s="1"/>
  <c r="U198" i="6"/>
  <c r="V14" i="6"/>
  <c r="AD107" i="6"/>
  <c r="AE107" i="6" s="1"/>
  <c r="AF107" i="6" s="1"/>
  <c r="AD110" i="6"/>
  <c r="AE110" i="6" s="1"/>
  <c r="AF110" i="6" s="1"/>
  <c r="U74" i="6"/>
  <c r="V16" i="6"/>
  <c r="AD113" i="6"/>
  <c r="AE113" i="6" s="1"/>
  <c r="AF113" i="6" s="1"/>
  <c r="AD188" i="6"/>
  <c r="AE188" i="6" s="1"/>
  <c r="AF188" i="6" s="1"/>
  <c r="AD31" i="6"/>
  <c r="AE31" i="6" s="1"/>
  <c r="AF31" i="6" s="1"/>
  <c r="O17" i="3"/>
  <c r="U113" i="6"/>
  <c r="AD181" i="6"/>
  <c r="AE181" i="6" s="1"/>
  <c r="AF181" i="6" s="1"/>
  <c r="G15" i="3"/>
  <c r="U188" i="6"/>
  <c r="U14" i="6"/>
  <c r="AD14" i="6" s="1"/>
  <c r="AE14" i="6" s="1"/>
  <c r="AF14" i="6" s="1"/>
  <c r="V120" i="6"/>
  <c r="AD186" i="6"/>
  <c r="AE186" i="6" s="1"/>
  <c r="AF186" i="6" s="1"/>
  <c r="V186" i="6"/>
  <c r="Q30" i="6"/>
  <c r="E16" i="3"/>
  <c r="P15" i="3"/>
  <c r="Q103" i="6"/>
  <c r="U186" i="6"/>
  <c r="V30" i="6"/>
  <c r="AD13" i="6"/>
  <c r="AE13" i="6" s="1"/>
  <c r="AF13" i="6" s="1"/>
  <c r="AD64" i="6"/>
  <c r="AE64" i="6" s="1"/>
  <c r="AF64" i="6" s="1"/>
  <c r="U49" i="6"/>
  <c r="N15" i="3"/>
  <c r="U153" i="6"/>
  <c r="AD35" i="6"/>
  <c r="AE35" i="6" s="1"/>
  <c r="AF35" i="6" s="1"/>
  <c r="U204" i="6"/>
  <c r="Q132" i="6"/>
  <c r="AD85" i="6"/>
  <c r="AE85" i="6" s="1"/>
  <c r="AF85" i="6" s="1"/>
  <c r="Q85" i="6"/>
  <c r="U132" i="6"/>
  <c r="AD22" i="6"/>
  <c r="AE22" i="6" s="1"/>
  <c r="AF22" i="6" s="1"/>
  <c r="U43" i="6"/>
  <c r="V43" i="6"/>
  <c r="AD43" i="6"/>
  <c r="AE43" i="6" s="1"/>
  <c r="AF43" i="6" s="1"/>
  <c r="Q43" i="6"/>
  <c r="AD190" i="6"/>
  <c r="AE190" i="6" s="1"/>
  <c r="AF190" i="6" s="1"/>
  <c r="AD149" i="6"/>
  <c r="AE149" i="6" s="1"/>
  <c r="AF149" i="6" s="1"/>
  <c r="V194" i="6"/>
  <c r="U35" i="6"/>
  <c r="U16" i="6"/>
  <c r="K16" i="3" s="1"/>
  <c r="M15" i="3"/>
  <c r="AD162" i="6"/>
  <c r="AE162" i="6" s="1"/>
  <c r="AF162" i="6" s="1"/>
  <c r="U85" i="6"/>
  <c r="V161" i="6"/>
  <c r="U197" i="6"/>
  <c r="AD175" i="6"/>
  <c r="AE175" i="6" s="1"/>
  <c r="AF175" i="6" s="1"/>
  <c r="V132" i="6"/>
  <c r="AD171" i="6"/>
  <c r="AE171" i="6" s="1"/>
  <c r="AF171" i="6" s="1"/>
  <c r="U181" i="6"/>
  <c r="AD153" i="6"/>
  <c r="AE153" i="6" s="1"/>
  <c r="AF153" i="6" s="1"/>
  <c r="AD45" i="6"/>
  <c r="AE45" i="6" s="1"/>
  <c r="AF45" i="6" s="1"/>
  <c r="V78" i="6"/>
  <c r="V84" i="6"/>
  <c r="U205" i="6"/>
  <c r="V172" i="6"/>
  <c r="AD161" i="6"/>
  <c r="AE161" i="6" s="1"/>
  <c r="AF161" i="6" s="1"/>
  <c r="V95" i="6"/>
  <c r="U166" i="6"/>
  <c r="T15" i="3"/>
  <c r="U80" i="6"/>
  <c r="Y12" i="6"/>
  <c r="O12" i="3" s="1"/>
  <c r="AD172" i="6"/>
  <c r="AE172" i="6" s="1"/>
  <c r="AF172" i="6" s="1"/>
  <c r="U206" i="6"/>
  <c r="U95" i="6"/>
  <c r="AD203" i="6"/>
  <c r="AE203" i="6" s="1"/>
  <c r="AF203" i="6" s="1"/>
  <c r="Q161" i="6"/>
  <c r="AD77" i="6"/>
  <c r="AE77" i="6" s="1"/>
  <c r="AF77" i="6" s="1"/>
  <c r="T32" i="2"/>
  <c r="F15" i="3"/>
  <c r="I15" i="3"/>
  <c r="AD56" i="6"/>
  <c r="AE56" i="6" s="1"/>
  <c r="AF56" i="6" s="1"/>
  <c r="X15" i="6"/>
  <c r="V64" i="6"/>
  <c r="U36" i="6"/>
  <c r="AD191" i="6"/>
  <c r="AE191" i="6" s="1"/>
  <c r="AF191" i="6" s="1"/>
  <c r="Q162" i="6"/>
  <c r="U190" i="6"/>
  <c r="U154" i="6"/>
  <c r="H15" i="3"/>
  <c r="AD129" i="6"/>
  <c r="AE129" i="6" s="1"/>
  <c r="AF129" i="6" s="1"/>
  <c r="U116" i="6"/>
  <c r="U162" i="6"/>
  <c r="Q190" i="6"/>
  <c r="U172" i="6"/>
  <c r="V130" i="6"/>
  <c r="U61" i="6"/>
  <c r="AD80" i="6"/>
  <c r="AE80" i="6" s="1"/>
  <c r="AF80" i="6" s="1"/>
  <c r="V26" i="6"/>
  <c r="Q22" i="6"/>
  <c r="Y15" i="6"/>
  <c r="O15" i="3" s="1"/>
  <c r="U129" i="6"/>
  <c r="AD115" i="6"/>
  <c r="AE115" i="6" s="1"/>
  <c r="AF115" i="6" s="1"/>
  <c r="V191" i="6"/>
  <c r="U13" i="6"/>
  <c r="K13" i="3" s="1"/>
  <c r="V200" i="6"/>
  <c r="Q26" i="6"/>
  <c r="U135" i="6"/>
  <c r="J15" i="3"/>
  <c r="U159" i="6"/>
  <c r="Q159" i="6"/>
  <c r="V85" i="6"/>
  <c r="V157" i="6"/>
  <c r="AD159" i="6"/>
  <c r="AE159" i="6" s="1"/>
  <c r="AF159" i="6" s="1"/>
  <c r="AD95" i="6"/>
  <c r="AE95" i="6" s="1"/>
  <c r="AF95" i="6" s="1"/>
  <c r="AD157" i="6"/>
  <c r="AE157" i="6" s="1"/>
  <c r="AF157" i="6" s="1"/>
  <c r="U130" i="6"/>
  <c r="AD130" i="6"/>
  <c r="AE130" i="6" s="1"/>
  <c r="AF130" i="6" s="1"/>
  <c r="Q191" i="6"/>
  <c r="U157" i="6"/>
  <c r="U77" i="6"/>
  <c r="U58" i="6"/>
  <c r="Q45" i="6"/>
  <c r="V45" i="6"/>
  <c r="V101" i="6"/>
  <c r="V203" i="6"/>
  <c r="V204" i="6"/>
  <c r="T27" i="2"/>
  <c r="U194" i="6"/>
  <c r="U115" i="6"/>
  <c r="U26" i="6"/>
  <c r="Q166" i="6"/>
  <c r="AD36" i="6"/>
  <c r="AE36" i="6" s="1"/>
  <c r="AF36" i="6" s="1"/>
  <c r="U22" i="6"/>
  <c r="AF17" i="6"/>
  <c r="L17" i="3"/>
  <c r="Q12" i="3"/>
  <c r="Y12" i="3" s="1"/>
  <c r="K12" i="3"/>
  <c r="H12" i="3"/>
  <c r="P12" i="3"/>
  <c r="N12" i="3"/>
  <c r="M12" i="3"/>
  <c r="D12" i="3"/>
  <c r="J12" i="3"/>
  <c r="T12" i="3"/>
  <c r="I12" i="3"/>
  <c r="E12" i="3"/>
  <c r="T28" i="2"/>
  <c r="F12" i="3"/>
  <c r="S12" i="3"/>
  <c r="V60" i="6"/>
  <c r="V53" i="6"/>
  <c r="V56" i="6"/>
  <c r="Q163" i="6"/>
  <c r="AD163" i="6"/>
  <c r="AE163" i="6" s="1"/>
  <c r="AF163" i="6" s="1"/>
  <c r="U149" i="6"/>
  <c r="U192" i="6"/>
  <c r="AD180" i="6"/>
  <c r="AE180" i="6" s="1"/>
  <c r="AF180" i="6" s="1"/>
  <c r="Q180" i="6"/>
  <c r="V180" i="6"/>
  <c r="V77" i="6"/>
  <c r="AD137" i="6"/>
  <c r="AE137" i="6" s="1"/>
  <c r="AF137" i="6" s="1"/>
  <c r="AD101" i="6"/>
  <c r="AE101" i="6" s="1"/>
  <c r="AF101" i="6" s="1"/>
  <c r="V108" i="6"/>
  <c r="U185" i="6"/>
  <c r="V68" i="6"/>
  <c r="U56" i="6"/>
  <c r="U208" i="6"/>
  <c r="AD208" i="6"/>
  <c r="AE208" i="6" s="1"/>
  <c r="AF208" i="6" s="1"/>
  <c r="V208" i="6"/>
  <c r="Q208" i="6"/>
  <c r="Q71" i="6"/>
  <c r="U71" i="6"/>
  <c r="Q90" i="6"/>
  <c r="V90" i="6"/>
  <c r="V54" i="6"/>
  <c r="AD57" i="6"/>
  <c r="AE57" i="6" s="1"/>
  <c r="AF57" i="6" s="1"/>
  <c r="U125" i="6"/>
  <c r="V125" i="6"/>
  <c r="Q206" i="6"/>
  <c r="AD206" i="6"/>
  <c r="AE206" i="6" s="1"/>
  <c r="AF206" i="6" s="1"/>
  <c r="AD197" i="6"/>
  <c r="AE197" i="6" s="1"/>
  <c r="AF197" i="6" s="1"/>
  <c r="Q197" i="6"/>
  <c r="V106" i="6"/>
  <c r="Q106" i="6"/>
  <c r="U106" i="6"/>
  <c r="Q59" i="6"/>
  <c r="AD59" i="6"/>
  <c r="AE59" i="6" s="1"/>
  <c r="AF59" i="6" s="1"/>
  <c r="V59" i="6"/>
  <c r="U126" i="6"/>
  <c r="V57" i="6"/>
  <c r="T21" i="2"/>
  <c r="V98" i="6"/>
  <c r="AD81" i="6"/>
  <c r="AE81" i="6" s="1"/>
  <c r="AF81" i="6" s="1"/>
  <c r="E15" i="3"/>
  <c r="AD125" i="6"/>
  <c r="AE125" i="6" s="1"/>
  <c r="AF125" i="6" s="1"/>
  <c r="Q41" i="6"/>
  <c r="U41" i="6"/>
  <c r="AD23" i="6"/>
  <c r="AE23" i="6" s="1"/>
  <c r="AF23" i="6" s="1"/>
  <c r="U92" i="6"/>
  <c r="Q126" i="6"/>
  <c r="AD126" i="6"/>
  <c r="AE126" i="6" s="1"/>
  <c r="AF126" i="6" s="1"/>
  <c r="V137" i="6"/>
  <c r="V35" i="6"/>
  <c r="Q12" i="6"/>
  <c r="G12" i="3" s="1"/>
  <c r="V12" i="6"/>
  <c r="AD169" i="6"/>
  <c r="AE169" i="6" s="1"/>
  <c r="AF169" i="6" s="1"/>
  <c r="U199" i="6"/>
  <c r="AD84" i="6"/>
  <c r="AE84" i="6" s="1"/>
  <c r="AF84" i="6" s="1"/>
  <c r="AD205" i="6"/>
  <c r="AE205" i="6" s="1"/>
  <c r="AF205" i="6" s="1"/>
  <c r="U137" i="6"/>
  <c r="V82" i="6"/>
  <c r="Q105" i="6"/>
  <c r="U105" i="6"/>
  <c r="V105" i="6"/>
  <c r="AD105" i="6"/>
  <c r="AE105" i="6" s="1"/>
  <c r="AF105" i="6" s="1"/>
  <c r="AD54" i="6"/>
  <c r="AE54" i="6" s="1"/>
  <c r="AF54" i="6" s="1"/>
  <c r="Q39" i="6"/>
  <c r="U39" i="6"/>
  <c r="AD124" i="6"/>
  <c r="AE124" i="6" s="1"/>
  <c r="AF124" i="6" s="1"/>
  <c r="Q124" i="6"/>
  <c r="U124" i="6"/>
  <c r="V41" i="6"/>
  <c r="V15" i="6"/>
  <c r="AD51" i="6"/>
  <c r="AE51" i="6" s="1"/>
  <c r="AF51" i="6" s="1"/>
  <c r="U57" i="6"/>
  <c r="V81" i="6"/>
  <c r="AD145" i="6"/>
  <c r="AE145" i="6" s="1"/>
  <c r="AF145" i="6" s="1"/>
  <c r="U68" i="6"/>
  <c r="U23" i="6"/>
  <c r="V199" i="6"/>
  <c r="Q201" i="6"/>
  <c r="V201" i="6"/>
  <c r="Q118" i="6"/>
  <c r="V118" i="6"/>
  <c r="U118" i="6"/>
  <c r="AD68" i="6"/>
  <c r="AE68" i="6" s="1"/>
  <c r="AF68" i="6" s="1"/>
  <c r="Q61" i="6"/>
  <c r="V61" i="6"/>
  <c r="Q167" i="6"/>
  <c r="AD167" i="6"/>
  <c r="AE167" i="6" s="1"/>
  <c r="AF167" i="6" s="1"/>
  <c r="AD15" i="6"/>
  <c r="AE15" i="6" s="1"/>
  <c r="D13" i="3"/>
  <c r="M13" i="3"/>
  <c r="G13" i="3"/>
  <c r="J13" i="3"/>
  <c r="P13" i="3"/>
  <c r="E13" i="3"/>
  <c r="F13" i="3"/>
  <c r="Q13" i="3"/>
  <c r="T26" i="2"/>
  <c r="O13" i="3"/>
  <c r="T13" i="3"/>
  <c r="S13" i="3"/>
  <c r="H13" i="3"/>
  <c r="N13" i="3"/>
  <c r="I13" i="3"/>
  <c r="D15" i="3"/>
  <c r="Q98" i="6"/>
  <c r="AD98" i="6"/>
  <c r="AE98" i="6" s="1"/>
  <c r="AF98" i="6" s="1"/>
  <c r="U169" i="6"/>
  <c r="V192" i="6"/>
  <c r="AD66" i="6"/>
  <c r="AE66" i="6" s="1"/>
  <c r="AF66" i="6" s="1"/>
  <c r="Q66" i="6"/>
  <c r="V66" i="6"/>
  <c r="Q62" i="6"/>
  <c r="V62" i="6"/>
  <c r="T16" i="3"/>
  <c r="U44" i="6"/>
  <c r="Q44" i="6"/>
  <c r="U84" i="6"/>
  <c r="V185" i="6"/>
  <c r="Q18" i="6"/>
  <c r="U18" i="6"/>
  <c r="AD18" i="6"/>
  <c r="AE18" i="6" s="1"/>
  <c r="AF18" i="6" s="1"/>
  <c r="U145" i="6"/>
  <c r="U81" i="6"/>
  <c r="AD199" i="6"/>
  <c r="AE199" i="6" s="1"/>
  <c r="AF199" i="6" s="1"/>
  <c r="Y14" i="6"/>
  <c r="O14" i="3" s="1"/>
  <c r="K14" i="3"/>
  <c r="Q189" i="6"/>
  <c r="V189" i="6"/>
  <c r="U189" i="6"/>
  <c r="Q83" i="6"/>
  <c r="V83" i="6"/>
  <c r="AD83" i="6"/>
  <c r="AE83" i="6" s="1"/>
  <c r="AF83" i="6" s="1"/>
  <c r="Q92" i="6"/>
  <c r="AD92" i="6"/>
  <c r="AE92" i="6" s="1"/>
  <c r="AF92" i="6" s="1"/>
  <c r="AD192" i="6"/>
  <c r="AE192" i="6" s="1"/>
  <c r="AF192" i="6" s="1"/>
  <c r="Q150" i="6"/>
  <c r="V150" i="6"/>
  <c r="AD150" i="6"/>
  <c r="AE150" i="6" s="1"/>
  <c r="AF150" i="6" s="1"/>
  <c r="U150" i="6"/>
  <c r="Q177" i="6"/>
  <c r="V177" i="6"/>
  <c r="U177" i="6"/>
  <c r="U179" i="6"/>
  <c r="AD207" i="6"/>
  <c r="AE207" i="6" s="1"/>
  <c r="AF207" i="6" s="1"/>
  <c r="Q207" i="6"/>
  <c r="V207" i="6"/>
  <c r="U66" i="6"/>
  <c r="U83" i="6"/>
  <c r="AD44" i="6"/>
  <c r="AE44" i="6" s="1"/>
  <c r="AF44" i="6" s="1"/>
  <c r="Q52" i="6"/>
  <c r="V52" i="6"/>
  <c r="U52" i="6"/>
  <c r="Q87" i="6"/>
  <c r="V87" i="6"/>
  <c r="AD87" i="6"/>
  <c r="AE87" i="6" s="1"/>
  <c r="AF87" i="6" s="1"/>
  <c r="U87" i="6"/>
  <c r="Q17" i="6"/>
  <c r="G17" i="3" s="1"/>
  <c r="U17" i="6"/>
  <c r="K17" i="3" s="1"/>
  <c r="V17" i="6"/>
  <c r="AD201" i="6"/>
  <c r="AE201" i="6" s="1"/>
  <c r="AF201" i="6" s="1"/>
  <c r="AD53" i="6"/>
  <c r="AE53" i="6" s="1"/>
  <c r="AF53" i="6" s="1"/>
  <c r="T20" i="2"/>
  <c r="V169" i="6"/>
  <c r="AD82" i="6"/>
  <c r="AE82" i="6" s="1"/>
  <c r="AF82" i="6" s="1"/>
  <c r="Q82" i="6"/>
  <c r="Q60" i="6"/>
  <c r="U60" i="6"/>
  <c r="V158" i="6"/>
  <c r="Q158" i="6"/>
  <c r="U158" i="6"/>
  <c r="Q135" i="6"/>
  <c r="V135" i="6"/>
  <c r="Q31" i="6"/>
  <c r="V31" i="6"/>
  <c r="Q196" i="6"/>
  <c r="U196" i="6"/>
  <c r="AD196" i="6"/>
  <c r="AE196" i="6" s="1"/>
  <c r="AF196" i="6" s="1"/>
  <c r="U15" i="6"/>
  <c r="K15" i="3" s="1"/>
  <c r="Q175" i="6"/>
  <c r="V175" i="6"/>
  <c r="V71" i="6"/>
  <c r="V51" i="6"/>
  <c r="AD204" i="6"/>
  <c r="AE204" i="6" s="1"/>
  <c r="AF204" i="6" s="1"/>
  <c r="U152" i="6"/>
  <c r="Q27" i="6"/>
  <c r="U27" i="6"/>
  <c r="AD27" i="6"/>
  <c r="AE27" i="6" s="1"/>
  <c r="AF27" i="6" s="1"/>
  <c r="Q47" i="6"/>
  <c r="U47" i="6"/>
  <c r="V47" i="6"/>
  <c r="U62" i="6"/>
  <c r="AD71" i="6"/>
  <c r="AE71" i="6" s="1"/>
  <c r="AF71" i="6" s="1"/>
  <c r="AD52" i="6"/>
  <c r="AE52" i="6" s="1"/>
  <c r="AF52" i="6" s="1"/>
  <c r="Q151" i="6"/>
  <c r="AD151" i="6"/>
  <c r="AE151" i="6" s="1"/>
  <c r="AF151" i="6" s="1"/>
  <c r="V23" i="6"/>
  <c r="V123" i="6"/>
  <c r="D17" i="3"/>
  <c r="U51" i="6"/>
  <c r="B53" i="1" l="1"/>
  <c r="U7" i="1"/>
  <c r="L12" i="3"/>
  <c r="L14" i="3"/>
  <c r="Y14" i="3"/>
  <c r="L13" i="3"/>
  <c r="U3" i="1"/>
  <c r="G6" i="1" s="1"/>
  <c r="U2" i="1"/>
  <c r="B6" i="1" s="1"/>
  <c r="AD16" i="6"/>
  <c r="AE16" i="6" s="1"/>
  <c r="Y16" i="3"/>
  <c r="AF15" i="6"/>
  <c r="L15" i="3"/>
  <c r="Y17" i="3"/>
  <c r="B52" i="1"/>
  <c r="B50" i="1"/>
  <c r="C50" i="1" s="1"/>
  <c r="B54" i="1"/>
  <c r="B57" i="1"/>
  <c r="B61" i="1"/>
  <c r="B51" i="1"/>
  <c r="B55" i="1"/>
  <c r="B60" i="1"/>
  <c r="B58" i="1"/>
  <c r="B56" i="1"/>
  <c r="B59" i="1"/>
  <c r="U6" i="1"/>
  <c r="P8" i="1" s="1"/>
  <c r="U4" i="1"/>
  <c r="L6" i="1" s="1"/>
  <c r="U5" i="1"/>
  <c r="Y15" i="3"/>
  <c r="Y13" i="3"/>
  <c r="F51" i="1"/>
  <c r="N16" i="1" s="1"/>
  <c r="F50" i="1"/>
  <c r="N12" i="1" s="1"/>
  <c r="F52" i="1"/>
  <c r="N20" i="1" s="1"/>
  <c r="AF16" i="6" l="1"/>
  <c r="L16" i="3"/>
  <c r="K23" i="1"/>
  <c r="P6" i="1"/>
  <c r="V5" i="1"/>
  <c r="C51" i="1"/>
  <c r="C52" i="1" s="1"/>
  <c r="C53" i="1" s="1"/>
  <c r="C54" i="1" s="1"/>
  <c r="C55" i="1" s="1"/>
  <c r="C56" i="1" s="1"/>
  <c r="C57" i="1" s="1"/>
  <c r="C58" i="1" s="1"/>
  <c r="C59" i="1" s="1"/>
  <c r="C60" i="1" s="1"/>
  <c r="C61" i="1" s="1"/>
</calcChain>
</file>

<file path=xl/sharedStrings.xml><?xml version="1.0" encoding="utf-8"?>
<sst xmlns="http://schemas.openxmlformats.org/spreadsheetml/2006/main" count="345" uniqueCount="197">
  <si>
    <t>BeInOptions · Wheel Tracker</t>
  </si>
  <si>
    <t>Currency</t>
  </si>
  <si>
    <t>USD</t>
  </si>
  <si>
    <t>As of</t>
  </si>
  <si>
    <t>Sample Data · illustrative Wheel trades</t>
  </si>
  <si>
    <t>ⓘ Premiums are not profit</t>
  </si>
  <si>
    <t>Net premiums</t>
  </si>
  <si>
    <t>Realized profit / loss</t>
  </si>
  <si>
    <t>Capital committed</t>
  </si>
  <si>
    <t>Open cycles</t>
  </si>
  <si>
    <t>Premiums − buybacks · before fees</t>
  </si>
  <si>
    <t>Closed cycles only</t>
  </si>
  <si>
    <t>Open positions</t>
  </si>
  <si>
    <t>Open cycles by phase</t>
  </si>
  <si>
    <t>Understand options
Practice. Find your way</t>
  </si>
  <si>
    <t>Net premiums and cashflow are not realized profit. See Trades and Cycles for details.</t>
  </si>
  <si>
    <t>Month</t>
  </si>
  <si>
    <t>Net premium</t>
  </si>
  <si>
    <t>Cumulative</t>
  </si>
  <si>
    <t>Axis label</t>
  </si>
  <si>
    <t>Cash-Secured Put</t>
  </si>
  <si>
    <t>Shares Held</t>
  </si>
  <si>
    <t>Covered Call</t>
  </si>
  <si>
    <t>No open cycles</t>
  </si>
  <si>
    <t>BeInOptions · Enter trades</t>
  </si>
  <si>
    <t>Enter or edit your trades in the light blue cells. Gray cells calculate automatically.</t>
  </si>
  <si>
    <t>Sell Put</t>
  </si>
  <si>
    <t>sell_put</t>
  </si>
  <si>
    <t>Missing required field</t>
  </si>
  <si>
    <t>Pflichtfeld fehlt</t>
  </si>
  <si>
    <t>Sample Data · illustrative trades, not market data</t>
  </si>
  <si>
    <t>Close Put</t>
  </si>
  <si>
    <t>buy_to_close</t>
  </si>
  <si>
    <t>Duplicate event ID</t>
  </si>
  <si>
    <t>Doppelte Ereignis-ID</t>
  </si>
  <si>
    <t>Quantity means contracts for options and shares for stock trades. Premiums and close prices are per share; fees are total amounts.</t>
  </si>
  <si>
    <t>Put Assignment</t>
  </si>
  <si>
    <t>assignment</t>
  </si>
  <si>
    <t>Date out of order</t>
  </si>
  <si>
    <t>Datum nicht chronologisch</t>
  </si>
  <si>
    <t>For closes/assignments, expand the grouped detail columns on the right and select the opening Lot ID. Enter each cycle chronologically; do not sort linked rows.</t>
  </si>
  <si>
    <t>Sell Call</t>
  </si>
  <si>
    <t>sell_call</t>
  </si>
  <si>
    <t>Unknown lot</t>
  </si>
  <si>
    <t>Lot unbekannt</t>
  </si>
  <si>
    <t>Default multiplier</t>
  </si>
  <si>
    <t>Close Call</t>
  </si>
  <si>
    <t>Wrong option leg</t>
  </si>
  <si>
    <t>Falsche Optionsart</t>
  </si>
  <si>
    <t>Sell Shares</t>
  </si>
  <si>
    <t>sell_shares</t>
  </si>
  <si>
    <t>Invalid value</t>
  </si>
  <si>
    <t>Ungültiger Wert</t>
  </si>
  <si>
    <t>Date</t>
  </si>
  <si>
    <t>Cycle ID</t>
  </si>
  <si>
    <t>Symbol</t>
  </si>
  <si>
    <t>Action</t>
  </si>
  <si>
    <t>Quantity (contracts/shares)</t>
  </si>
  <si>
    <t>Strike</t>
  </si>
  <si>
    <t>Expiry</t>
  </si>
  <si>
    <t>Premium / share</t>
  </si>
  <si>
    <t>Fees</t>
  </si>
  <si>
    <t>Net cashflow</t>
  </si>
  <si>
    <t>Multiplier</t>
  </si>
  <si>
    <t>Share price</t>
  </si>
  <si>
    <t>Lot ID</t>
  </si>
  <si>
    <t>Event ID</t>
  </si>
  <si>
    <t>Note</t>
  </si>
  <si>
    <t>Roll close price</t>
  </si>
  <si>
    <t>Other amount</t>
  </si>
  <si>
    <t>Check</t>
  </si>
  <si>
    <t>Call Assignment</t>
  </si>
  <si>
    <t>called_away</t>
  </si>
  <si>
    <t>Insufficient shares (capped)</t>
  </si>
  <si>
    <t>Nicht genügend Aktien</t>
  </si>
  <si>
    <t>sample-xyz</t>
  </si>
  <si>
    <t>XYZ</t>
  </si>
  <si>
    <t>Sample Data</t>
  </si>
  <si>
    <t>Buy Shares</t>
  </si>
  <si>
    <t>buy_shares</t>
  </si>
  <si>
    <t>Close quantity capped</t>
  </si>
  <si>
    <t>Schließmenge begrenzt</t>
  </si>
  <si>
    <t>E0001</t>
  </si>
  <si>
    <t>Expire Put</t>
  </si>
  <si>
    <t>expire</t>
  </si>
  <si>
    <t>Expire Call</t>
  </si>
  <si>
    <t>demo-loss</t>
  </si>
  <si>
    <t>MNO</t>
  </si>
  <si>
    <t>Roll Option</t>
  </si>
  <si>
    <t>roll</t>
  </si>
  <si>
    <t>Dividend</t>
  </si>
  <si>
    <t>dividend</t>
  </si>
  <si>
    <t>demo-direct</t>
  </si>
  <si>
    <t>DEF</t>
  </si>
  <si>
    <t>Fee</t>
  </si>
  <si>
    <t>fee</t>
  </si>
  <si>
    <t>E0003</t>
  </si>
  <si>
    <t>E0005</t>
  </si>
  <si>
    <t>demo-eur</t>
  </si>
  <si>
    <t>EURX</t>
  </si>
  <si>
    <t>EUR</t>
  </si>
  <si>
    <t>sample-abc</t>
  </si>
  <si>
    <t>ABC</t>
  </si>
  <si>
    <t>E0007</t>
  </si>
  <si>
    <t>E0009</t>
  </si>
  <si>
    <t>demo-held</t>
  </si>
  <si>
    <t>GHI</t>
  </si>
  <si>
    <t>E0013</t>
  </si>
  <si>
    <t>E0012</t>
  </si>
  <si>
    <t>demo-covered</t>
  </si>
  <si>
    <t>JKL</t>
  </si>
  <si>
    <t>E0017</t>
  </si>
  <si>
    <t>E0019</t>
  </si>
  <si>
    <t>ⓘ Actions: Sell Put · Close Put · Assignment · Sell Call · Close Call · Buy / sell shares
Light blue = input · Gray = formula · Enter quantity and multiplier for the product</t>
  </si>
  <si>
    <t>BeInOptions · Wheel cycles</t>
  </si>
  <si>
    <t>Sample Data · these cycles calculate automatically from the illustrative trades.</t>
  </si>
  <si>
    <t>Use the + above the table to expand extra metrics and light blue Repair assumptions U–X. Open-cycle cashflow is not realized profit.</t>
  </si>
  <si>
    <t>Annualized return = return on peak capital × 365 ÷ calendar days; open: booked income, closed: realized cashflow. No compounding.</t>
  </si>
  <si>
    <t>ⓘ Adjusted basis, Repair Strike and return calculate automatically. Blue = assumptions in expandable columns; green/red = profit/loss.</t>
  </si>
  <si>
    <t>Phase</t>
  </si>
  <si>
    <t>Shares</t>
  </si>
  <si>
    <t>Option strike</t>
  </si>
  <si>
    <t>Avg share price</t>
  </si>
  <si>
    <t>Buybacks</t>
  </si>
  <si>
    <t>Adjusted basis</t>
  </si>
  <si>
    <t>Repair strike</t>
  </si>
  <si>
    <t>Cashflow</t>
  </si>
  <si>
    <t>Realized P/L</t>
  </si>
  <si>
    <t>Annualized return</t>
  </si>
  <si>
    <t>Status</t>
  </si>
  <si>
    <t>Expiration</t>
  </si>
  <si>
    <t>Days</t>
  </si>
  <si>
    <t>Call premium assumption</t>
  </si>
  <si>
    <t>Future fees</t>
  </si>
  <si>
    <t>Target profit / share</t>
  </si>
  <si>
    <t>Strike increment</t>
  </si>
  <si>
    <t>BeInOptions · Instructions</t>
  </si>
  <si>
    <t>How to use the Wheel Strategy Tracker</t>
  </si>
  <si>
    <t>What does the tracker show?</t>
  </si>
  <si>
    <t>It records your Wheel trades and calculates premiums, capital committed, open cycles, and the result of closed cycles.</t>
  </si>
  <si>
    <t>Get started in four steps</t>
  </si>
  <si>
    <t>1  Enter one row per event in Trades. Light blue cells are inputs; gray cells calculate automatically.</t>
  </si>
  <si>
    <t>2  Choose a unique Cycle ID for a new Wheel sequence, such as AAPL-001. Use the same ID for every related trade.</t>
  </si>
  <si>
    <t>3  Choose an action from the list. Quantity means option contracts for options and shares for stock trades. Check the contract multiplier (usually 100).</t>
  </si>
  <si>
    <t>4  Enter option premium per share and fees as a total amount. For a close or assignment, select the opening trade's Lot ID. Cycles and Overview update automatically.</t>
  </si>
  <si>
    <t>Colors and calculations</t>
  </si>
  <si>
    <t>Light blue = input · Light gray = formula · Green = positive result · Red = negative result. Do not overwrite calculated cells.</t>
  </si>
  <si>
    <t>Overview shows the selected currency without conversion and the chosen reporting date. The demo has Sample Data; the download template starts empty.</t>
  </si>
  <si>
    <t>KPIs: net premiums = option credits minus buybacks; realized P/L = closed cycles; capital committed = open put collateral plus share cost; open cycles = active sequences.</t>
  </si>
  <si>
    <t>Important terms</t>
  </si>
  <si>
    <t>Cash-Secured Put: a sold put backed by capital for a possible share purchase. Covered Call: a sold call against shares you own.</t>
  </si>
  <si>
    <t>Assignment: exercise of an option; a put buys shares, while a call can sell shares you hold.</t>
  </si>
  <si>
    <t>Adjusted basis = negative cycle cashflow ÷ shares held. Repair Strike = basis − expected call premium + future fees ÷ shares + target profit per share, rounded up to the selected increment, with a minimum of 0.</t>
  </si>
  <si>
    <t>Net cashflow: cash movement from a transaction. Realized P/L: result of a fully closed cycle.</t>
  </si>
  <si>
    <t>Annualized return = (income ÷ peak capital) × 365 ÷ calendar days (minimum 1), from the first trade to close/reporting date. Open income = net premiums + dividends − fees; closed income = realized P/L. No compounding.</t>
  </si>
  <si>
    <t>Educational example · XYZ from the demo</t>
  </si>
  <si>
    <t>Illustrative: sell one put at strike 50 for 1.50 per share (× 100); after assignment hold 100 shares bought at 50, sell calls, then deliver the shares at 51.</t>
  </si>
  <si>
    <t>This closed demo cycle has 370.00 net premiums, a 24.00 dividend, and 1.95 in fees. Its realized P/L is USD 492.05; earlier cashflow was not realized profit.</t>
  </si>
  <si>
    <t>Please note</t>
  </si>
  <si>
    <t>Premiums and cashflow are not automatically profit. Open positions are not marked to market.</t>
  </si>
  <si>
    <t>This workbook is an educational tracking tool and does not replace financial or tax advice.</t>
  </si>
  <si>
    <t>BeInOptions | Wheel Strategy Tracker</t>
  </si>
  <si>
    <t>Yellow cells are inputs. Excel calculates formulas and cycles when the file opens.</t>
  </si>
  <si>
    <t>Currency (display only; no conversion)</t>
  </si>
  <si>
    <t>Use one Position ID per ticker and multiplier. Enter each position in ascending date order. Lot ID refers to the Event ID that opened the option lot.</t>
  </si>
  <si>
    <t>Cycle: first event while flat through the return to zero shares and zero open short options. Dividends and fees after closure remain in the prior cycle.</t>
  </si>
  <si>
    <t>Excel formulas do not sort events automatically. Keep each position's events in date order; same-day events follow row order. Capacity: 500 trades / 200 cycles.</t>
  </si>
  <si>
    <t>Position ID</t>
  </si>
  <si>
    <t>Ticker</t>
  </si>
  <si>
    <t>Trade date</t>
  </si>
  <si>
    <t>Lot ID (opening event)</t>
  </si>
  <si>
    <t>Contracts</t>
  </si>
  <si>
    <t>Premium / buyback price</t>
  </si>
  <si>
    <t>Amount (dividend/fee)</t>
  </si>
  <si>
    <t>Cash flow</t>
  </si>
  <si>
    <t>Cycle</t>
  </si>
  <si>
    <t>State</t>
  </si>
  <si>
    <t>Shares held</t>
  </si>
  <si>
    <t>Capital at risk</t>
  </si>
  <si>
    <t>Wheel cycles</t>
  </si>
  <si>
    <t>One row per cycle derived from the event ledger. Premiums, fees and realized P/L follow the Wheel Tracker engine.</t>
  </si>
  <si>
    <t>Position</t>
  </si>
  <si>
    <t>No.</t>
  </si>
  <si>
    <t>Start</t>
  </si>
  <si>
    <t>End</t>
  </si>
  <si>
    <t>Gross premium</t>
  </si>
  <si>
    <t>Dividends</t>
  </si>
  <si>
    <t>Share cost</t>
  </si>
  <si>
    <t>Share proceeds</t>
  </si>
  <si>
    <t>Net cash</t>
  </si>
  <si>
    <t>Cash secured</t>
  </si>
  <si>
    <t>Peak capital</t>
  </si>
  <si>
    <t>Put breakeven</t>
  </si>
  <si>
    <t>Return on capital</t>
  </si>
  <si>
    <t>Target profit/share</t>
  </si>
  <si>
    <t>Minimum repair strike</t>
  </si>
  <si>
    <t>P/L at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</si>
</sst>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yy"/>
    <numFmt numFmtId="165" formatCode="#,##0.00;[Red]\(#,##0.00\);0.00"/>
    <numFmt numFmtId="166" formatCode="#,##0.00;[Red]\(#,##0.00\);\–"/>
    <numFmt numFmtId="167" formatCode="#,##0;[Red]\(#,##0\);\–"/>
    <numFmt numFmtId="168" formatCode="0.0%;[Red]\(0.0%\);\–"/>
    <numFmt numFmtId="170" formatCode="dd\.mm\.yyyy"/>
    <numFmt numFmtId="171" formatCode="#,##0.##"/>
    <numFmt numFmtId="172" formatCode="#,##0.00;[Red]\(#,##0.00\);\-"/>
    <numFmt numFmtId="173" formatCode="0.0%;[Red]\(0.0%\);\-"/>
  </numFmts>
  <fonts count="31" x14ac:knownFonts="1">
    <font>
      <sz val="11"/>
      <color theme="1"/>
      <name val="Calibri"/>
      <family val="2"/>
      <scheme val="minor"/>
    </font>
    <font>
      <b/>
      <sz val="19"/>
      <color rgb="FF102A43"/>
      <name val="Aptos"/>
    </font>
    <font>
      <b/>
      <sz val="9"/>
      <color rgb="FF627D98"/>
      <name val="Aptos"/>
    </font>
    <font>
      <b/>
      <sz val="10"/>
      <color rgb="FF075985"/>
      <name val="Aptos"/>
    </font>
    <font>
      <sz val="10"/>
      <color rgb="FF627D98"/>
      <name val="Aptos"/>
    </font>
    <font>
      <b/>
      <sz val="9"/>
      <color rgb="FF075985"/>
      <name val="Aptos"/>
    </font>
    <font>
      <b/>
      <sz val="10"/>
      <color rgb="FF102A43"/>
      <name val="Aptos"/>
    </font>
    <font>
      <b/>
      <sz val="16"/>
      <color rgb="FF0284C7"/>
      <name val="Aptos"/>
    </font>
    <font>
      <b/>
      <sz val="20"/>
      <color rgb="FF0284C7"/>
      <name val="Aptos"/>
    </font>
    <font>
      <b/>
      <sz val="20"/>
      <color rgb="FF102A43"/>
      <name val="Aptos"/>
    </font>
    <font>
      <sz val="8"/>
      <color rgb="FF627D98"/>
      <name val="Aptos"/>
    </font>
    <font>
      <b/>
      <sz val="12"/>
      <color rgb="FF102A43"/>
      <name val="Aptos"/>
    </font>
    <font>
      <b/>
      <sz val="8.5"/>
      <color rgb="FF0284C7"/>
      <name val="Aptos"/>
    </font>
    <font>
      <b/>
      <sz val="9"/>
      <color rgb="FF0B8F9D"/>
      <name val="Aptos"/>
    </font>
    <font>
      <b/>
      <sz val="11"/>
      <color rgb="FF075985"/>
      <name val="Aptos"/>
    </font>
    <font>
      <sz val="9"/>
      <color rgb="FF627D98"/>
      <name val="Aptos"/>
    </font>
    <font>
      <b/>
      <sz val="17"/>
      <color rgb="FF102A43"/>
      <name val="Aptos"/>
    </font>
    <font>
      <sz val="10"/>
      <color rgb="FF075985"/>
      <name val="Aptos"/>
    </font>
    <font>
      <sz val="10"/>
      <color rgb="FF243B53"/>
      <name val="Aptos"/>
    </font>
    <font>
      <b/>
      <sz val="10"/>
      <color rgb="FF243B53"/>
      <name val="Aptos"/>
    </font>
    <font>
      <b/>
      <sz val="18"/>
      <color rgb="FF102A43"/>
      <name val="Aptos"/>
    </font>
    <font>
      <b/>
      <sz val="16"/>
      <color rgb="FF102A43"/>
      <name val="Arial"/>
    </font>
    <font>
      <sz val="10"/>
      <color rgb="FF627D98"/>
      <name val="Arial"/>
    </font>
    <font>
      <b/>
      <sz val="10"/>
      <color rgb="FF0000FF"/>
      <name val="Arial"/>
    </font>
    <font>
      <b/>
      <sz val="9"/>
      <color rgb="FF627D98"/>
      <name val="Arial"/>
    </font>
    <font>
      <sz val="9"/>
      <color rgb="FF627D98"/>
      <name val="Arial"/>
    </font>
    <font>
      <sz val="9"/>
      <color rgb="FFB91C1C"/>
      <name val="Arial"/>
    </font>
    <font>
      <b/>
      <sz val="9"/>
      <color rgb="FFFFFFFF"/>
      <name val="Arial"/>
    </font>
    <font>
      <sz val="10"/>
      <color rgb="FF0000FF"/>
      <name val="Arial"/>
    </font>
    <font>
      <b/>
      <sz val="10"/>
      <color rgb="FF243B53"/>
      <name val="Arial"/>
    </font>
    <font>
      <sz val="10"/>
      <color rgb="FF243B53"/>
      <name val="Arial"/>
    </font>
  </fonts>
  <fills count="18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EAF4FB"/>
        <bgColor rgb="FFEAF4FB"/>
      </patternFill>
    </fill>
    <fill>
      <patternFill patternType="solid">
        <fgColor rgb="FFE8F4FB"/>
        <bgColor rgb="FFE8F4FB"/>
      </patternFill>
    </fill>
    <fill>
      <patternFill patternType="solid">
        <fgColor rgb="FFF2F8FC"/>
        <bgColor rgb="FFF2F8FC"/>
      </patternFill>
    </fill>
    <fill>
      <patternFill patternType="solid">
        <fgColor rgb="FFFFFFFF"/>
        <bgColor rgb="FFFFFFFF"/>
      </patternFill>
    </fill>
    <fill>
      <patternFill patternType="solid">
        <fgColor rgb="FFDDEEF9"/>
        <bgColor rgb="FFDDEEF9"/>
      </patternFill>
    </fill>
    <fill>
      <patternFill patternType="solid">
        <fgColor rgb="FFF1F5F9"/>
        <bgColor rgb="FFF1F5F9"/>
      </patternFill>
    </fill>
    <fill>
      <patternFill patternType="solid">
        <fgColor rgb="FFF1F9FE"/>
        <bgColor rgb="FFF1F9FE"/>
      </patternFill>
    </fill>
    <fill>
      <patternFill patternType="solid">
        <fgColor rgb="FFE8EEF3"/>
        <bgColor rgb="FFE8EEF3"/>
      </patternFill>
    </fill>
    <fill>
      <patternFill patternType="solid">
        <fgColor rgb="FFF4F9FD"/>
        <bgColor rgb="FFF4F9FD"/>
      </patternFill>
    </fill>
    <fill>
      <patternFill patternType="solid">
        <fgColor rgb="FFE8F4FD"/>
      </patternFill>
    </fill>
    <fill>
      <patternFill patternType="solid">
        <fgColor rgb="FF102A43"/>
      </patternFill>
    </fill>
    <fill>
      <patternFill patternType="solid">
        <fgColor rgb="FFF4F9FD"/>
      </patternFill>
    </fill>
    <fill>
      <patternFill patternType="solid">
        <fgColor rgb="FFFFF8E6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9E5EF"/>
      </left>
      <right style="thin">
        <color rgb="FFD9E5EF"/>
      </right>
      <top style="thin">
        <color rgb="FFD9E5EF"/>
      </top>
      <bottom style="thin">
        <color rgb="FFD9E5E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3" borderId="0" xfId="0" applyFont="1" applyFill="1"/>
    <xf numFmtId="17" fontId="15" fillId="0" borderId="0" xfId="0" applyNumberFormat="1" applyFont="1"/>
    <xf numFmtId="166" fontId="15" fillId="0" borderId="0" xfId="0" applyNumberFormat="1" applyFont="1"/>
    <xf numFmtId="0" fontId="15" fillId="0" borderId="0" xfId="0" applyFont="1"/>
    <xf numFmtId="167" fontId="15" fillId="0" borderId="0" xfId="0" applyNumberFormat="1" applyFont="1"/>
    <xf numFmtId="167" fontId="3" fillId="2" borderId="0" xfId="0" applyNumberFormat="1" applyFont="1" applyFill="1"/>
    <xf numFmtId="0" fontId="6" fillId="7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167" fontId="17" fillId="2" borderId="1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166" fontId="18" fillId="8" borderId="1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left" vertical="center"/>
    </xf>
    <xf numFmtId="164" fontId="17" fillId="9" borderId="1" xfId="0" applyNumberFormat="1" applyFont="1" applyFill="1" applyBorder="1" applyAlignment="1">
      <alignment horizontal="right" vertical="center"/>
    </xf>
    <xf numFmtId="0" fontId="17" fillId="9" borderId="1" xfId="0" applyFont="1" applyFill="1" applyBorder="1" applyAlignment="1">
      <alignment horizontal="left" vertical="center"/>
    </xf>
    <xf numFmtId="167" fontId="17" fillId="9" borderId="1" xfId="0" applyNumberFormat="1" applyFont="1" applyFill="1" applyBorder="1" applyAlignment="1">
      <alignment horizontal="right" vertical="center"/>
    </xf>
    <xf numFmtId="166" fontId="17" fillId="9" borderId="1" xfId="0" applyNumberFormat="1" applyFont="1" applyFill="1" applyBorder="1" applyAlignment="1">
      <alignment horizontal="right" vertical="center"/>
    </xf>
    <xf numFmtId="166" fontId="18" fillId="10" borderId="1" xfId="0" applyNumberFormat="1" applyFont="1" applyFill="1" applyBorder="1" applyAlignment="1">
      <alignment horizontal="right" vertical="center"/>
    </xf>
    <xf numFmtId="0" fontId="18" fillId="10" borderId="1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167" fontId="18" fillId="8" borderId="1" xfId="0" applyNumberFormat="1" applyFont="1" applyFill="1" applyBorder="1" applyAlignment="1">
      <alignment horizontal="right" vertical="center"/>
    </xf>
    <xf numFmtId="166" fontId="19" fillId="8" borderId="1" xfId="0" applyNumberFormat="1" applyFont="1" applyFill="1" applyBorder="1" applyAlignment="1">
      <alignment horizontal="right" vertical="center"/>
    </xf>
    <xf numFmtId="168" fontId="18" fillId="8" borderId="1" xfId="0" applyNumberFormat="1" applyFont="1" applyFill="1" applyBorder="1" applyAlignment="1">
      <alignment horizontal="right" vertical="center"/>
    </xf>
    <xf numFmtId="164" fontId="18" fillId="8" borderId="1" xfId="0" applyNumberFormat="1" applyFont="1" applyFill="1" applyBorder="1" applyAlignment="1">
      <alignment horizontal="right" vertical="center"/>
    </xf>
    <xf numFmtId="0" fontId="19" fillId="10" borderId="1" xfId="0" applyFont="1" applyFill="1" applyBorder="1" applyAlignment="1">
      <alignment horizontal="left" vertical="center"/>
    </xf>
    <xf numFmtId="167" fontId="18" fillId="10" borderId="1" xfId="0" applyNumberFormat="1" applyFont="1" applyFill="1" applyBorder="1" applyAlignment="1">
      <alignment horizontal="right" vertical="center"/>
    </xf>
    <xf numFmtId="166" fontId="19" fillId="10" borderId="1" xfId="0" applyNumberFormat="1" applyFont="1" applyFill="1" applyBorder="1" applyAlignment="1">
      <alignment horizontal="right" vertical="center"/>
    </xf>
    <xf numFmtId="168" fontId="18" fillId="10" borderId="1" xfId="0" applyNumberFormat="1" applyFont="1" applyFill="1" applyBorder="1" applyAlignment="1">
      <alignment horizontal="right" vertical="center"/>
    </xf>
    <xf numFmtId="164" fontId="18" fillId="10" borderId="1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3" fillId="12" borderId="0" xfId="0" applyFont="1" applyFill="1"/>
    <xf numFmtId="0" fontId="24" fillId="0" borderId="0" xfId="0" applyFont="1"/>
    <xf numFmtId="170" fontId="23" fillId="12" borderId="0" xfId="0" applyNumberFormat="1" applyFont="1" applyFill="1"/>
    <xf numFmtId="0" fontId="27" fillId="13" borderId="2" xfId="0" applyFont="1" applyFill="1" applyBorder="1" applyAlignment="1">
      <alignment horizontal="center" vertical="center" wrapText="1"/>
    </xf>
    <xf numFmtId="0" fontId="28" fillId="12" borderId="0" xfId="0" applyFont="1" applyFill="1" applyAlignment="1">
      <alignment horizontal="left" vertical="center"/>
    </xf>
    <xf numFmtId="171" fontId="28" fillId="12" borderId="0" xfId="0" applyNumberFormat="1" applyFont="1" applyFill="1" applyAlignment="1">
      <alignment horizontal="right" vertical="center"/>
    </xf>
    <xf numFmtId="170" fontId="28" fillId="12" borderId="0" xfId="0" applyNumberFormat="1" applyFont="1" applyFill="1" applyAlignment="1">
      <alignment horizontal="right" vertical="center"/>
    </xf>
    <xf numFmtId="172" fontId="28" fillId="12" borderId="0" xfId="0" applyNumberFormat="1" applyFont="1" applyFill="1" applyAlignment="1">
      <alignment horizontal="right" vertical="center"/>
    </xf>
    <xf numFmtId="172" fontId="29" fillId="14" borderId="0" xfId="0" applyNumberFormat="1" applyFont="1" applyFill="1" applyAlignment="1">
      <alignment horizontal="right" vertical="center"/>
    </xf>
    <xf numFmtId="171" fontId="29" fillId="14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left" vertical="center"/>
    </xf>
    <xf numFmtId="171" fontId="30" fillId="14" borderId="0" xfId="0" applyNumberFormat="1" applyFont="1" applyFill="1" applyAlignment="1">
      <alignment horizontal="right" vertical="center"/>
    </xf>
    <xf numFmtId="172" fontId="30" fillId="14" borderId="0" xfId="0" applyNumberFormat="1" applyFont="1" applyFill="1" applyAlignment="1">
      <alignment horizontal="right" vertical="center"/>
    </xf>
    <xf numFmtId="172" fontId="0" fillId="0" borderId="0" xfId="0" applyNumberFormat="1"/>
    <xf numFmtId="171" fontId="0" fillId="0" borderId="0" xfId="0" applyNumberFormat="1"/>
    <xf numFmtId="0" fontId="28" fillId="15" borderId="0" xfId="0" applyFont="1" applyFill="1" applyAlignment="1">
      <alignment horizontal="left" vertical="center"/>
    </xf>
    <xf numFmtId="171" fontId="28" fillId="15" borderId="0" xfId="0" applyNumberFormat="1" applyFont="1" applyFill="1" applyAlignment="1">
      <alignment horizontal="right" vertical="center"/>
    </xf>
    <xf numFmtId="170" fontId="28" fillId="15" borderId="0" xfId="0" applyNumberFormat="1" applyFont="1" applyFill="1" applyAlignment="1">
      <alignment horizontal="right" vertical="center"/>
    </xf>
    <xf numFmtId="172" fontId="28" fillId="15" borderId="0" xfId="0" applyNumberFormat="1" applyFont="1" applyFill="1" applyAlignment="1">
      <alignment horizontal="right" vertical="center"/>
    </xf>
    <xf numFmtId="172" fontId="29" fillId="16" borderId="0" xfId="0" applyNumberFormat="1" applyFont="1" applyFill="1" applyAlignment="1">
      <alignment horizontal="right" vertical="center"/>
    </xf>
    <xf numFmtId="171" fontId="29" fillId="16" borderId="0" xfId="0" applyNumberFormat="1" applyFont="1" applyFill="1" applyAlignment="1">
      <alignment horizontal="right" vertical="center"/>
    </xf>
    <xf numFmtId="0" fontId="30" fillId="16" borderId="0" xfId="0" applyFont="1" applyFill="1" applyAlignment="1">
      <alignment horizontal="left" vertical="center"/>
    </xf>
    <xf numFmtId="171" fontId="30" fillId="16" borderId="0" xfId="0" applyNumberFormat="1" applyFont="1" applyFill="1" applyAlignment="1">
      <alignment horizontal="right" vertical="center"/>
    </xf>
    <xf numFmtId="172" fontId="30" fillId="16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right" vertical="center"/>
    </xf>
    <xf numFmtId="0" fontId="29" fillId="14" borderId="0" xfId="0" applyFont="1" applyFill="1" applyAlignment="1">
      <alignment horizontal="left" vertical="center"/>
    </xf>
    <xf numFmtId="170" fontId="30" fillId="14" borderId="0" xfId="0" applyNumberFormat="1" applyFont="1" applyFill="1" applyAlignment="1">
      <alignment horizontal="right" vertical="center"/>
    </xf>
    <xf numFmtId="3" fontId="30" fillId="14" borderId="0" xfId="0" applyNumberFormat="1" applyFont="1" applyFill="1" applyAlignment="1">
      <alignment horizontal="right" vertical="center"/>
    </xf>
    <xf numFmtId="173" fontId="30" fillId="14" borderId="0" xfId="0" applyNumberFormat="1" applyFont="1" applyFill="1" applyAlignment="1">
      <alignment horizontal="right" vertical="center"/>
    </xf>
    <xf numFmtId="0" fontId="30" fillId="17" borderId="0" xfId="0" applyFont="1" applyFill="1" applyAlignment="1">
      <alignment horizontal="right" vertical="center"/>
    </xf>
    <xf numFmtId="0" fontId="30" fillId="17" borderId="0" xfId="0" applyFont="1" applyFill="1" applyAlignment="1">
      <alignment horizontal="left" vertical="center"/>
    </xf>
    <xf numFmtId="0" fontId="29" fillId="17" borderId="0" xfId="0" applyFont="1" applyFill="1" applyAlignment="1">
      <alignment horizontal="left" vertical="center"/>
    </xf>
    <xf numFmtId="170" fontId="30" fillId="17" borderId="0" xfId="0" applyNumberFormat="1" applyFont="1" applyFill="1" applyAlignment="1">
      <alignment horizontal="right" vertical="center"/>
    </xf>
    <xf numFmtId="172" fontId="30" fillId="17" borderId="0" xfId="0" applyNumberFormat="1" applyFont="1" applyFill="1" applyAlignment="1">
      <alignment horizontal="right" vertical="center"/>
    </xf>
    <xf numFmtId="172" fontId="29" fillId="17" borderId="0" xfId="0" applyNumberFormat="1" applyFont="1" applyFill="1" applyAlignment="1">
      <alignment horizontal="right" vertical="center"/>
    </xf>
    <xf numFmtId="3" fontId="30" fillId="17" borderId="0" xfId="0" applyNumberFormat="1" applyFont="1" applyFill="1" applyAlignment="1">
      <alignment horizontal="right" vertical="center"/>
    </xf>
    <xf numFmtId="173" fontId="30" fillId="17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65" fontId="8" fillId="5" borderId="0" xfId="0" applyNumberFormat="1" applyFont="1" applyFill="1" applyAlignment="1">
      <alignment horizontal="left" vertical="center"/>
    </xf>
    <xf numFmtId="165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right" vertical="center"/>
    </xf>
    <xf numFmtId="0" fontId="10" fillId="5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8" fillId="11" borderId="0" xfId="0" applyFont="1" applyFill="1" applyAlignment="1">
      <alignment vertical="center" wrapText="1" indent="1"/>
    </xf>
    <xf numFmtId="0" fontId="18" fillId="6" borderId="0" xfId="0" applyFont="1" applyFill="1" applyAlignment="1">
      <alignment vertical="center" wrapText="1" inden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/>
  </cellXfs>
  <cellStyles count="1">
    <cellStyle name="Standard" xfId="0" builtinId="0"/>
  </cellStyles>
  <dxfs count="16"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047857"/>
      </font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A76300"/>
      </font>
      <numFmt numFmtId="169" formatCode=";;;&quot;● &quot;@"/>
    </dxf>
    <dxf>
      <font>
        <b/>
        <color rgb="FF047857"/>
      </font>
      <numFmt numFmtId="169" formatCode=";;;&quot;● &quot;@"/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  <fill>
        <patternFill patternType="solid">
          <fgColor rgb="FFECFDF3"/>
          <bgColor rgb="FFECFDF3"/>
        </patternFill>
      </fill>
    </dxf>
    <dxf>
      <font>
        <b/>
        <color rgb="FF0B6F82"/>
      </font>
      <fill>
        <patternFill patternType="solid">
          <fgColor rgb="FFCDF7F7"/>
          <bgColor rgb="FFCDF7F7"/>
        </patternFill>
      </fill>
    </dxf>
    <dxf>
      <font>
        <b/>
        <color rgb="FF075985"/>
      </font>
      <fill>
        <patternFill patternType="solid">
          <fgColor rgb="FFDDEDFE"/>
          <bgColor rgb="FFDDEDFE"/>
        </patternFill>
      </fill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tx>
            <c:v>Net premiums</c:v>
          </c:tx>
          <c:spPr>
            <a:solidFill>
              <a:srgbClr val="DBF0FB">
                <a:alpha val="70000"/>
              </a:srgbClr>
            </a:solidFill>
            <a:ln>
              <a:noFill/>
            </a:ln>
          </c:spPr>
          <c:cat>
            <c:strRef>
              <c:f>Overview!$D$50:$D$61</c:f>
              <c:strCache>
                <c:ptCount val="12"/>
                <c:pt idx="0">
                  <c:v>Nov 25</c:v>
                </c:pt>
                <c:pt idx="1">
                  <c:v>Dec 25</c:v>
                </c:pt>
                <c:pt idx="2">
                  <c:v>Jan 26</c:v>
                </c:pt>
                <c:pt idx="3">
                  <c:v>Feb 26</c:v>
                </c:pt>
                <c:pt idx="4">
                  <c:v>Mar 26</c:v>
                </c:pt>
                <c:pt idx="5">
                  <c:v>Apr 26</c:v>
                </c:pt>
                <c:pt idx="6">
                  <c:v>May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Oct 26</c:v>
                </c:pt>
              </c:strCache>
            </c:strRef>
          </c:cat>
          <c:val>
            <c:numRef>
              <c:f>Overview!WheelNetPremiumSeries</c:f>
              <c:numCache>
                <c:formatCode>#,##0.00;[Red]\(#,##0.00\);\–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</c:v>
                </c:pt>
                <c:pt idx="8">
                  <c:v>270</c:v>
                </c:pt>
                <c:pt idx="9">
                  <c:v>440</c:v>
                </c:pt>
                <c:pt idx="10">
                  <c:v>690</c:v>
                </c:pt>
                <c:pt idx="11">
                  <c:v>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54-46BD-8F30-23556795C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10001"/>
        <c:axId val="50010002"/>
      </c:areaChart>
      <c:lineChart>
        <c:grouping val="standard"/>
        <c:varyColors val="1"/>
        <c:ser>
          <c:idx val="1"/>
          <c:order val="1"/>
          <c:tx>
            <c:v>Net premiums</c:v>
          </c:tx>
          <c:spPr>
            <a:ln w="31750">
              <a:solidFill>
                <a:srgbClr val="087CBE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87CBE"/>
                </a:solidFill>
              </a:ln>
            </c:spPr>
          </c:marker>
          <c:cat>
            <c:strRef>
              <c:f>Overview!$D$50:$D$61</c:f>
              <c:strCache>
                <c:ptCount val="12"/>
                <c:pt idx="0">
                  <c:v>Nov 25</c:v>
                </c:pt>
                <c:pt idx="1">
                  <c:v>Dec 25</c:v>
                </c:pt>
                <c:pt idx="2">
                  <c:v>Jan 26</c:v>
                </c:pt>
                <c:pt idx="3">
                  <c:v>Feb 26</c:v>
                </c:pt>
                <c:pt idx="4">
                  <c:v>Mar 26</c:v>
                </c:pt>
                <c:pt idx="5">
                  <c:v>Apr 26</c:v>
                </c:pt>
                <c:pt idx="6">
                  <c:v>May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Oct 26</c:v>
                </c:pt>
              </c:strCache>
            </c:strRef>
          </c:cat>
          <c:val>
            <c:numRef>
              <c:f>Overview!WheelNetPremiumSeries</c:f>
              <c:numCache>
                <c:formatCode>#,##0.00;[Red]\(#,##0.00\);\–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</c:v>
                </c:pt>
                <c:pt idx="8">
                  <c:v>270</c:v>
                </c:pt>
                <c:pt idx="9">
                  <c:v>440</c:v>
                </c:pt>
                <c:pt idx="10">
                  <c:v>690</c:v>
                </c:pt>
                <c:pt idx="11">
                  <c:v>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54-46BD-8F30-23556795C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catAx>
        <c:axId val="50010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rgbClr val="CBD8E2"/>
            </a:solidFill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1"/>
      </c:catAx>
      <c:valAx>
        <c:axId val="50010002"/>
        <c:scaling>
          <c:orientation val="minMax"/>
        </c:scaling>
        <c:delete val="0"/>
        <c:axPos val="l"/>
        <c:majorGridlines>
          <c:spPr>
            <a:ln w="6350">
              <a:solidFill>
                <a:srgbClr val="E7EEF5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strRef>
          <c:f>Overview!$V$5</c:f>
          <c:strCache>
            <c:ptCount val="1"/>
            <c:pt idx="0">
              <c:v>4
cycles</c:v>
            </c:pt>
          </c:strCache>
        </c:strRef>
      </c:tx>
      <c:layout>
        <c:manualLayout>
          <c:xMode val="edge"/>
          <c:yMode val="edge"/>
          <c:x val="0.40500000000000003"/>
          <c:y val="0.47"/>
        </c:manualLayout>
      </c:layout>
      <c:overlay val="1"/>
      <c:txPr>
        <a:bodyPr/>
        <a:lstStyle/>
        <a:p>
          <a:pPr>
            <a:defRPr sz="1300" b="1" baseline="0">
              <a:solidFill>
                <a:srgbClr val="122B4A"/>
              </a:solidFill>
              <a:latin typeface="Apto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Cycle phases</c:v>
          </c:tx>
          <c:dPt>
            <c:idx val="0"/>
            <c:bubble3D val="0"/>
            <c:spPr>
              <a:solidFill>
                <a:srgbClr val="0284C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2B81-40F8-9589-3AD9558A6A76}"/>
              </c:ext>
            </c:extLst>
          </c:dPt>
          <c:dPt>
            <c:idx val="1"/>
            <c:bubble3D val="0"/>
            <c:spPr>
              <a:solidFill>
                <a:srgbClr val="31BED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2B81-40F8-9589-3AD9558A6A76}"/>
              </c:ext>
            </c:extLst>
          </c:dPt>
          <c:dPt>
            <c:idx val="2"/>
            <c:bubble3D val="0"/>
            <c:spPr>
              <a:solidFill>
                <a:srgbClr val="07598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2B81-40F8-9589-3AD9558A6A76}"/>
              </c:ext>
            </c:extLst>
          </c:dPt>
          <c:cat>
            <c:strRef>
              <c:f>Overview!$E$50:$E$52</c:f>
              <c:strCache>
                <c:ptCount val="3"/>
                <c:pt idx="0">
                  <c:v>Cash-Secured Put</c:v>
                </c:pt>
                <c:pt idx="1">
                  <c:v>Shares Held</c:v>
                </c:pt>
                <c:pt idx="2">
                  <c:v>Covered Call</c:v>
                </c:pt>
              </c:strCache>
            </c:strRef>
          </c:cat>
          <c:val>
            <c:numRef>
              <c:f>Overview!$F$50:$F$52</c:f>
              <c:numCache>
                <c:formatCode>#,##0;[Red]\(#,##0\);\–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81-40F8-9589-3AD9558A6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7"/>
      </c:doughnutChart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.xml"/><Relationship Id="rId3" Type="http://schemas.openxmlformats.org/officeDocument/2006/relationships/image" Target="../media/image3.png"/><Relationship Id="rId7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1</xdr:row>
      <xdr:rowOff>9525</xdr:rowOff>
    </xdr:from>
    <xdr:to>
      <xdr:col>1</xdr:col>
      <xdr:colOff>79283</xdr:colOff>
      <xdr:row>4</xdr:row>
      <xdr:rowOff>50708</xdr:rowOff>
    </xdr:to>
    <xdr:pic>
      <xdr:nvPicPr>
        <xdr:cNvPr id="2" name="Picture 1" descr="BeInOption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04775"/>
          <a:ext cx="736508" cy="736508"/>
        </a:xfrm>
        <a:prstGeom prst="rect">
          <a:avLst/>
        </a:prstGeom>
      </xdr:spPr>
    </xdr:pic>
    <xdr:clientData/>
  </xdr:twoCellAnchor>
  <xdr:twoCellAnchor editAs="absolute">
    <xdr:from>
      <xdr:col>15</xdr:col>
      <xdr:colOff>95250</xdr:colOff>
      <xdr:row>10</xdr:row>
      <xdr:rowOff>0</xdr:rowOff>
    </xdr:from>
    <xdr:to>
      <xdr:col>18</xdr:col>
      <xdr:colOff>323850</xdr:colOff>
      <xdr:row>17</xdr:row>
      <xdr:rowOff>29656</xdr:rowOff>
    </xdr:to>
    <xdr:pic>
      <xdr:nvPicPr>
        <xdr:cNvPr id="3" name="Picture 2" descr="BeInOptions Put and Call mascot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2085975"/>
          <a:ext cx="2286000" cy="1429831"/>
        </a:xfrm>
        <a:prstGeom prst="rect">
          <a:avLst/>
        </a:prstGeom>
      </xdr:spPr>
    </xdr:pic>
    <xdr:clientData/>
  </xdr:twoCellAnchor>
  <xdr:twoCellAnchor editAs="absolute">
    <xdr:from>
      <xdr:col>0</xdr:col>
      <xdr:colOff>47625</xdr:colOff>
      <xdr:row>4</xdr:row>
      <xdr:rowOff>9525</xdr:rowOff>
    </xdr:from>
    <xdr:to>
      <xdr:col>0</xdr:col>
      <xdr:colOff>248793</xdr:colOff>
      <xdr:row>4</xdr:row>
      <xdr:rowOff>210693</xdr:rowOff>
    </xdr:to>
    <xdr:pic>
      <xdr:nvPicPr>
        <xdr:cNvPr id="4" name="Picture 3" descr="Coins KPI ic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5</xdr:col>
      <xdr:colOff>47625</xdr:colOff>
      <xdr:row>4</xdr:row>
      <xdr:rowOff>9525</xdr:rowOff>
    </xdr:from>
    <xdr:to>
      <xdr:col>5</xdr:col>
      <xdr:colOff>248793</xdr:colOff>
      <xdr:row>4</xdr:row>
      <xdr:rowOff>210693</xdr:rowOff>
    </xdr:to>
    <xdr:pic>
      <xdr:nvPicPr>
        <xdr:cNvPr id="5" name="Picture 4" descr="Target KPI 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813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10</xdr:col>
      <xdr:colOff>47625</xdr:colOff>
      <xdr:row>4</xdr:row>
      <xdr:rowOff>9525</xdr:rowOff>
    </xdr:from>
    <xdr:to>
      <xdr:col>10</xdr:col>
      <xdr:colOff>248793</xdr:colOff>
      <xdr:row>4</xdr:row>
      <xdr:rowOff>210693</xdr:rowOff>
    </xdr:to>
    <xdr:pic>
      <xdr:nvPicPr>
        <xdr:cNvPr id="6" name="Picture 5" descr="Lock KPI ic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150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15</xdr:col>
      <xdr:colOff>47625</xdr:colOff>
      <xdr:row>4</xdr:row>
      <xdr:rowOff>9525</xdr:rowOff>
    </xdr:from>
    <xdr:to>
      <xdr:col>15</xdr:col>
      <xdr:colOff>248793</xdr:colOff>
      <xdr:row>4</xdr:row>
      <xdr:rowOff>210693</xdr:rowOff>
    </xdr:to>
    <xdr:pic>
      <xdr:nvPicPr>
        <xdr:cNvPr id="7" name="Picture 6" descr="Cycle KPI ic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487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</xdr:row>
      <xdr:rowOff>0</xdr:rowOff>
    </xdr:from>
    <xdr:to>
      <xdr:col>9</xdr:col>
      <xdr:colOff>38100</xdr:colOff>
      <xdr:row>21</xdr:row>
      <xdr:rowOff>114300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10</xdr:col>
      <xdr:colOff>0</xdr:colOff>
      <xdr:row>10</xdr:row>
      <xdr:rowOff>0</xdr:rowOff>
    </xdr:from>
    <xdr:to>
      <xdr:col>12</xdr:col>
      <xdr:colOff>533400</xdr:colOff>
      <xdr:row>20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0</xdr:col>
      <xdr:colOff>0</xdr:colOff>
      <xdr:row>4</xdr:row>
      <xdr:rowOff>0</xdr:rowOff>
    </xdr:from>
    <xdr:to>
      <xdr:col>3</xdr:col>
      <xdr:colOff>647700</xdr:colOff>
      <xdr:row>8</xdr:row>
      <xdr:rowOff>9525</xdr:rowOff>
    </xdr:to>
    <xdr:sp macro="" textlink="">
      <xdr:nvSpPr>
        <xdr:cNvPr id="10" name="TextBox 9" descr="KPI card outlin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5</xdr:col>
      <xdr:colOff>0</xdr:colOff>
      <xdr:row>4</xdr:row>
      <xdr:rowOff>0</xdr:rowOff>
    </xdr:from>
    <xdr:to>
      <xdr:col>8</xdr:col>
      <xdr:colOff>647700</xdr:colOff>
      <xdr:row>8</xdr:row>
      <xdr:rowOff>9525</xdr:rowOff>
    </xdr:to>
    <xdr:sp macro="" textlink="">
      <xdr:nvSpPr>
        <xdr:cNvPr id="11" name="TextBox 10" descr="KPI card outlin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337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10</xdr:col>
      <xdr:colOff>0</xdr:colOff>
      <xdr:row>4</xdr:row>
      <xdr:rowOff>0</xdr:rowOff>
    </xdr:from>
    <xdr:to>
      <xdr:col>13</xdr:col>
      <xdr:colOff>647700</xdr:colOff>
      <xdr:row>8</xdr:row>
      <xdr:rowOff>9525</xdr:rowOff>
    </xdr:to>
    <xdr:sp macro="" textlink="">
      <xdr:nvSpPr>
        <xdr:cNvPr id="12" name="TextBox 11" descr="KPI card outlin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8674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15</xdr:col>
      <xdr:colOff>0</xdr:colOff>
      <xdr:row>4</xdr:row>
      <xdr:rowOff>0</xdr:rowOff>
    </xdr:from>
    <xdr:to>
      <xdr:col>18</xdr:col>
      <xdr:colOff>647700</xdr:colOff>
      <xdr:row>8</xdr:row>
      <xdr:rowOff>9525</xdr:rowOff>
    </xdr:to>
    <xdr:sp macro="" textlink="">
      <xdr:nvSpPr>
        <xdr:cNvPr id="13" name="TextBox 12" descr="KPI card outlin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011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heelTradesEN" displayName="WheelTradesEN" ref="A8:S508">
  <autoFilter ref="A8:S508" xr:uid="{00000000-0009-0000-0100-000001000000}"/>
  <tableColumns count="19">
    <tableColumn id="1" xr3:uid="{00000000-0010-0000-0000-000001000000}" name="Date" totalsRowLabel="Total"/>
    <tableColumn id="2" xr3:uid="{00000000-0010-0000-0000-000002000000}" name="Cycle ID"/>
    <tableColumn id="3" xr3:uid="{00000000-0010-0000-0000-000003000000}" name="Symbol"/>
    <tableColumn id="4" xr3:uid="{00000000-0010-0000-0000-000004000000}" name="Currency"/>
    <tableColumn id="5" xr3:uid="{00000000-0010-0000-0000-000005000000}" name="Action"/>
    <tableColumn id="6" xr3:uid="{00000000-0010-0000-0000-000006000000}" name="Quantity (contracts/shares)"/>
    <tableColumn id="7" xr3:uid="{00000000-0010-0000-0000-000007000000}" name="Strike"/>
    <tableColumn id="8" xr3:uid="{00000000-0010-0000-0000-000008000000}" name="Expiry"/>
    <tableColumn id="9" xr3:uid="{00000000-0010-0000-0000-000009000000}" name="Premium / share"/>
    <tableColumn id="10" xr3:uid="{00000000-0010-0000-0000-00000A000000}" name="Fees"/>
    <tableColumn id="11" xr3:uid="{00000000-0010-0000-0000-00000B000000}" name="Net cashflow"/>
    <tableColumn id="12" xr3:uid="{00000000-0010-0000-0000-00000C000000}" name="Multiplier"/>
    <tableColumn id="13" xr3:uid="{00000000-0010-0000-0000-00000D000000}" name="Share price"/>
    <tableColumn id="14" xr3:uid="{00000000-0010-0000-0000-00000E000000}" name="Lot ID"/>
    <tableColumn id="15" xr3:uid="{00000000-0010-0000-0000-00000F000000}" name="Event ID"/>
    <tableColumn id="16" xr3:uid="{00000000-0010-0000-0000-000010000000}" name="Note"/>
    <tableColumn id="17" xr3:uid="{00000000-0010-0000-0000-000011000000}" name="Roll close price"/>
    <tableColumn id="18" xr3:uid="{00000000-0010-0000-0000-000012000000}" name="Other amount"/>
    <tableColumn id="19" xr3:uid="{00000000-0010-0000-0000-000013000000}" name="Check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ColWidth="9.140625" defaultRowHeight="18" customHeight="1" x14ac:dyDescent="0.25"/>
  <cols>
    <col min="1" max="4" width="9.42578125" customWidth="1"/>
    <col min="5" max="5" width="2.140625" customWidth="1"/>
    <col min="6" max="9" width="9.42578125" customWidth="1"/>
    <col min="10" max="10" width="2.140625" customWidth="1"/>
    <col min="11" max="14" width="9.42578125" customWidth="1"/>
    <col min="15" max="15" width="2.140625" customWidth="1"/>
    <col min="16" max="19" width="9.42578125" customWidth="1"/>
    <col min="20" max="22" width="9" hidden="1" customWidth="1"/>
  </cols>
  <sheetData>
    <row r="1" spans="1:22" ht="8.1" customHeight="1" x14ac:dyDescent="0.25"/>
    <row r="2" spans="1:22" ht="33.950000000000003" customHeight="1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N2" s="75" t="s">
        <v>1</v>
      </c>
      <c r="O2" s="75"/>
      <c r="P2" s="1" t="s">
        <v>2</v>
      </c>
      <c r="Q2" s="2" t="s">
        <v>3</v>
      </c>
      <c r="R2" s="76">
        <v>46313</v>
      </c>
      <c r="S2" s="76"/>
      <c r="U2">
        <f>SUMIFS(Cycles!$H$9:$H$208,Cycles!$C$9:$C$208,$P$2,Cycles!$R$9:$R$208,"OK")</f>
        <v>970</v>
      </c>
    </row>
    <row r="3" spans="1:22" ht="23.1" customHeight="1" x14ac:dyDescent="0.25">
      <c r="B3" s="77" t="s">
        <v>4</v>
      </c>
      <c r="C3" s="77"/>
      <c r="D3" s="77"/>
      <c r="E3" s="77"/>
      <c r="F3" s="77"/>
      <c r="G3" s="77"/>
      <c r="H3" s="77"/>
      <c r="I3" s="77"/>
      <c r="J3" s="77"/>
      <c r="N3" s="78" t="s">
        <v>5</v>
      </c>
      <c r="O3" s="78"/>
      <c r="P3" s="78"/>
      <c r="Q3" s="78"/>
      <c r="R3" s="78"/>
      <c r="S3" s="78"/>
      <c r="U3">
        <f>SUMIFS(Cycles!$N$9:$N$208,Cycles!$C$9:$C$208,$P$2,Cycles!$R$9:$R$208,"OK")</f>
        <v>613.85</v>
      </c>
    </row>
    <row r="4" spans="1:22" ht="5.0999999999999996" customHeight="1" x14ac:dyDescent="0.25">
      <c r="U4">
        <f>SUMIFS(Cycles!$P$9:$P$208,Cycles!$C$9:$C$208,$P$2,Cycles!$Q$9:$Q$208,"Open",Cycles!$R$9:$R$208,"OK")</f>
        <v>16100</v>
      </c>
    </row>
    <row r="5" spans="1:22" ht="18" customHeight="1" x14ac:dyDescent="0.25">
      <c r="A5" s="3"/>
      <c r="B5" s="79" t="s">
        <v>6</v>
      </c>
      <c r="C5" s="79"/>
      <c r="D5" s="79"/>
      <c r="F5" s="3"/>
      <c r="G5" s="79" t="s">
        <v>7</v>
      </c>
      <c r="H5" s="79"/>
      <c r="I5" s="79"/>
      <c r="K5" s="3"/>
      <c r="L5" s="79" t="s">
        <v>8</v>
      </c>
      <c r="M5" s="79"/>
      <c r="N5" s="79"/>
      <c r="P5" s="3"/>
      <c r="Q5" s="79" t="s">
        <v>9</v>
      </c>
      <c r="R5" s="79"/>
      <c r="S5" s="79"/>
      <c r="U5">
        <f>COUNTIFS(Cycles!$C$9:$C$208,$P$2,Cycles!$Q$9:$Q$208,"Open",Cycles!$R$9:$R$208,"OK")</f>
        <v>4</v>
      </c>
      <c r="V5" t="str">
        <f>TEXT(U5,"0")&amp;CHAR(10)&amp;"cycles"</f>
        <v>4
cycles</v>
      </c>
    </row>
    <row r="6" spans="1:22" ht="21" customHeight="1" x14ac:dyDescent="0.25">
      <c r="A6" s="83" t="str">
        <f>IF($P$2="USD","$","€")</f>
        <v>$</v>
      </c>
      <c r="B6" s="80">
        <f>$U$2</f>
        <v>970</v>
      </c>
      <c r="C6" s="80"/>
      <c r="D6" s="80"/>
      <c r="F6" s="83" t="str">
        <f>IF($P$2="USD","$","€")</f>
        <v>$</v>
      </c>
      <c r="G6" s="81">
        <f>$U$3</f>
        <v>613.85</v>
      </c>
      <c r="H6" s="81"/>
      <c r="I6" s="81"/>
      <c r="K6" s="83" t="str">
        <f>IF($P$2="USD","$","€")</f>
        <v>$</v>
      </c>
      <c r="L6" s="81">
        <f>$U$4</f>
        <v>16100</v>
      </c>
      <c r="M6" s="81"/>
      <c r="N6" s="81"/>
      <c r="P6" s="82">
        <f>$U$5</f>
        <v>4</v>
      </c>
      <c r="Q6" s="82"/>
      <c r="R6" s="82"/>
      <c r="S6" s="82"/>
      <c r="U6">
        <f>COUNTIFS(Cycles!$C$9:$C$208,$P$2,Cycles!$Q$9:$Q$208,"Closed",Cycles!$R$9:$R$208,"OK")</f>
        <v>4</v>
      </c>
    </row>
    <row r="7" spans="1:22" ht="21" customHeight="1" x14ac:dyDescent="0.25">
      <c r="A7" s="83"/>
      <c r="B7" s="80"/>
      <c r="C7" s="80"/>
      <c r="D7" s="80"/>
      <c r="F7" s="83"/>
      <c r="G7" s="81"/>
      <c r="H7" s="81"/>
      <c r="I7" s="81"/>
      <c r="K7" s="83"/>
      <c r="L7" s="81"/>
      <c r="M7" s="81"/>
      <c r="N7" s="81"/>
      <c r="P7" s="82"/>
      <c r="Q7" s="82"/>
      <c r="R7" s="82"/>
      <c r="S7" s="82"/>
      <c r="U7">
        <f>IFERROR(AVERAGEIFS(Cycles!$O$9:$O$208,Cycles!$C$9:$C$208,$P$2,Cycles!$Q$9:$Q$208,"Closed",Cycles!$R$9:$R$208,"OK"),0)</f>
        <v>0.30044950000000004</v>
      </c>
    </row>
    <row r="8" spans="1:22" ht="14.1" customHeight="1" x14ac:dyDescent="0.25">
      <c r="A8" s="84" t="s">
        <v>10</v>
      </c>
      <c r="B8" s="84"/>
      <c r="C8" s="84"/>
      <c r="D8" s="84"/>
      <c r="F8" s="84" t="s">
        <v>11</v>
      </c>
      <c r="G8" s="84"/>
      <c r="H8" s="84"/>
      <c r="I8" s="84"/>
      <c r="K8" s="84" t="s">
        <v>12</v>
      </c>
      <c r="L8" s="84"/>
      <c r="M8" s="84"/>
      <c r="N8" s="84"/>
      <c r="P8" s="84" t="str">
        <f>$U$6&amp;" closed"</f>
        <v>4 closed</v>
      </c>
      <c r="Q8" s="84"/>
      <c r="R8" s="84"/>
      <c r="S8" s="84"/>
    </row>
    <row r="9" spans="1:22" ht="5.0999999999999996" customHeight="1" x14ac:dyDescent="0.25"/>
    <row r="10" spans="1:22" ht="24" customHeight="1" x14ac:dyDescent="0.25">
      <c r="A10" s="85" t="str">
        <f>"Cumulative net premiums · last 12 months ("&amp;P2&amp;")"</f>
        <v>Cumulative net premiums · last 12 months (USD)</v>
      </c>
      <c r="B10" s="85"/>
      <c r="C10" s="85"/>
      <c r="D10" s="85"/>
      <c r="E10" s="85"/>
      <c r="F10" s="85"/>
      <c r="G10" s="85"/>
      <c r="H10" s="85"/>
      <c r="I10" s="85"/>
      <c r="J10" s="85"/>
      <c r="K10" s="85" t="s">
        <v>13</v>
      </c>
      <c r="L10" s="85"/>
      <c r="M10" s="85"/>
      <c r="N10" s="85"/>
      <c r="O10" s="85"/>
      <c r="P10" s="4"/>
      <c r="Q10" s="4"/>
      <c r="R10" s="4"/>
      <c r="S10" s="4"/>
    </row>
    <row r="11" spans="1:22" ht="15.9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</row>
    <row r="12" spans="1:22" ht="15.9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86" t="str">
        <f>E50&amp;CHAR(10)&amp;F50</f>
        <v>Cash-Secured Put
2</v>
      </c>
      <c r="O12" s="86"/>
      <c r="P12" s="4"/>
      <c r="Q12" s="4"/>
      <c r="R12" s="4"/>
      <c r="S12" s="4"/>
    </row>
    <row r="13" spans="1:22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86"/>
      <c r="O13" s="86"/>
      <c r="P13" s="4"/>
      <c r="Q13" s="4"/>
      <c r="R13" s="4"/>
      <c r="S13" s="4"/>
    </row>
    <row r="14" spans="1:22" ht="15.9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86"/>
      <c r="O14" s="86"/>
      <c r="P14" s="4"/>
      <c r="Q14" s="4"/>
      <c r="R14" s="4"/>
      <c r="S14" s="4"/>
    </row>
    <row r="15" spans="1:22" ht="15.9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4"/>
      <c r="Q15" s="4"/>
      <c r="R15" s="4"/>
      <c r="S15" s="4"/>
    </row>
    <row r="16" spans="1:22" ht="15.9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87" t="str">
        <f>E51&amp;CHAR(10)&amp;F51</f>
        <v>Shares Held
1</v>
      </c>
      <c r="O16" s="87"/>
      <c r="P16" s="4"/>
      <c r="Q16" s="4"/>
      <c r="R16" s="4"/>
      <c r="S16" s="4"/>
    </row>
    <row r="17" spans="1:19" ht="15.9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87"/>
      <c r="O17" s="87"/>
      <c r="P17" s="4"/>
      <c r="Q17" s="4"/>
      <c r="R17" s="4"/>
      <c r="S17" s="4"/>
    </row>
    <row r="18" spans="1:19" ht="18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87"/>
      <c r="O18" s="87"/>
      <c r="P18" s="88" t="s">
        <v>14</v>
      </c>
      <c r="Q18" s="88"/>
      <c r="R18" s="88"/>
      <c r="S18" s="88"/>
    </row>
    <row r="19" spans="1:19" ht="18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88"/>
      <c r="Q19" s="88"/>
      <c r="R19" s="88"/>
      <c r="S19" s="88"/>
    </row>
    <row r="20" spans="1:19" ht="18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89" t="str">
        <f>E52&amp;CHAR(10)&amp;F52</f>
        <v>Covered Call
1</v>
      </c>
      <c r="O20" s="89"/>
      <c r="P20" s="88"/>
      <c r="Q20" s="88"/>
      <c r="R20" s="88"/>
      <c r="S20" s="88"/>
    </row>
    <row r="21" spans="1:19" ht="18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89"/>
      <c r="O21" s="89"/>
      <c r="P21" s="88"/>
      <c r="Q21" s="88"/>
      <c r="R21" s="88"/>
      <c r="S21" s="88"/>
    </row>
    <row r="22" spans="1:19" ht="18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89"/>
      <c r="O22" s="89"/>
      <c r="P22" s="4"/>
      <c r="Q22" s="4"/>
      <c r="R22" s="4"/>
      <c r="S22" s="4"/>
    </row>
    <row r="23" spans="1:19" ht="18" customHeight="1" x14ac:dyDescent="0.25">
      <c r="A23" s="90" t="str">
        <f>IF(COUNT(Trades!$A$9:$A$508)=0,"No trades yet · start in Trades","")</f>
        <v/>
      </c>
      <c r="B23" s="90"/>
      <c r="C23" s="90"/>
      <c r="D23" s="90"/>
      <c r="E23" s="90"/>
      <c r="F23" s="90"/>
      <c r="G23" s="90"/>
      <c r="H23" s="90"/>
      <c r="I23" s="90"/>
      <c r="J23" s="90"/>
      <c r="K23" s="91" t="str">
        <f>IF($U$5=0,"No open cycles","")</f>
        <v/>
      </c>
      <c r="L23" s="91"/>
      <c r="M23" s="91"/>
      <c r="N23" s="91"/>
      <c r="O23" s="91"/>
    </row>
    <row r="24" spans="1:19" ht="18" customHeight="1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1"/>
      <c r="L24" s="91"/>
      <c r="M24" s="91"/>
      <c r="N24" s="91"/>
      <c r="O24" s="91"/>
    </row>
    <row r="25" spans="1:19" ht="18" customHeight="1" x14ac:dyDescent="0.25">
      <c r="A25" s="92" t="s">
        <v>15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spans="1:19" ht="18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9" ht="18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9" ht="21.95" customHeight="1" x14ac:dyDescent="0.25"/>
    <row r="49" spans="1:6" ht="15" hidden="1" x14ac:dyDescent="0.25">
      <c r="A49" s="6" t="s">
        <v>16</v>
      </c>
      <c r="B49" s="6" t="s">
        <v>17</v>
      </c>
      <c r="C49" s="6" t="s">
        <v>18</v>
      </c>
      <c r="D49" t="s">
        <v>19</v>
      </c>
      <c r="E49" s="6"/>
      <c r="F49" s="6"/>
    </row>
    <row r="50" spans="1:6" ht="15" hidden="1" x14ac:dyDescent="0.25">
      <c r="A50" s="7">
        <f>EOMONTH($R$2,-13+ROWS($A$50:A50))+1</f>
        <v>45962</v>
      </c>
      <c r="B50" s="8">
        <f>SUMIFS(_EngineTrades!$R$9:$R$508,Trades!$D$9:$D$508,$P$2,Trades!$T$9:$T$508,"OK",Trades!$A$9:$A$508,"&gt;="&amp;A50,Trades!$A$9:$A$508,"&lt;"&amp;EDATE(A50,1))</f>
        <v>0</v>
      </c>
      <c r="C50" s="8">
        <f>IF(COUNT(Trades!$A$9:$A$508)=0,"",B50)</f>
        <v>0</v>
      </c>
      <c r="D50" t="str">
        <f t="shared" ref="D50:D61" si="0">CHOOSE(MONTH(A50),"Jan","Feb","Mar","Apr","May","Jun","Jul","Aug","Sep","Oct","Nov","Dec")&amp;" "&amp;RIGHT(YEAR(A50),2)</f>
        <v>Nov 25</v>
      </c>
      <c r="E50" s="9" t="s">
        <v>20</v>
      </c>
      <c r="F50" s="10">
        <f>COUNTIFS(Cycles!$C$9:$C$208,$P$2,Cycles!$D$9:$D$208,E50,Cycles!$Q$9:$Q$208,"Open",Cycles!$R$9:$R$208,"OK")</f>
        <v>2</v>
      </c>
    </row>
    <row r="51" spans="1:6" ht="15" hidden="1" x14ac:dyDescent="0.25">
      <c r="A51" s="7">
        <f>EOMONTH($R$2,-13+ROWS($A$50:A51))+1</f>
        <v>45992</v>
      </c>
      <c r="B51" s="8">
        <f>SUMIFS(_EngineTrades!$R$9:$R$508,Trades!$D$9:$D$508,$P$2,Trades!$T$9:$T$508,"OK",Trades!$A$9:$A$508,"&gt;="&amp;A51,Trades!$A$9:$A$508,"&lt;"&amp;EDATE(A51,1))</f>
        <v>0</v>
      </c>
      <c r="C51" s="8">
        <f>IF(COUNT(Trades!$A$9:$A$508)=0,"",C50+B51)</f>
        <v>0</v>
      </c>
      <c r="D51" t="str">
        <f t="shared" si="0"/>
        <v>Dec 25</v>
      </c>
      <c r="E51" s="9" t="s">
        <v>21</v>
      </c>
      <c r="F51" s="10">
        <f>COUNTIFS(Cycles!$C$9:$C$208,$P$2,Cycles!$D$9:$D$208,E51,Cycles!$Q$9:$Q$208,"Open",Cycles!$R$9:$R$208,"OK")</f>
        <v>1</v>
      </c>
    </row>
    <row r="52" spans="1:6" ht="15" hidden="1" x14ac:dyDescent="0.25">
      <c r="A52" s="7">
        <f>EOMONTH($R$2,-13+ROWS($A$50:A52))+1</f>
        <v>46023</v>
      </c>
      <c r="B52" s="8">
        <f>SUMIFS(_EngineTrades!$R$9:$R$508,Trades!$D$9:$D$508,$P$2,Trades!$T$9:$T$508,"OK",Trades!$A$9:$A$508,"&gt;="&amp;A52,Trades!$A$9:$A$508,"&lt;"&amp;EDATE(A52,1))</f>
        <v>0</v>
      </c>
      <c r="C52" s="8">
        <f>IF(COUNT(Trades!$A$9:$A$508)=0,"",C51+B52)</f>
        <v>0</v>
      </c>
      <c r="D52" t="str">
        <f t="shared" si="0"/>
        <v>Jan 26</v>
      </c>
      <c r="E52" s="9" t="s">
        <v>22</v>
      </c>
      <c r="F52" s="10">
        <f>COUNTIFS(Cycles!$C$9:$C$208,$P$2,Cycles!$D$9:$D$208,E52,Cycles!$Q$9:$Q$208,"Open",Cycles!$R$9:$R$208,"OK")</f>
        <v>1</v>
      </c>
    </row>
    <row r="53" spans="1:6" ht="15" hidden="1" x14ac:dyDescent="0.25">
      <c r="A53" s="7">
        <f>EOMONTH($R$2,-13+ROWS($A$50:A53))+1</f>
        <v>46054</v>
      </c>
      <c r="B53" s="8">
        <f>SUMIFS(_EngineTrades!$R$9:$R$508,Trades!$D$9:$D$508,$P$2,Trades!$T$9:$T$508,"OK",Trades!$A$9:$A$508,"&gt;="&amp;A53,Trades!$A$9:$A$508,"&lt;"&amp;EDATE(A53,1))</f>
        <v>0</v>
      </c>
      <c r="C53" s="8">
        <f>IF(COUNT(Trades!$A$9:$A$508)=0,"",C52+B53)</f>
        <v>0</v>
      </c>
      <c r="D53" t="str">
        <f t="shared" si="0"/>
        <v>Feb 26</v>
      </c>
      <c r="E53" s="9" t="s">
        <v>23</v>
      </c>
      <c r="F53" s="10">
        <f>0</f>
        <v>0</v>
      </c>
    </row>
    <row r="54" spans="1:6" ht="15" hidden="1" x14ac:dyDescent="0.25">
      <c r="A54" s="7">
        <f>EOMONTH($R$2,-13+ROWS($A$50:A54))+1</f>
        <v>46082</v>
      </c>
      <c r="B54" s="8">
        <f>SUMIFS(_EngineTrades!$R$9:$R$508,Trades!$D$9:$D$508,$P$2,Trades!$T$9:$T$508,"OK",Trades!$A$9:$A$508,"&gt;="&amp;A54,Trades!$A$9:$A$508,"&lt;"&amp;EDATE(A54,1))</f>
        <v>0</v>
      </c>
      <c r="C54" s="8">
        <f>IF(COUNT(Trades!$A$9:$A$508)=0,"",C53+B54)</f>
        <v>0</v>
      </c>
      <c r="D54" t="str">
        <f t="shared" si="0"/>
        <v>Mar 26</v>
      </c>
      <c r="E54" s="9"/>
      <c r="F54" s="9"/>
    </row>
    <row r="55" spans="1:6" ht="15" hidden="1" x14ac:dyDescent="0.25">
      <c r="A55" s="7">
        <f>EOMONTH($R$2,-13+ROWS($A$50:A55))+1</f>
        <v>46113</v>
      </c>
      <c r="B55" s="8">
        <f>SUMIFS(_EngineTrades!$R$9:$R$508,Trades!$D$9:$D$508,$P$2,Trades!$T$9:$T$508,"OK",Trades!$A$9:$A$508,"&gt;="&amp;A55,Trades!$A$9:$A$508,"&lt;"&amp;EDATE(A55,1))</f>
        <v>0</v>
      </c>
      <c r="C55" s="8">
        <f>IF(COUNT(Trades!$A$9:$A$508)=0,"",C54+B55)</f>
        <v>0</v>
      </c>
      <c r="D55" t="str">
        <f t="shared" si="0"/>
        <v>Apr 26</v>
      </c>
      <c r="E55" s="9"/>
      <c r="F55" s="9"/>
    </row>
    <row r="56" spans="1:6" ht="15" hidden="1" x14ac:dyDescent="0.25">
      <c r="A56" s="7">
        <f>EOMONTH($R$2,-13+ROWS($A$50:A56))+1</f>
        <v>46143</v>
      </c>
      <c r="B56" s="8">
        <f>SUMIFS(_EngineTrades!$R$9:$R$508,Trades!$D$9:$D$508,$P$2,Trades!$T$9:$T$508,"OK",Trades!$A$9:$A$508,"&gt;="&amp;A56,Trades!$A$9:$A$508,"&lt;"&amp;EDATE(A56,1))</f>
        <v>0</v>
      </c>
      <c r="C56" s="8">
        <f>IF(COUNT(Trades!$A$9:$A$508)=0,"",C55+B56)</f>
        <v>0</v>
      </c>
      <c r="D56" t="str">
        <f t="shared" si="0"/>
        <v>May 26</v>
      </c>
      <c r="E56" s="9"/>
      <c r="F56" s="9"/>
    </row>
    <row r="57" spans="1:6" ht="15" hidden="1" x14ac:dyDescent="0.25">
      <c r="A57" s="7">
        <f>EOMONTH($R$2,-13+ROWS($A$50:A57))+1</f>
        <v>46174</v>
      </c>
      <c r="B57" s="8">
        <f>SUMIFS(_EngineTrades!$R$9:$R$508,Trades!$D$9:$D$508,$P$2,Trades!$T$9:$T$508,"OK",Trades!$A$9:$A$508,"&gt;="&amp;A57,Trades!$A$9:$A$508,"&lt;"&amp;EDATE(A57,1))</f>
        <v>150</v>
      </c>
      <c r="C57" s="8">
        <f>IF(COUNT(Trades!$A$9:$A$508)=0,"",C56+B57)</f>
        <v>150</v>
      </c>
      <c r="D57" t="str">
        <f t="shared" si="0"/>
        <v>Jun 26</v>
      </c>
      <c r="E57" s="9"/>
      <c r="F57" s="9"/>
    </row>
    <row r="58" spans="1:6" ht="15" hidden="1" x14ac:dyDescent="0.25">
      <c r="A58" s="7">
        <f>EOMONTH($R$2,-13+ROWS($A$50:A58))+1</f>
        <v>46204</v>
      </c>
      <c r="B58" s="8">
        <f>SUMIFS(_EngineTrades!$R$9:$R$508,Trades!$D$9:$D$508,$P$2,Trades!$T$9:$T$508,"OK",Trades!$A$9:$A$508,"&gt;="&amp;A58,Trades!$A$9:$A$508,"&lt;"&amp;EDATE(A58,1))</f>
        <v>120</v>
      </c>
      <c r="C58" s="8">
        <f>IF(COUNT(Trades!$A$9:$A$508)=0,"",C57+B58)</f>
        <v>270</v>
      </c>
      <c r="D58" t="str">
        <f t="shared" si="0"/>
        <v>Jul 26</v>
      </c>
      <c r="E58" s="9"/>
      <c r="F58" s="9"/>
    </row>
    <row r="59" spans="1:6" ht="15" hidden="1" x14ac:dyDescent="0.25">
      <c r="A59" s="7">
        <f>EOMONTH($R$2,-13+ROWS($A$50:A59))+1</f>
        <v>46235</v>
      </c>
      <c r="B59" s="8">
        <f>SUMIFS(_EngineTrades!$R$9:$R$508,Trades!$D$9:$D$508,$P$2,Trades!$T$9:$T$508,"OK",Trades!$A$9:$A$508,"&gt;="&amp;A59,Trades!$A$9:$A$508,"&lt;"&amp;EDATE(A59,1))</f>
        <v>170</v>
      </c>
      <c r="C59" s="8">
        <f>IF(COUNT(Trades!$A$9:$A$508)=0,"",C58+B59)</f>
        <v>440</v>
      </c>
      <c r="D59" t="str">
        <f t="shared" si="0"/>
        <v>Aug 26</v>
      </c>
      <c r="E59" s="9"/>
      <c r="F59" s="9"/>
    </row>
    <row r="60" spans="1:6" ht="15" hidden="1" x14ac:dyDescent="0.25">
      <c r="A60" s="7">
        <f>EOMONTH($R$2,-13+ROWS($A$50:A60))+1</f>
        <v>46266</v>
      </c>
      <c r="B60" s="8">
        <f>SUMIFS(_EngineTrades!$R$9:$R$508,Trades!$D$9:$D$508,$P$2,Trades!$T$9:$T$508,"OK",Trades!$A$9:$A$508,"&gt;="&amp;A60,Trades!$A$9:$A$508,"&lt;"&amp;EDATE(A60,1))</f>
        <v>250</v>
      </c>
      <c r="C60" s="8">
        <f>IF(COUNT(Trades!$A$9:$A$508)=0,"",C59+B60)</f>
        <v>690</v>
      </c>
      <c r="D60" t="str">
        <f t="shared" si="0"/>
        <v>Sep 26</v>
      </c>
      <c r="E60" s="9"/>
      <c r="F60" s="9"/>
    </row>
    <row r="61" spans="1:6" ht="15" hidden="1" x14ac:dyDescent="0.25">
      <c r="A61" s="7">
        <f>EOMONTH($R$2,-13+ROWS($A$50:A61))+1</f>
        <v>46296</v>
      </c>
      <c r="B61" s="8">
        <f>SUMIFS(_EngineTrades!$R$9:$R$508,Trades!$D$9:$D$508,$P$2,Trades!$T$9:$T$508,"OK",Trades!$A$9:$A$508,"&gt;="&amp;A61,Trades!$A$9:$A$508,"&lt;"&amp;EDATE(A61,1))</f>
        <v>280</v>
      </c>
      <c r="C61" s="8">
        <f>IF(COUNT(Trades!$A$9:$A$508)=0,"",C60+B61)</f>
        <v>970</v>
      </c>
      <c r="D61" t="str">
        <f t="shared" si="0"/>
        <v>Oct 26</v>
      </c>
      <c r="E61" s="9"/>
      <c r="F61" s="9"/>
    </row>
  </sheetData>
  <mergeCells count="29">
    <mergeCell ref="A23:J24"/>
    <mergeCell ref="K23:O24"/>
    <mergeCell ref="A25:S25"/>
    <mergeCell ref="P8:S8"/>
    <mergeCell ref="A10:J10"/>
    <mergeCell ref="K10:O10"/>
    <mergeCell ref="N12:O14"/>
    <mergeCell ref="N16:O18"/>
    <mergeCell ref="P18:S21"/>
    <mergeCell ref="N20:O22"/>
    <mergeCell ref="A6:A7"/>
    <mergeCell ref="F6:F7"/>
    <mergeCell ref="K6:K7"/>
    <mergeCell ref="A8:D8"/>
    <mergeCell ref="F8:I8"/>
    <mergeCell ref="K8:N8"/>
    <mergeCell ref="B5:D5"/>
    <mergeCell ref="G5:I5"/>
    <mergeCell ref="L5:N5"/>
    <mergeCell ref="Q5:S5"/>
    <mergeCell ref="B6:D7"/>
    <mergeCell ref="G6:I7"/>
    <mergeCell ref="L6:N7"/>
    <mergeCell ref="P6:S7"/>
    <mergeCell ref="B2:J2"/>
    <mergeCell ref="N2:O2"/>
    <mergeCell ref="R2:S2"/>
    <mergeCell ref="B3:J3"/>
    <mergeCell ref="N3:S3"/>
  </mergeCells>
  <conditionalFormatting sqref="G6">
    <cfRule type="expression" dxfId="15" priority="1">
      <formula>$U$3&lt;0</formula>
    </cfRule>
    <cfRule type="expression" dxfId="14" priority="2">
      <formula>$U$3&gt;0</formula>
    </cfRule>
  </conditionalFormatting>
  <dataValidations count="2">
    <dataValidation type="list" showErrorMessage="1" errorTitle="Invalid input" error="Choose USD or EUR." sqref="P2" xr:uid="{00000000-0002-0000-0000-000000000000}">
      <formula1>"USD,EUR"</formula1>
    </dataValidation>
    <dataValidation type="date" showErrorMessage="1" errorTitle="Invalid input" error="Enter a valid reporting date." sqref="R2" xr:uid="{00000000-0002-0000-0000-000001000000}">
      <formula1>25569.0000000115</formula1>
      <formula2>25569.0008497106</formula2>
    </dataValidation>
  </dataValidations>
  <pageMargins left="0.7" right="0.7" top="0.78740157499999996" bottom="0.78740157499999996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A06B"/>
    <pageSetUpPr fitToPage="1"/>
  </sheetPr>
  <dimension ref="A1:Y511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3" customWidth="1"/>
    <col min="2" max="2" width="18" customWidth="1"/>
    <col min="3" max="3" width="11" customWidth="1"/>
    <col min="4" max="4" width="10" customWidth="1"/>
    <col min="5" max="5" width="20" customWidth="1"/>
    <col min="6" max="6" width="22" customWidth="1"/>
    <col min="7" max="7" width="12" customWidth="1"/>
    <col min="8" max="8" width="13" customWidth="1"/>
    <col min="9" max="9" width="15" customWidth="1"/>
    <col min="10" max="10" width="12" customWidth="1"/>
    <col min="11" max="11" width="16" customWidth="1"/>
    <col min="12" max="13" width="13" hidden="1" customWidth="1" outlineLevel="1" collapsed="1"/>
    <col min="14" max="15" width="17" hidden="1" customWidth="1" outlineLevel="1" collapsed="1"/>
    <col min="16" max="16" width="27" hidden="1" customWidth="1" outlineLevel="1" collapsed="1"/>
    <col min="17" max="18" width="16" hidden="1" customWidth="1" outlineLevel="1" collapsed="1"/>
    <col min="19" max="19" width="25" hidden="1" customWidth="1" outlineLevel="1" collapsed="1"/>
    <col min="20" max="25" width="9" hidden="1" customWidth="1"/>
  </cols>
  <sheetData>
    <row r="1" spans="1:25" ht="33.950000000000003" customHeight="1" x14ac:dyDescent="0.25">
      <c r="A1" s="93" t="s">
        <v>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25" ht="24.95" customHeight="1" x14ac:dyDescent="0.25">
      <c r="A2" s="94" t="s">
        <v>25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U2" t="s">
        <v>26</v>
      </c>
      <c r="V2" t="s">
        <v>27</v>
      </c>
      <c r="W2" t="s">
        <v>28</v>
      </c>
      <c r="X2" t="s">
        <v>29</v>
      </c>
    </row>
    <row r="3" spans="1:25" ht="23.1" customHeight="1" x14ac:dyDescent="0.25">
      <c r="A3" s="95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U3" t="s">
        <v>31</v>
      </c>
      <c r="V3" t="s">
        <v>32</v>
      </c>
      <c r="W3" t="s">
        <v>33</v>
      </c>
      <c r="X3" t="s">
        <v>34</v>
      </c>
    </row>
    <row r="4" spans="1:25" ht="21.95" hidden="1" customHeight="1" x14ac:dyDescent="0.25">
      <c r="A4" s="96" t="s">
        <v>35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U4" t="s">
        <v>36</v>
      </c>
      <c r="V4" t="s">
        <v>37</v>
      </c>
      <c r="W4" t="s">
        <v>38</v>
      </c>
      <c r="X4" t="s">
        <v>39</v>
      </c>
    </row>
    <row r="5" spans="1:25" ht="21.95" hidden="1" customHeight="1" x14ac:dyDescent="0.25">
      <c r="A5" s="96" t="s">
        <v>40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U5" t="s">
        <v>41</v>
      </c>
      <c r="V5" t="s">
        <v>42</v>
      </c>
      <c r="W5" t="s">
        <v>43</v>
      </c>
      <c r="X5" t="s">
        <v>44</v>
      </c>
    </row>
    <row r="6" spans="1:25" ht="15" x14ac:dyDescent="0.25">
      <c r="A6" s="97" t="s">
        <v>45</v>
      </c>
      <c r="B6" s="97"/>
      <c r="C6" s="11">
        <v>100</v>
      </c>
      <c r="U6" t="s">
        <v>46</v>
      </c>
      <c r="V6" t="s">
        <v>32</v>
      </c>
      <c r="W6" t="s">
        <v>47</v>
      </c>
      <c r="X6" t="s">
        <v>48</v>
      </c>
    </row>
    <row r="7" spans="1:25" ht="5.0999999999999996" customHeight="1" x14ac:dyDescent="0.25">
      <c r="U7" t="s">
        <v>49</v>
      </c>
      <c r="V7" t="s">
        <v>50</v>
      </c>
      <c r="W7" t="s">
        <v>51</v>
      </c>
      <c r="X7" t="s">
        <v>52</v>
      </c>
    </row>
    <row r="8" spans="1:25" ht="30" customHeight="1" x14ac:dyDescent="0.25">
      <c r="A8" s="12" t="s">
        <v>53</v>
      </c>
      <c r="B8" s="12" t="s">
        <v>54</v>
      </c>
      <c r="C8" s="12" t="s">
        <v>55</v>
      </c>
      <c r="D8" s="12" t="s">
        <v>1</v>
      </c>
      <c r="E8" s="12" t="s">
        <v>56</v>
      </c>
      <c r="F8" s="12" t="s">
        <v>57</v>
      </c>
      <c r="G8" s="12" t="s">
        <v>58</v>
      </c>
      <c r="H8" s="12" t="s">
        <v>59</v>
      </c>
      <c r="I8" s="12" t="s">
        <v>60</v>
      </c>
      <c r="J8" s="12" t="s">
        <v>61</v>
      </c>
      <c r="K8" s="12" t="s">
        <v>62</v>
      </c>
      <c r="L8" s="12" t="s">
        <v>63</v>
      </c>
      <c r="M8" s="12" t="s">
        <v>64</v>
      </c>
      <c r="N8" s="12" t="s">
        <v>65</v>
      </c>
      <c r="O8" s="12" t="s">
        <v>66</v>
      </c>
      <c r="P8" s="12" t="s">
        <v>67</v>
      </c>
      <c r="Q8" s="12" t="s">
        <v>68</v>
      </c>
      <c r="R8" s="12" t="s">
        <v>69</v>
      </c>
      <c r="S8" s="12" t="s">
        <v>70</v>
      </c>
      <c r="U8" t="s">
        <v>71</v>
      </c>
      <c r="V8" t="s">
        <v>72</v>
      </c>
      <c r="W8" t="s">
        <v>73</v>
      </c>
      <c r="X8" t="s">
        <v>74</v>
      </c>
    </row>
    <row r="9" spans="1:25" ht="23.1" customHeight="1" x14ac:dyDescent="0.25">
      <c r="A9" s="13">
        <v>46193</v>
      </c>
      <c r="B9" s="14" t="s">
        <v>75</v>
      </c>
      <c r="C9" s="14" t="s">
        <v>76</v>
      </c>
      <c r="D9" s="14" t="s">
        <v>2</v>
      </c>
      <c r="E9" s="14" t="s">
        <v>26</v>
      </c>
      <c r="F9" s="15">
        <v>1</v>
      </c>
      <c r="G9" s="16">
        <v>50</v>
      </c>
      <c r="H9" s="13">
        <v>46218</v>
      </c>
      <c r="I9" s="16">
        <v>1.5</v>
      </c>
      <c r="J9" s="16">
        <v>0.65</v>
      </c>
      <c r="K9" s="17">
        <f>IF($A9="","",_EngineTrades!S9)</f>
        <v>149.35</v>
      </c>
      <c r="L9" s="15">
        <v>100</v>
      </c>
      <c r="M9" s="16"/>
      <c r="N9" s="14"/>
      <c r="O9" s="18" t="str">
        <f t="shared" ref="O9:O72" si="0">IF(OR($A9="",$B9=""),"","E"&amp;TEXT(ROW()-8,"0000"))</f>
        <v>E0001</v>
      </c>
      <c r="P9" s="14" t="s">
        <v>77</v>
      </c>
      <c r="Q9" s="16"/>
      <c r="R9" s="16"/>
      <c r="S9" s="18" t="str">
        <f>IF($A9="","",_EngineTrades!V9)</f>
        <v>OK</v>
      </c>
      <c r="T9" t="str">
        <f>IF($A9="","",IFERROR(INDEX(Cycles!$R$9:$R$208,MATCH(_EngineTrades!AU9,_EngineCycles!$A$9:$A$208,0)),""))</f>
        <v>OK</v>
      </c>
      <c r="U9" t="s">
        <v>78</v>
      </c>
      <c r="V9" t="s">
        <v>79</v>
      </c>
      <c r="W9" t="s">
        <v>80</v>
      </c>
      <c r="X9" t="s">
        <v>81</v>
      </c>
      <c r="Y9">
        <f>IF(OR($A9="",$D9&lt;&gt;Overview!$P$2),"",COUNTIFS($D$9:$D$508,$D9,$A$9:$A$508,"&gt;"&amp;$A9)+COUNTIFS($D$9:$D$508,$D9,$A$9:$A$508,$A9)-COUNTIFS($D$9:$D9,$D9,$A$9:$A9,$A9)+1)</f>
        <v>23</v>
      </c>
    </row>
    <row r="10" spans="1:25" ht="23.1" customHeight="1" x14ac:dyDescent="0.25">
      <c r="A10" s="19">
        <v>46218</v>
      </c>
      <c r="B10" s="20" t="s">
        <v>75</v>
      </c>
      <c r="C10" s="20" t="s">
        <v>76</v>
      </c>
      <c r="D10" s="20" t="s">
        <v>2</v>
      </c>
      <c r="E10" s="20" t="s">
        <v>36</v>
      </c>
      <c r="F10" s="21">
        <v>1</v>
      </c>
      <c r="G10" s="22"/>
      <c r="H10" s="19"/>
      <c r="I10" s="22"/>
      <c r="J10" s="22">
        <v>0</v>
      </c>
      <c r="K10" s="23">
        <f>IF($A10="","",_EngineTrades!S10)</f>
        <v>-5000</v>
      </c>
      <c r="L10" s="21">
        <v>100</v>
      </c>
      <c r="M10" s="22"/>
      <c r="N10" s="20" t="s">
        <v>82</v>
      </c>
      <c r="O10" s="24" t="str">
        <f t="shared" si="0"/>
        <v>E0002</v>
      </c>
      <c r="P10" s="20" t="s">
        <v>77</v>
      </c>
      <c r="Q10" s="22"/>
      <c r="R10" s="22"/>
      <c r="S10" s="24" t="str">
        <f>IF($A10="","",_EngineTrades!V10)</f>
        <v>OK</v>
      </c>
      <c r="T10" t="str">
        <f>IF($A10="","",IFERROR(INDEX(Cycles!$R$9:$R$208,MATCH(_EngineTrades!AU10,_EngineCycles!$A$9:$A$208,0)),""))</f>
        <v>OK</v>
      </c>
      <c r="U10" t="s">
        <v>83</v>
      </c>
      <c r="V10" t="s">
        <v>84</v>
      </c>
      <c r="Y10">
        <f>IF(OR($A10="",$D10&lt;&gt;Overview!$P$2),"",COUNTIFS($D$9:$D$508,$D10,$A$9:$A$508,"&gt;"&amp;$A10)+COUNTIFS($D$9:$D$508,$D10,$A$9:$A$508,$A10)-COUNTIFS($D$9:$D10,$D10,$A$9:$A10,$A10)+1)</f>
        <v>22</v>
      </c>
    </row>
    <row r="11" spans="1:25" ht="23.1" customHeight="1" x14ac:dyDescent="0.25">
      <c r="A11" s="13">
        <v>46221</v>
      </c>
      <c r="B11" s="14" t="s">
        <v>75</v>
      </c>
      <c r="C11" s="14" t="s">
        <v>76</v>
      </c>
      <c r="D11" s="14" t="s">
        <v>2</v>
      </c>
      <c r="E11" s="14" t="s">
        <v>41</v>
      </c>
      <c r="F11" s="15">
        <v>1</v>
      </c>
      <c r="G11" s="16">
        <v>52</v>
      </c>
      <c r="H11" s="13">
        <v>46246</v>
      </c>
      <c r="I11" s="16">
        <v>1</v>
      </c>
      <c r="J11" s="16">
        <v>0.65</v>
      </c>
      <c r="K11" s="17">
        <f>IF($A11="","",_EngineTrades!S11)</f>
        <v>99.35</v>
      </c>
      <c r="L11" s="15">
        <v>100</v>
      </c>
      <c r="M11" s="16"/>
      <c r="N11" s="14"/>
      <c r="O11" s="18" t="str">
        <f t="shared" si="0"/>
        <v>E0003</v>
      </c>
      <c r="P11" s="14" t="s">
        <v>77</v>
      </c>
      <c r="Q11" s="16"/>
      <c r="R11" s="16"/>
      <c r="S11" s="18" t="str">
        <f>IF($A11="","",_EngineTrades!V11)</f>
        <v>OK</v>
      </c>
      <c r="T11" t="str">
        <f>IF($A11="","",IFERROR(INDEX(Cycles!$R$9:$R$208,MATCH(_EngineTrades!AU11,_EngineCycles!$A$9:$A$208,0)),""))</f>
        <v>OK</v>
      </c>
      <c r="U11" t="s">
        <v>85</v>
      </c>
      <c r="V11" t="s">
        <v>84</v>
      </c>
      <c r="Y11">
        <f>IF(OR($A11="",$D11&lt;&gt;Overview!$P$2),"",COUNTIFS($D$9:$D$508,$D11,$A$9:$A$508,"&gt;"&amp;$A11)+COUNTIFS($D$9:$D$508,$D11,$A$9:$A$508,$A11)-COUNTIFS($D$9:$D11,$D11,$A$9:$A11,$A11)+1)</f>
        <v>21</v>
      </c>
    </row>
    <row r="12" spans="1:25" ht="23.1" customHeight="1" x14ac:dyDescent="0.25">
      <c r="A12" s="19">
        <v>46228</v>
      </c>
      <c r="B12" s="20" t="s">
        <v>86</v>
      </c>
      <c r="C12" s="20" t="s">
        <v>87</v>
      </c>
      <c r="D12" s="20" t="s">
        <v>2</v>
      </c>
      <c r="E12" s="20" t="s">
        <v>78</v>
      </c>
      <c r="F12" s="21">
        <v>100</v>
      </c>
      <c r="G12" s="22"/>
      <c r="H12" s="19"/>
      <c r="I12" s="22"/>
      <c r="J12" s="22">
        <v>1</v>
      </c>
      <c r="K12" s="23">
        <f>IF($A12="","",_EngineTrades!S12)</f>
        <v>-4001</v>
      </c>
      <c r="L12" s="21">
        <v>100</v>
      </c>
      <c r="M12" s="22">
        <v>40</v>
      </c>
      <c r="N12" s="20"/>
      <c r="O12" s="24" t="str">
        <f t="shared" si="0"/>
        <v>E0004</v>
      </c>
      <c r="P12" s="20" t="s">
        <v>77</v>
      </c>
      <c r="Q12" s="22"/>
      <c r="R12" s="22"/>
      <c r="S12" s="24" t="str">
        <f>IF($A12="","",_EngineTrades!V12)</f>
        <v>OK</v>
      </c>
      <c r="T12" t="str">
        <f>IF($A12="","",IFERROR(INDEX(Cycles!$R$9:$R$208,MATCH(_EngineTrades!AU12,_EngineCycles!$A$9:$A$208,0)),""))</f>
        <v>OK</v>
      </c>
      <c r="U12" t="s">
        <v>88</v>
      </c>
      <c r="V12" t="s">
        <v>89</v>
      </c>
      <c r="Y12">
        <f>IF(OR($A12="",$D12&lt;&gt;Overview!$P$2),"",COUNTIFS($D$9:$D$508,$D12,$A$9:$A$508,"&gt;"&amp;$A12)+COUNTIFS($D$9:$D$508,$D12,$A$9:$A$508,$A12)-COUNTIFS($D$9:$D12,$D12,$A$9:$A12,$A12)+1)</f>
        <v>20</v>
      </c>
    </row>
    <row r="13" spans="1:25" ht="23.1" customHeight="1" x14ac:dyDescent="0.25">
      <c r="A13" s="13">
        <v>46231</v>
      </c>
      <c r="B13" s="14" t="s">
        <v>86</v>
      </c>
      <c r="C13" s="14" t="s">
        <v>87</v>
      </c>
      <c r="D13" s="14" t="s">
        <v>2</v>
      </c>
      <c r="E13" s="14" t="s">
        <v>41</v>
      </c>
      <c r="F13" s="15">
        <v>1</v>
      </c>
      <c r="G13" s="16">
        <v>39</v>
      </c>
      <c r="H13" s="13">
        <v>46255</v>
      </c>
      <c r="I13" s="16">
        <v>0.2</v>
      </c>
      <c r="J13" s="16">
        <v>0.65</v>
      </c>
      <c r="K13" s="17">
        <f>IF($A13="","",_EngineTrades!S13)</f>
        <v>19.350000000000001</v>
      </c>
      <c r="L13" s="15">
        <v>100</v>
      </c>
      <c r="M13" s="16"/>
      <c r="N13" s="14"/>
      <c r="O13" s="18" t="str">
        <f t="shared" si="0"/>
        <v>E0005</v>
      </c>
      <c r="P13" s="14" t="s">
        <v>77</v>
      </c>
      <c r="Q13" s="16"/>
      <c r="R13" s="16"/>
      <c r="S13" s="18" t="str">
        <f>IF($A13="","",_EngineTrades!V13)</f>
        <v>OK</v>
      </c>
      <c r="T13" t="str">
        <f>IF($A13="","",IFERROR(INDEX(Cycles!$R$9:$R$208,MATCH(_EngineTrades!AU13,_EngineCycles!$A$9:$A$208,0)),""))</f>
        <v>OK</v>
      </c>
      <c r="U13" t="s">
        <v>90</v>
      </c>
      <c r="V13" t="s">
        <v>91</v>
      </c>
      <c r="Y13">
        <f>IF(OR($A13="",$D13&lt;&gt;Overview!$P$2),"",COUNTIFS($D$9:$D$508,$D13,$A$9:$A$508,"&gt;"&amp;$A13)+COUNTIFS($D$9:$D$508,$D13,$A$9:$A$508,$A13)-COUNTIFS($D$9:$D13,$D13,$A$9:$A13,$A13)+1)</f>
        <v>19</v>
      </c>
    </row>
    <row r="14" spans="1:25" ht="23.1" customHeight="1" x14ac:dyDescent="0.25">
      <c r="A14" s="19">
        <v>46243</v>
      </c>
      <c r="B14" s="20" t="s">
        <v>92</v>
      </c>
      <c r="C14" s="20" t="s">
        <v>93</v>
      </c>
      <c r="D14" s="20" t="s">
        <v>2</v>
      </c>
      <c r="E14" s="20" t="s">
        <v>78</v>
      </c>
      <c r="F14" s="21">
        <v>100</v>
      </c>
      <c r="G14" s="22"/>
      <c r="H14" s="19"/>
      <c r="I14" s="22"/>
      <c r="J14" s="22">
        <v>1</v>
      </c>
      <c r="K14" s="23">
        <f>IF($A14="","",_EngineTrades!S14)</f>
        <v>-2501</v>
      </c>
      <c r="L14" s="21">
        <v>100</v>
      </c>
      <c r="M14" s="22">
        <v>25</v>
      </c>
      <c r="N14" s="20"/>
      <c r="O14" s="24" t="str">
        <f t="shared" si="0"/>
        <v>E0006</v>
      </c>
      <c r="P14" s="20" t="s">
        <v>77</v>
      </c>
      <c r="Q14" s="22"/>
      <c r="R14" s="22"/>
      <c r="S14" s="24" t="str">
        <f>IF($A14="","",_EngineTrades!V14)</f>
        <v>OK</v>
      </c>
      <c r="T14" t="str">
        <f>IF($A14="","",IFERROR(INDEX(Cycles!$R$9:$R$208,MATCH(_EngineTrades!AU14,_EngineCycles!$A$9:$A$208,0)),""))</f>
        <v>OK</v>
      </c>
      <c r="U14" t="s">
        <v>94</v>
      </c>
      <c r="V14" t="s">
        <v>95</v>
      </c>
      <c r="Y14">
        <f>IF(OR($A14="",$D14&lt;&gt;Overview!$P$2),"",COUNTIFS($D$9:$D$508,$D14,$A$9:$A$508,"&gt;"&amp;$A14)+COUNTIFS($D$9:$D$508,$D14,$A$9:$A$508,$A14)-COUNTIFS($D$9:$D14,$D14,$A$9:$A14,$A14)+1)</f>
        <v>18</v>
      </c>
    </row>
    <row r="15" spans="1:25" ht="23.1" customHeight="1" x14ac:dyDescent="0.25">
      <c r="A15" s="13">
        <v>46245</v>
      </c>
      <c r="B15" s="14" t="s">
        <v>92</v>
      </c>
      <c r="C15" s="14" t="s">
        <v>93</v>
      </c>
      <c r="D15" s="14" t="s">
        <v>2</v>
      </c>
      <c r="E15" s="14" t="s">
        <v>41</v>
      </c>
      <c r="F15" s="15">
        <v>1</v>
      </c>
      <c r="G15" s="16">
        <v>27</v>
      </c>
      <c r="H15" s="13">
        <v>46268</v>
      </c>
      <c r="I15" s="16">
        <v>0.5</v>
      </c>
      <c r="J15" s="16">
        <v>0.65</v>
      </c>
      <c r="K15" s="17">
        <f>IF($A15="","",_EngineTrades!S15)</f>
        <v>49.35</v>
      </c>
      <c r="L15" s="15">
        <v>100</v>
      </c>
      <c r="M15" s="16"/>
      <c r="N15" s="14"/>
      <c r="O15" s="18" t="str">
        <f t="shared" si="0"/>
        <v>E0007</v>
      </c>
      <c r="P15" s="14" t="s">
        <v>77</v>
      </c>
      <c r="Q15" s="16"/>
      <c r="R15" s="16"/>
      <c r="S15" s="18" t="str">
        <f>IF($A15="","",_EngineTrades!V15)</f>
        <v>OK</v>
      </c>
      <c r="T15" t="str">
        <f>IF($A15="","",IFERROR(INDEX(Cycles!$R$9:$R$208,MATCH(_EngineTrades!AU15,_EngineCycles!$A$9:$A$208,0)),""))</f>
        <v>OK</v>
      </c>
      <c r="Y15">
        <f>IF(OR($A15="",$D15&lt;&gt;Overview!$P$2),"",COUNTIFS($D$9:$D$508,$D15,$A$9:$A$508,"&gt;"&amp;$A15)+COUNTIFS($D$9:$D$508,$D15,$A$9:$A$508,$A15)-COUNTIFS($D$9:$D15,$D15,$A$9:$A15,$A15)+1)</f>
        <v>17</v>
      </c>
    </row>
    <row r="16" spans="1:25" ht="23.1" customHeight="1" x14ac:dyDescent="0.25">
      <c r="A16" s="19">
        <v>46246</v>
      </c>
      <c r="B16" s="20" t="s">
        <v>75</v>
      </c>
      <c r="C16" s="20" t="s">
        <v>76</v>
      </c>
      <c r="D16" s="20" t="s">
        <v>2</v>
      </c>
      <c r="E16" s="20" t="s">
        <v>85</v>
      </c>
      <c r="F16" s="21">
        <v>1</v>
      </c>
      <c r="G16" s="22"/>
      <c r="H16" s="19"/>
      <c r="I16" s="22"/>
      <c r="J16" s="22">
        <v>0</v>
      </c>
      <c r="K16" s="23">
        <f>IF($A16="","",_EngineTrades!S16)</f>
        <v>0</v>
      </c>
      <c r="L16" s="21">
        <v>100</v>
      </c>
      <c r="M16" s="22"/>
      <c r="N16" s="20" t="s">
        <v>96</v>
      </c>
      <c r="O16" s="24" t="str">
        <f t="shared" si="0"/>
        <v>E0008</v>
      </c>
      <c r="P16" s="20" t="s">
        <v>77</v>
      </c>
      <c r="Q16" s="22"/>
      <c r="R16" s="22"/>
      <c r="S16" s="24" t="str">
        <f>IF($A16="","",_EngineTrades!V16)</f>
        <v>OK</v>
      </c>
      <c r="T16" t="str">
        <f>IF($A16="","",IFERROR(INDEX(Cycles!$R$9:$R$208,MATCH(_EngineTrades!AU16,_EngineCycles!$A$9:$A$208,0)),""))</f>
        <v>OK</v>
      </c>
      <c r="Y16">
        <f>IF(OR($A16="",$D16&lt;&gt;Overview!$P$2),"",COUNTIFS($D$9:$D$508,$D16,$A$9:$A$508,"&gt;"&amp;$A16)+COUNTIFS($D$9:$D$508,$D16,$A$9:$A$508,$A16)-COUNTIFS($D$9:$D16,$D16,$A$9:$A16,$A16)+1)</f>
        <v>16</v>
      </c>
    </row>
    <row r="17" spans="1:25" ht="23.1" customHeight="1" x14ac:dyDescent="0.25">
      <c r="A17" s="13">
        <v>46249</v>
      </c>
      <c r="B17" s="14" t="s">
        <v>75</v>
      </c>
      <c r="C17" s="14" t="s">
        <v>76</v>
      </c>
      <c r="D17" s="14" t="s">
        <v>2</v>
      </c>
      <c r="E17" s="14" t="s">
        <v>41</v>
      </c>
      <c r="F17" s="15">
        <v>1</v>
      </c>
      <c r="G17" s="16">
        <v>51</v>
      </c>
      <c r="H17" s="13">
        <v>46274</v>
      </c>
      <c r="I17" s="16">
        <v>1.2</v>
      </c>
      <c r="J17" s="16">
        <v>0.65</v>
      </c>
      <c r="K17" s="17">
        <f>IF($A17="","",_EngineTrades!S17)</f>
        <v>119.35</v>
      </c>
      <c r="L17" s="15">
        <v>100</v>
      </c>
      <c r="M17" s="16"/>
      <c r="N17" s="14"/>
      <c r="O17" s="18" t="str">
        <f t="shared" si="0"/>
        <v>E0009</v>
      </c>
      <c r="P17" s="14" t="s">
        <v>77</v>
      </c>
      <c r="Q17" s="16"/>
      <c r="R17" s="16"/>
      <c r="S17" s="18" t="str">
        <f>IF($A17="","",_EngineTrades!V17)</f>
        <v>OK</v>
      </c>
      <c r="T17" t="str">
        <f>IF($A17="","",IFERROR(INDEX(Cycles!$R$9:$R$208,MATCH(_EngineTrades!AU17,_EngineCycles!$A$9:$A$208,0)),""))</f>
        <v>OK</v>
      </c>
      <c r="Y17">
        <f>IF(OR($A17="",$D17&lt;&gt;Overview!$P$2),"",COUNTIFS($D$9:$D$508,$D17,$A$9:$A$508,"&gt;"&amp;$A17)+COUNTIFS($D$9:$D$508,$D17,$A$9:$A$508,$A17)-COUNTIFS($D$9:$D17,$D17,$A$9:$A17,$A17)+1)</f>
        <v>15</v>
      </c>
    </row>
    <row r="18" spans="1:25" ht="23.1" customHeight="1" x14ac:dyDescent="0.25">
      <c r="A18" s="19">
        <v>46253</v>
      </c>
      <c r="B18" s="20" t="s">
        <v>75</v>
      </c>
      <c r="C18" s="20" t="s">
        <v>76</v>
      </c>
      <c r="D18" s="20" t="s">
        <v>2</v>
      </c>
      <c r="E18" s="20" t="s">
        <v>90</v>
      </c>
      <c r="F18" s="21"/>
      <c r="G18" s="22"/>
      <c r="H18" s="19"/>
      <c r="I18" s="22"/>
      <c r="J18" s="22">
        <v>0</v>
      </c>
      <c r="K18" s="23">
        <f>IF($A18="","",_EngineTrades!S18)</f>
        <v>24</v>
      </c>
      <c r="L18" s="21">
        <v>100</v>
      </c>
      <c r="M18" s="22"/>
      <c r="N18" s="20"/>
      <c r="O18" s="24" t="str">
        <f t="shared" si="0"/>
        <v>E0010</v>
      </c>
      <c r="P18" s="20" t="s">
        <v>77</v>
      </c>
      <c r="Q18" s="22"/>
      <c r="R18" s="22">
        <v>24</v>
      </c>
      <c r="S18" s="24" t="str">
        <f>IF($A18="","",_EngineTrades!V18)</f>
        <v>OK</v>
      </c>
      <c r="T18" t="str">
        <f>IF($A18="","",IFERROR(INDEX(Cycles!$R$9:$R$208,MATCH(_EngineTrades!AU18,_EngineCycles!$A$9:$A$208,0)),""))</f>
        <v>OK</v>
      </c>
      <c r="Y18">
        <f>IF(OR($A18="",$D18&lt;&gt;Overview!$P$2),"",COUNTIFS($D$9:$D$508,$D18,$A$9:$A$508,"&gt;"&amp;$A18)+COUNTIFS($D$9:$D$508,$D18,$A$9:$A$508,$A18)-COUNTIFS($D$9:$D18,$D18,$A$9:$A18,$A18)+1)</f>
        <v>14</v>
      </c>
    </row>
    <row r="19" spans="1:25" ht="23.1" customHeight="1" x14ac:dyDescent="0.25">
      <c r="A19" s="13">
        <v>46255</v>
      </c>
      <c r="B19" s="14" t="s">
        <v>86</v>
      </c>
      <c r="C19" s="14" t="s">
        <v>87</v>
      </c>
      <c r="D19" s="14" t="s">
        <v>2</v>
      </c>
      <c r="E19" s="14" t="s">
        <v>71</v>
      </c>
      <c r="F19" s="15">
        <v>1</v>
      </c>
      <c r="G19" s="16"/>
      <c r="H19" s="13"/>
      <c r="I19" s="16"/>
      <c r="J19" s="16">
        <v>0.65</v>
      </c>
      <c r="K19" s="17">
        <f>IF($A19="","",_EngineTrades!S19)</f>
        <v>3899.35</v>
      </c>
      <c r="L19" s="15">
        <v>100</v>
      </c>
      <c r="M19" s="16"/>
      <c r="N19" s="14" t="s">
        <v>97</v>
      </c>
      <c r="O19" s="18" t="str">
        <f t="shared" si="0"/>
        <v>E0011</v>
      </c>
      <c r="P19" s="14" t="s">
        <v>77</v>
      </c>
      <c r="Q19" s="16"/>
      <c r="R19" s="16"/>
      <c r="S19" s="18" t="str">
        <f>IF($A19="","",_EngineTrades!V19)</f>
        <v>OK</v>
      </c>
      <c r="T19" t="str">
        <f>IF($A19="","",IFERROR(INDEX(Cycles!$R$9:$R$208,MATCH(_EngineTrades!AU19,_EngineCycles!$A$9:$A$208,0)),""))</f>
        <v>OK</v>
      </c>
      <c r="Y19">
        <f>IF(OR($A19="",$D19&lt;&gt;Overview!$P$2),"",COUNTIFS($D$9:$D$508,$D19,$A$9:$A$508,"&gt;"&amp;$A19)+COUNTIFS($D$9:$D$508,$D19,$A$9:$A$508,$A19)-COUNTIFS($D$9:$D19,$D19,$A$9:$A19,$A19)+1)</f>
        <v>13</v>
      </c>
    </row>
    <row r="20" spans="1:25" ht="23.1" customHeight="1" x14ac:dyDescent="0.25">
      <c r="A20" s="19">
        <v>46265</v>
      </c>
      <c r="B20" s="20" t="s">
        <v>98</v>
      </c>
      <c r="C20" s="20" t="s">
        <v>99</v>
      </c>
      <c r="D20" s="20" t="s">
        <v>100</v>
      </c>
      <c r="E20" s="20" t="s">
        <v>26</v>
      </c>
      <c r="F20" s="21">
        <v>1</v>
      </c>
      <c r="G20" s="22">
        <v>35</v>
      </c>
      <c r="H20" s="19">
        <v>46293</v>
      </c>
      <c r="I20" s="22">
        <v>0.6</v>
      </c>
      <c r="J20" s="22">
        <v>0.65</v>
      </c>
      <c r="K20" s="23">
        <f>IF($A20="","",_EngineTrades!S20)</f>
        <v>59.35</v>
      </c>
      <c r="L20" s="21">
        <v>100</v>
      </c>
      <c r="M20" s="22"/>
      <c r="N20" s="20"/>
      <c r="O20" s="24" t="str">
        <f t="shared" si="0"/>
        <v>E0012</v>
      </c>
      <c r="P20" s="20" t="s">
        <v>77</v>
      </c>
      <c r="Q20" s="22"/>
      <c r="R20" s="22"/>
      <c r="S20" s="24" t="str">
        <f>IF($A20="","",_EngineTrades!V20)</f>
        <v>OK</v>
      </c>
      <c r="T20" t="str">
        <f>IF($A20="","",IFERROR(INDEX(Cycles!$R$9:$R$208,MATCH(_EngineTrades!AU20,_EngineCycles!$A$9:$A$208,0)),""))</f>
        <v>OK</v>
      </c>
      <c r="Y20" t="str">
        <f>IF(OR($A20="",$D20&lt;&gt;Overview!$P$2),"",COUNTIFS($D$9:$D$508,$D20,$A$9:$A$508,"&gt;"&amp;$A20)+COUNTIFS($D$9:$D$508,$D20,$A$9:$A$508,$A20)-COUNTIFS($D$9:$D20,$D20,$A$9:$A20,$A20)+1)</f>
        <v/>
      </c>
    </row>
    <row r="21" spans="1:25" ht="23.1" customHeight="1" x14ac:dyDescent="0.25">
      <c r="A21" s="13">
        <v>46268</v>
      </c>
      <c r="B21" s="14" t="s">
        <v>101</v>
      </c>
      <c r="C21" s="14" t="s">
        <v>102</v>
      </c>
      <c r="D21" s="14" t="s">
        <v>2</v>
      </c>
      <c r="E21" s="14" t="s">
        <v>26</v>
      </c>
      <c r="F21" s="15">
        <v>2</v>
      </c>
      <c r="G21" s="16">
        <v>20</v>
      </c>
      <c r="H21" s="13">
        <v>46296</v>
      </c>
      <c r="I21" s="16">
        <v>0.45</v>
      </c>
      <c r="J21" s="16">
        <v>1.3</v>
      </c>
      <c r="K21" s="17">
        <f>IF($A21="","",_EngineTrades!S21)</f>
        <v>88.7</v>
      </c>
      <c r="L21" s="15">
        <v>100</v>
      </c>
      <c r="M21" s="16"/>
      <c r="N21" s="14"/>
      <c r="O21" s="18" t="str">
        <f t="shared" si="0"/>
        <v>E0013</v>
      </c>
      <c r="P21" s="14" t="s">
        <v>77</v>
      </c>
      <c r="Q21" s="16"/>
      <c r="R21" s="16"/>
      <c r="S21" s="18" t="str">
        <f>IF($A21="","",_EngineTrades!V21)</f>
        <v>OK</v>
      </c>
      <c r="T21" t="str">
        <f>IF($A21="","",IFERROR(INDEX(Cycles!$R$9:$R$208,MATCH(_EngineTrades!AU21,_EngineCycles!$A$9:$A$208,0)),""))</f>
        <v>OK</v>
      </c>
      <c r="Y21">
        <f>IF(OR($A21="",$D21&lt;&gt;Overview!$P$2),"",COUNTIFS($D$9:$D$508,$D21,$A$9:$A$508,"&gt;"&amp;$A21)+COUNTIFS($D$9:$D$508,$D21,$A$9:$A$508,$A21)-COUNTIFS($D$9:$D21,$D21,$A$9:$A21,$A21)+1)</f>
        <v>12</v>
      </c>
    </row>
    <row r="22" spans="1:25" ht="23.1" customHeight="1" x14ac:dyDescent="0.25">
      <c r="A22" s="19">
        <v>46268</v>
      </c>
      <c r="B22" s="20" t="s">
        <v>92</v>
      </c>
      <c r="C22" s="20" t="s">
        <v>93</v>
      </c>
      <c r="D22" s="20" t="s">
        <v>2</v>
      </c>
      <c r="E22" s="20" t="s">
        <v>46</v>
      </c>
      <c r="F22" s="21">
        <v>1</v>
      </c>
      <c r="G22" s="22"/>
      <c r="H22" s="19"/>
      <c r="I22" s="22">
        <v>0.1</v>
      </c>
      <c r="J22" s="22">
        <v>0.65</v>
      </c>
      <c r="K22" s="23">
        <f>IF($A22="","",_EngineTrades!S22)</f>
        <v>-10.65</v>
      </c>
      <c r="L22" s="21">
        <v>100</v>
      </c>
      <c r="M22" s="22"/>
      <c r="N22" s="20" t="s">
        <v>103</v>
      </c>
      <c r="O22" s="24" t="str">
        <f t="shared" si="0"/>
        <v>E0014</v>
      </c>
      <c r="P22" s="20" t="s">
        <v>77</v>
      </c>
      <c r="Q22" s="22"/>
      <c r="R22" s="22"/>
      <c r="S22" s="24" t="str">
        <f>IF($A22="","",_EngineTrades!V22)</f>
        <v>OK</v>
      </c>
      <c r="T22" t="str">
        <f>IF($A22="","",IFERROR(INDEX(Cycles!$R$9:$R$208,MATCH(_EngineTrades!AU22,_EngineCycles!$A$9:$A$208,0)),""))</f>
        <v>OK</v>
      </c>
      <c r="Y22">
        <f>IF(OR($A22="",$D22&lt;&gt;Overview!$P$2),"",COUNTIFS($D$9:$D$508,$D22,$A$9:$A$508,"&gt;"&amp;$A22)+COUNTIFS($D$9:$D$508,$D22,$A$9:$A$508,$A22)-COUNTIFS($D$9:$D22,$D22,$A$9:$A22,$A22)+1)</f>
        <v>11</v>
      </c>
    </row>
    <row r="23" spans="1:25" ht="23.1" customHeight="1" x14ac:dyDescent="0.25">
      <c r="A23" s="13">
        <v>46271</v>
      </c>
      <c r="B23" s="14" t="s">
        <v>92</v>
      </c>
      <c r="C23" s="14" t="s">
        <v>93</v>
      </c>
      <c r="D23" s="14" t="s">
        <v>2</v>
      </c>
      <c r="E23" s="14" t="s">
        <v>49</v>
      </c>
      <c r="F23" s="15">
        <v>100</v>
      </c>
      <c r="G23" s="16"/>
      <c r="H23" s="13"/>
      <c r="I23" s="16"/>
      <c r="J23" s="16">
        <v>1</v>
      </c>
      <c r="K23" s="17">
        <f>IF($A23="","",_EngineTrades!S23)</f>
        <v>2599</v>
      </c>
      <c r="L23" s="15">
        <v>100</v>
      </c>
      <c r="M23" s="16">
        <v>26</v>
      </c>
      <c r="N23" s="14"/>
      <c r="O23" s="18" t="str">
        <f t="shared" si="0"/>
        <v>E0015</v>
      </c>
      <c r="P23" s="14" t="s">
        <v>77</v>
      </c>
      <c r="Q23" s="16"/>
      <c r="R23" s="16"/>
      <c r="S23" s="18" t="str">
        <f>IF($A23="","",_EngineTrades!V23)</f>
        <v>OK</v>
      </c>
      <c r="T23" t="str">
        <f>IF($A23="","",IFERROR(INDEX(Cycles!$R$9:$R$208,MATCH(_EngineTrades!AU23,_EngineCycles!$A$9:$A$208,0)),""))</f>
        <v>OK</v>
      </c>
      <c r="Y23">
        <f>IF(OR($A23="",$D23&lt;&gt;Overview!$P$2),"",COUNTIFS($D$9:$D$508,$D23,$A$9:$A$508,"&gt;"&amp;$A23)+COUNTIFS($D$9:$D$508,$D23,$A$9:$A$508,$A23)-COUNTIFS($D$9:$D23,$D23,$A$9:$A23,$A23)+1)</f>
        <v>10</v>
      </c>
    </row>
    <row r="24" spans="1:25" ht="23.1" customHeight="1" x14ac:dyDescent="0.25">
      <c r="A24" s="19">
        <v>46274</v>
      </c>
      <c r="B24" s="20" t="s">
        <v>75</v>
      </c>
      <c r="C24" s="20" t="s">
        <v>76</v>
      </c>
      <c r="D24" s="20" t="s">
        <v>2</v>
      </c>
      <c r="E24" s="20" t="s">
        <v>71</v>
      </c>
      <c r="F24" s="21">
        <v>1</v>
      </c>
      <c r="G24" s="22"/>
      <c r="H24" s="19"/>
      <c r="I24" s="22"/>
      <c r="J24" s="22">
        <v>0</v>
      </c>
      <c r="K24" s="23">
        <f>IF($A24="","",_EngineTrades!S24)</f>
        <v>5100</v>
      </c>
      <c r="L24" s="21">
        <v>100</v>
      </c>
      <c r="M24" s="22"/>
      <c r="N24" s="20" t="s">
        <v>104</v>
      </c>
      <c r="O24" s="24" t="str">
        <f t="shared" si="0"/>
        <v>E0016</v>
      </c>
      <c r="P24" s="20" t="s">
        <v>77</v>
      </c>
      <c r="Q24" s="22"/>
      <c r="R24" s="22"/>
      <c r="S24" s="24" t="str">
        <f>IF($A24="","",_EngineTrades!V24)</f>
        <v>OK</v>
      </c>
      <c r="T24" t="str">
        <f>IF($A24="","",IFERROR(INDEX(Cycles!$R$9:$R$208,MATCH(_EngineTrades!AU24,_EngineCycles!$A$9:$A$208,0)),""))</f>
        <v>OK</v>
      </c>
      <c r="Y24">
        <f>IF(OR($A24="",$D24&lt;&gt;Overview!$P$2),"",COUNTIFS($D$9:$D$508,$D24,$A$9:$A$508,"&gt;"&amp;$A24)+COUNTIFS($D$9:$D$508,$D24,$A$9:$A$508,$A24)-COUNTIFS($D$9:$D24,$D24,$A$9:$A24,$A24)+1)</f>
        <v>9</v>
      </c>
    </row>
    <row r="25" spans="1:25" ht="23.1" customHeight="1" x14ac:dyDescent="0.25">
      <c r="A25" s="13">
        <v>46283</v>
      </c>
      <c r="B25" s="14" t="s">
        <v>105</v>
      </c>
      <c r="C25" s="14" t="s">
        <v>106</v>
      </c>
      <c r="D25" s="14" t="s">
        <v>2</v>
      </c>
      <c r="E25" s="14" t="s">
        <v>26</v>
      </c>
      <c r="F25" s="15">
        <v>1</v>
      </c>
      <c r="G25" s="16">
        <v>30</v>
      </c>
      <c r="H25" s="13">
        <v>46303</v>
      </c>
      <c r="I25" s="16">
        <v>0.8</v>
      </c>
      <c r="J25" s="16">
        <v>0.65</v>
      </c>
      <c r="K25" s="17">
        <f>IF($A25="","",_EngineTrades!S25)</f>
        <v>79.349999999999994</v>
      </c>
      <c r="L25" s="15">
        <v>100</v>
      </c>
      <c r="M25" s="16"/>
      <c r="N25" s="14"/>
      <c r="O25" s="18" t="str">
        <f t="shared" si="0"/>
        <v>E0017</v>
      </c>
      <c r="P25" s="14" t="s">
        <v>77</v>
      </c>
      <c r="Q25" s="16"/>
      <c r="R25" s="16"/>
      <c r="S25" s="18" t="str">
        <f>IF($A25="","",_EngineTrades!V25)</f>
        <v>OK</v>
      </c>
      <c r="T25" t="str">
        <f>IF($A25="","",IFERROR(INDEX(Cycles!$R$9:$R$208,MATCH(_EngineTrades!AU25,_EngineCycles!$A$9:$A$208,0)),""))</f>
        <v>OK</v>
      </c>
      <c r="Y25">
        <f>IF(OR($A25="",$D25&lt;&gt;Overview!$P$2),"",COUNTIFS($D$9:$D$508,$D25,$A$9:$A$508,"&gt;"&amp;$A25)+COUNTIFS($D$9:$D$508,$D25,$A$9:$A$508,$A25)-COUNTIFS($D$9:$D25,$D25,$A$9:$A25,$A25)+1)</f>
        <v>8</v>
      </c>
    </row>
    <row r="26" spans="1:25" ht="23.1" customHeight="1" x14ac:dyDescent="0.25">
      <c r="A26" s="19">
        <v>46287</v>
      </c>
      <c r="B26" s="20" t="s">
        <v>101</v>
      </c>
      <c r="C26" s="20" t="s">
        <v>102</v>
      </c>
      <c r="D26" s="20" t="s">
        <v>2</v>
      </c>
      <c r="E26" s="20" t="s">
        <v>31</v>
      </c>
      <c r="F26" s="21">
        <v>2</v>
      </c>
      <c r="G26" s="22"/>
      <c r="H26" s="19"/>
      <c r="I26" s="22">
        <v>0.1</v>
      </c>
      <c r="J26" s="22">
        <v>1.3</v>
      </c>
      <c r="K26" s="23">
        <f>IF($A26="","",_EngineTrades!S26)</f>
        <v>-21.3</v>
      </c>
      <c r="L26" s="21">
        <v>100</v>
      </c>
      <c r="M26" s="22"/>
      <c r="N26" s="20" t="s">
        <v>107</v>
      </c>
      <c r="O26" s="24" t="str">
        <f t="shared" si="0"/>
        <v>E0018</v>
      </c>
      <c r="P26" s="20" t="s">
        <v>77</v>
      </c>
      <c r="Q26" s="22"/>
      <c r="R26" s="22"/>
      <c r="S26" s="24" t="str">
        <f>IF($A26="","",_EngineTrades!V26)</f>
        <v>OK</v>
      </c>
      <c r="T26" t="str">
        <f>IF($A26="","",IFERROR(INDEX(Cycles!$R$9:$R$208,MATCH(_EngineTrades!AU26,_EngineCycles!$A$9:$A$208,0)),""))</f>
        <v>OK</v>
      </c>
      <c r="Y26">
        <f>IF(OR($A26="",$D26&lt;&gt;Overview!$P$2),"",COUNTIFS($D$9:$D$508,$D26,$A$9:$A$508,"&gt;"&amp;$A26)+COUNTIFS($D$9:$D$508,$D26,$A$9:$A$508,$A26)-COUNTIFS($D$9:$D26,$D26,$A$9:$A26,$A26)+1)</f>
        <v>7</v>
      </c>
    </row>
    <row r="27" spans="1:25" ht="23.1" customHeight="1" x14ac:dyDescent="0.25">
      <c r="A27" s="13">
        <v>46288</v>
      </c>
      <c r="B27" s="14" t="s">
        <v>75</v>
      </c>
      <c r="C27" s="14" t="s">
        <v>76</v>
      </c>
      <c r="D27" s="14" t="s">
        <v>2</v>
      </c>
      <c r="E27" s="14" t="s">
        <v>26</v>
      </c>
      <c r="F27" s="15">
        <v>1</v>
      </c>
      <c r="G27" s="16">
        <v>49</v>
      </c>
      <c r="H27" s="13">
        <v>46309</v>
      </c>
      <c r="I27" s="16">
        <v>1.1000000000000001</v>
      </c>
      <c r="J27" s="16">
        <v>0.65</v>
      </c>
      <c r="K27" s="17">
        <f>IF($A27="","",_EngineTrades!S27)</f>
        <v>109.35000000000001</v>
      </c>
      <c r="L27" s="15">
        <v>100</v>
      </c>
      <c r="M27" s="16"/>
      <c r="N27" s="14"/>
      <c r="O27" s="18" t="str">
        <f t="shared" si="0"/>
        <v>E0019</v>
      </c>
      <c r="P27" s="14" t="s">
        <v>77</v>
      </c>
      <c r="Q27" s="16"/>
      <c r="R27" s="16"/>
      <c r="S27" s="18" t="str">
        <f>IF($A27="","",_EngineTrades!V27)</f>
        <v>OK</v>
      </c>
      <c r="T27" t="str">
        <f>IF($A27="","",IFERROR(INDEX(Cycles!$R$9:$R$208,MATCH(_EngineTrades!AU27,_EngineCycles!$A$9:$A$208,0)),""))</f>
        <v>OK</v>
      </c>
      <c r="Y27">
        <f>IF(OR($A27="",$D27&lt;&gt;Overview!$P$2),"",COUNTIFS($D$9:$D$508,$D27,$A$9:$A$508,"&gt;"&amp;$A27)+COUNTIFS($D$9:$D$508,$D27,$A$9:$A$508,$A27)-COUNTIFS($D$9:$D27,$D27,$A$9:$A27,$A27)+1)</f>
        <v>6</v>
      </c>
    </row>
    <row r="28" spans="1:25" ht="23.1" customHeight="1" x14ac:dyDescent="0.25">
      <c r="A28" s="19">
        <v>46293</v>
      </c>
      <c r="B28" s="20" t="s">
        <v>98</v>
      </c>
      <c r="C28" s="20" t="s">
        <v>99</v>
      </c>
      <c r="D28" s="20" t="s">
        <v>100</v>
      </c>
      <c r="E28" s="20" t="s">
        <v>83</v>
      </c>
      <c r="F28" s="21">
        <v>1</v>
      </c>
      <c r="G28" s="22"/>
      <c r="H28" s="19"/>
      <c r="I28" s="22"/>
      <c r="J28" s="22">
        <v>0</v>
      </c>
      <c r="K28" s="23">
        <f>IF($A28="","",_EngineTrades!S28)</f>
        <v>0</v>
      </c>
      <c r="L28" s="21">
        <v>100</v>
      </c>
      <c r="M28" s="22"/>
      <c r="N28" s="20" t="s">
        <v>108</v>
      </c>
      <c r="O28" s="24" t="str">
        <f t="shared" si="0"/>
        <v>E0020</v>
      </c>
      <c r="P28" s="20" t="s">
        <v>77</v>
      </c>
      <c r="Q28" s="22"/>
      <c r="R28" s="22"/>
      <c r="S28" s="24" t="str">
        <f>IF($A28="","",_EngineTrades!V28)</f>
        <v>OK</v>
      </c>
      <c r="T28" t="str">
        <f>IF($A28="","",IFERROR(INDEX(Cycles!$R$9:$R$208,MATCH(_EngineTrades!AU28,_EngineCycles!$A$9:$A$208,0)),""))</f>
        <v>OK</v>
      </c>
      <c r="Y28" t="str">
        <f>IF(OR($A28="",$D28&lt;&gt;Overview!$P$2),"",COUNTIFS($D$9:$D$508,$D28,$A$9:$A$508,"&gt;"&amp;$A28)+COUNTIFS($D$9:$D$508,$D28,$A$9:$A$508,$A28)-COUNTIFS($D$9:$D28,$D28,$A$9:$A28,$A28)+1)</f>
        <v/>
      </c>
    </row>
    <row r="29" spans="1:25" ht="23.1" customHeight="1" x14ac:dyDescent="0.25">
      <c r="A29" s="13">
        <v>46295</v>
      </c>
      <c r="B29" s="14" t="s">
        <v>109</v>
      </c>
      <c r="C29" s="14" t="s">
        <v>110</v>
      </c>
      <c r="D29" s="14" t="s">
        <v>2</v>
      </c>
      <c r="E29" s="14" t="s">
        <v>78</v>
      </c>
      <c r="F29" s="15">
        <v>100</v>
      </c>
      <c r="G29" s="16"/>
      <c r="H29" s="13"/>
      <c r="I29" s="16"/>
      <c r="J29" s="16">
        <v>1</v>
      </c>
      <c r="K29" s="17">
        <f>IF($A29="","",_EngineTrades!S29)</f>
        <v>-4501</v>
      </c>
      <c r="L29" s="15">
        <v>100</v>
      </c>
      <c r="M29" s="16">
        <v>45</v>
      </c>
      <c r="N29" s="14"/>
      <c r="O29" s="18" t="str">
        <f t="shared" si="0"/>
        <v>E0021</v>
      </c>
      <c r="P29" s="14" t="s">
        <v>77</v>
      </c>
      <c r="Q29" s="16"/>
      <c r="R29" s="16"/>
      <c r="S29" s="18" t="str">
        <f>IF($A29="","",_EngineTrades!V29)</f>
        <v>OK</v>
      </c>
      <c r="T29" t="str">
        <f>IF($A29="","",IFERROR(INDEX(Cycles!$R$9:$R$208,MATCH(_EngineTrades!AU29,_EngineCycles!$A$9:$A$208,0)),""))</f>
        <v>OK</v>
      </c>
      <c r="Y29">
        <f>IF(OR($A29="",$D29&lt;&gt;Overview!$P$2),"",COUNTIFS($D$9:$D$508,$D29,$A$9:$A$508,"&gt;"&amp;$A29)+COUNTIFS($D$9:$D$508,$D29,$A$9:$A$508,$A29)-COUNTIFS($D$9:$D29,$D29,$A$9:$A29,$A29)+1)</f>
        <v>5</v>
      </c>
    </row>
    <row r="30" spans="1:25" ht="23.1" customHeight="1" x14ac:dyDescent="0.25">
      <c r="A30" s="19">
        <v>46298</v>
      </c>
      <c r="B30" s="20" t="s">
        <v>109</v>
      </c>
      <c r="C30" s="20" t="s">
        <v>110</v>
      </c>
      <c r="D30" s="20" t="s">
        <v>2</v>
      </c>
      <c r="E30" s="20" t="s">
        <v>41</v>
      </c>
      <c r="F30" s="21">
        <v>1</v>
      </c>
      <c r="G30" s="22">
        <v>48</v>
      </c>
      <c r="H30" s="19">
        <v>46323</v>
      </c>
      <c r="I30" s="22">
        <v>1.1000000000000001</v>
      </c>
      <c r="J30" s="22">
        <v>0.65</v>
      </c>
      <c r="K30" s="23">
        <f>IF($A30="","",_EngineTrades!S30)</f>
        <v>109.35000000000001</v>
      </c>
      <c r="L30" s="21">
        <v>100</v>
      </c>
      <c r="M30" s="22"/>
      <c r="N30" s="20"/>
      <c r="O30" s="24" t="str">
        <f t="shared" si="0"/>
        <v>E0022</v>
      </c>
      <c r="P30" s="20" t="s">
        <v>77</v>
      </c>
      <c r="Q30" s="22"/>
      <c r="R30" s="22"/>
      <c r="S30" s="24" t="str">
        <f>IF($A30="","",_EngineTrades!V30)</f>
        <v>OK</v>
      </c>
      <c r="T30" t="str">
        <f>IF($A30="","",IFERROR(INDEX(Cycles!$R$9:$R$208,MATCH(_EngineTrades!AU30,_EngineCycles!$A$9:$A$208,0)),""))</f>
        <v>OK</v>
      </c>
      <c r="Y30">
        <f>IF(OR($A30="",$D30&lt;&gt;Overview!$P$2),"",COUNTIFS($D$9:$D$508,$D30,$A$9:$A$508,"&gt;"&amp;$A30)+COUNTIFS($D$9:$D$508,$D30,$A$9:$A$508,$A30)-COUNTIFS($D$9:$D30,$D30,$A$9:$A30,$A30)+1)</f>
        <v>4</v>
      </c>
    </row>
    <row r="31" spans="1:25" ht="23.1" customHeight="1" x14ac:dyDescent="0.25">
      <c r="A31" s="13">
        <v>46303</v>
      </c>
      <c r="B31" s="14" t="s">
        <v>105</v>
      </c>
      <c r="C31" s="14" t="s">
        <v>106</v>
      </c>
      <c r="D31" s="14" t="s">
        <v>2</v>
      </c>
      <c r="E31" s="14" t="s">
        <v>36</v>
      </c>
      <c r="F31" s="15">
        <v>1</v>
      </c>
      <c r="G31" s="16"/>
      <c r="H31" s="13"/>
      <c r="I31" s="16"/>
      <c r="J31" s="16">
        <v>0.65</v>
      </c>
      <c r="K31" s="17">
        <f>IF($A31="","",_EngineTrades!S31)</f>
        <v>-3000.65</v>
      </c>
      <c r="L31" s="15">
        <v>100</v>
      </c>
      <c r="M31" s="16"/>
      <c r="N31" s="14" t="s">
        <v>111</v>
      </c>
      <c r="O31" s="18" t="str">
        <f t="shared" si="0"/>
        <v>E0023</v>
      </c>
      <c r="P31" s="14" t="s">
        <v>77</v>
      </c>
      <c r="Q31" s="16"/>
      <c r="R31" s="16"/>
      <c r="S31" s="18" t="str">
        <f>IF($A31="","",_EngineTrades!V31)</f>
        <v>OK</v>
      </c>
      <c r="T31" t="str">
        <f>IF($A31="","",IFERROR(INDEX(Cycles!$R$9:$R$208,MATCH(_EngineTrades!AU31,_EngineCycles!$A$9:$A$208,0)),""))</f>
        <v>OK</v>
      </c>
      <c r="Y31">
        <f>IF(OR($A31="",$D31&lt;&gt;Overview!$P$2),"",COUNTIFS($D$9:$D$508,$D31,$A$9:$A$508,"&gt;"&amp;$A31)+COUNTIFS($D$9:$D$508,$D31,$A$9:$A$508,$A31)-COUNTIFS($D$9:$D31,$D31,$A$9:$A31,$A31)+1)</f>
        <v>3</v>
      </c>
    </row>
    <row r="32" spans="1:25" ht="23.1" customHeight="1" x14ac:dyDescent="0.25">
      <c r="A32" s="19">
        <v>46308</v>
      </c>
      <c r="B32" s="20" t="s">
        <v>75</v>
      </c>
      <c r="C32" s="20" t="s">
        <v>76</v>
      </c>
      <c r="D32" s="20" t="s">
        <v>2</v>
      </c>
      <c r="E32" s="20" t="s">
        <v>88</v>
      </c>
      <c r="F32" s="21">
        <v>1</v>
      </c>
      <c r="G32" s="22">
        <v>48</v>
      </c>
      <c r="H32" s="19">
        <v>46337</v>
      </c>
      <c r="I32" s="22">
        <v>1.6</v>
      </c>
      <c r="J32" s="22">
        <v>1.3</v>
      </c>
      <c r="K32" s="23">
        <f>IF($A32="","",_EngineTrades!S32)</f>
        <v>68.7</v>
      </c>
      <c r="L32" s="21">
        <v>100</v>
      </c>
      <c r="M32" s="22"/>
      <c r="N32" s="20" t="s">
        <v>112</v>
      </c>
      <c r="O32" s="24" t="str">
        <f t="shared" si="0"/>
        <v>E0024</v>
      </c>
      <c r="P32" s="20" t="s">
        <v>77</v>
      </c>
      <c r="Q32" s="22">
        <v>0.9</v>
      </c>
      <c r="R32" s="22"/>
      <c r="S32" s="24" t="str">
        <f>IF($A32="","",_EngineTrades!V32)</f>
        <v>OK</v>
      </c>
      <c r="T32" t="str">
        <f>IF($A32="","",IFERROR(INDEX(Cycles!$R$9:$R$208,MATCH(_EngineTrades!AU32,_EngineCycles!$A$9:$A$208,0)),""))</f>
        <v>OK</v>
      </c>
      <c r="Y32">
        <f>IF(OR($A32="",$D32&lt;&gt;Overview!$P$2),"",COUNTIFS($D$9:$D$508,$D32,$A$9:$A$508,"&gt;"&amp;$A32)+COUNTIFS($D$9:$D$508,$D32,$A$9:$A$508,$A32)-COUNTIFS($D$9:$D32,$D32,$A$9:$A32,$A32)+1)</f>
        <v>2</v>
      </c>
    </row>
    <row r="33" spans="1:25" ht="23.1" customHeight="1" x14ac:dyDescent="0.25">
      <c r="A33" s="13">
        <v>46310</v>
      </c>
      <c r="B33" s="14" t="s">
        <v>101</v>
      </c>
      <c r="C33" s="14" t="s">
        <v>102</v>
      </c>
      <c r="D33" s="14" t="s">
        <v>2</v>
      </c>
      <c r="E33" s="14" t="s">
        <v>26</v>
      </c>
      <c r="F33" s="15">
        <v>2</v>
      </c>
      <c r="G33" s="16">
        <v>19</v>
      </c>
      <c r="H33" s="13">
        <v>46338</v>
      </c>
      <c r="I33" s="16">
        <v>0.5</v>
      </c>
      <c r="J33" s="16">
        <v>1.3</v>
      </c>
      <c r="K33" s="17">
        <f>IF($A33="","",_EngineTrades!S33)</f>
        <v>98.7</v>
      </c>
      <c r="L33" s="15">
        <v>100</v>
      </c>
      <c r="M33" s="16"/>
      <c r="N33" s="14"/>
      <c r="O33" s="18" t="str">
        <f t="shared" si="0"/>
        <v>E0025</v>
      </c>
      <c r="P33" s="14" t="s">
        <v>77</v>
      </c>
      <c r="Q33" s="16"/>
      <c r="R33" s="16"/>
      <c r="S33" s="18" t="str">
        <f>IF($A33="","",_EngineTrades!V33)</f>
        <v>OK</v>
      </c>
      <c r="T33" t="str">
        <f>IF($A33="","",IFERROR(INDEX(Cycles!$R$9:$R$208,MATCH(_EngineTrades!AU33,_EngineCycles!$A$9:$A$208,0)),""))</f>
        <v>OK</v>
      </c>
      <c r="Y33">
        <f>IF(OR($A33="",$D33&lt;&gt;Overview!$P$2),"",COUNTIFS($D$9:$D$508,$D33,$A$9:$A$508,"&gt;"&amp;$A33)+COUNTIFS($D$9:$D$508,$D33,$A$9:$A$508,$A33)-COUNTIFS($D$9:$D33,$D33,$A$9:$A33,$A33)+1)</f>
        <v>1</v>
      </c>
    </row>
    <row r="34" spans="1:25" ht="23.1" customHeight="1" x14ac:dyDescent="0.25">
      <c r="A34" s="19"/>
      <c r="B34" s="20"/>
      <c r="C34" s="20"/>
      <c r="D34" s="20"/>
      <c r="E34" s="20"/>
      <c r="F34" s="21"/>
      <c r="G34" s="22"/>
      <c r="H34" s="19"/>
      <c r="I34" s="22"/>
      <c r="J34" s="22"/>
      <c r="K34" s="23" t="str">
        <f>IF($A34="","",_EngineTrades!S34)</f>
        <v/>
      </c>
      <c r="L34" s="21"/>
      <c r="M34" s="22"/>
      <c r="N34" s="20"/>
      <c r="O34" s="24" t="str">
        <f t="shared" si="0"/>
        <v/>
      </c>
      <c r="P34" s="20"/>
      <c r="Q34" s="22"/>
      <c r="R34" s="22"/>
      <c r="S34" s="24" t="str">
        <f>IF($A34="","",_EngineTrades!V34)</f>
        <v/>
      </c>
      <c r="T34" t="str">
        <f>IF($A34="","",IFERROR(INDEX(Cycles!$R$9:$R$208,MATCH(_EngineTrades!AU34,_EngineCycles!$A$9:$A$208,0)),""))</f>
        <v/>
      </c>
      <c r="Y34" t="str">
        <f>IF(OR($A34="",$D34&lt;&gt;Overview!$P$2),"",COUNTIFS($D$9:$D$508,$D34,$A$9:$A$508,"&gt;"&amp;$A34)+COUNTIFS($D$9:$D$508,$D34,$A$9:$A$508,$A34)-COUNTIFS($D$9:$D34,$D34,$A$9:$A34,$A34)+1)</f>
        <v/>
      </c>
    </row>
    <row r="35" spans="1:25" ht="23.1" customHeight="1" x14ac:dyDescent="0.25">
      <c r="A35" s="13"/>
      <c r="B35" s="14"/>
      <c r="C35" s="14"/>
      <c r="D35" s="14"/>
      <c r="E35" s="14"/>
      <c r="F35" s="15"/>
      <c r="G35" s="16"/>
      <c r="H35" s="13"/>
      <c r="I35" s="16"/>
      <c r="J35" s="16"/>
      <c r="K35" s="17" t="str">
        <f>IF($A35="","",_EngineTrades!S35)</f>
        <v/>
      </c>
      <c r="L35" s="15"/>
      <c r="M35" s="16"/>
      <c r="N35" s="14"/>
      <c r="O35" s="18" t="str">
        <f t="shared" si="0"/>
        <v/>
      </c>
      <c r="P35" s="14"/>
      <c r="Q35" s="16"/>
      <c r="R35" s="16"/>
      <c r="S35" s="18" t="str">
        <f>IF($A35="","",_EngineTrades!V35)</f>
        <v/>
      </c>
      <c r="T35" t="str">
        <f>IF($A35="","",IFERROR(INDEX(Cycles!$R$9:$R$208,MATCH(_EngineTrades!AU35,_EngineCycles!$A$9:$A$208,0)),""))</f>
        <v/>
      </c>
      <c r="Y35" t="str">
        <f>IF(OR($A35="",$D35&lt;&gt;Overview!$P$2),"",COUNTIFS($D$9:$D$508,$D35,$A$9:$A$508,"&gt;"&amp;$A35)+COUNTIFS($D$9:$D$508,$D35,$A$9:$A$508,$A35)-COUNTIFS($D$9:$D35,$D35,$A$9:$A35,$A35)+1)</f>
        <v/>
      </c>
    </row>
    <row r="36" spans="1:25" ht="23.1" customHeight="1" x14ac:dyDescent="0.25">
      <c r="A36" s="19"/>
      <c r="B36" s="20"/>
      <c r="C36" s="20"/>
      <c r="D36" s="20"/>
      <c r="E36" s="20"/>
      <c r="F36" s="21"/>
      <c r="G36" s="22"/>
      <c r="H36" s="19"/>
      <c r="I36" s="22"/>
      <c r="J36" s="22"/>
      <c r="K36" s="23" t="str">
        <f>IF($A36="","",_EngineTrades!S36)</f>
        <v/>
      </c>
      <c r="L36" s="21"/>
      <c r="M36" s="22"/>
      <c r="N36" s="20"/>
      <c r="O36" s="24" t="str">
        <f t="shared" si="0"/>
        <v/>
      </c>
      <c r="P36" s="20"/>
      <c r="Q36" s="22"/>
      <c r="R36" s="22"/>
      <c r="S36" s="24" t="str">
        <f>IF($A36="","",_EngineTrades!V36)</f>
        <v/>
      </c>
      <c r="T36" t="str">
        <f>IF($A36="","",IFERROR(INDEX(Cycles!$R$9:$R$208,MATCH(_EngineTrades!AU36,_EngineCycles!$A$9:$A$208,0)),""))</f>
        <v/>
      </c>
      <c r="Y36" t="str">
        <f>IF(OR($A36="",$D36&lt;&gt;Overview!$P$2),"",COUNTIFS($D$9:$D$508,$D36,$A$9:$A$508,"&gt;"&amp;$A36)+COUNTIFS($D$9:$D$508,$D36,$A$9:$A$508,$A36)-COUNTIFS($D$9:$D36,$D36,$A$9:$A36,$A36)+1)</f>
        <v/>
      </c>
    </row>
    <row r="37" spans="1:25" ht="23.1" customHeight="1" x14ac:dyDescent="0.25">
      <c r="A37" s="13"/>
      <c r="B37" s="14"/>
      <c r="C37" s="14"/>
      <c r="D37" s="14"/>
      <c r="E37" s="14"/>
      <c r="F37" s="15"/>
      <c r="G37" s="16"/>
      <c r="H37" s="13"/>
      <c r="I37" s="16"/>
      <c r="J37" s="16"/>
      <c r="K37" s="17" t="str">
        <f>IF($A37="","",_EngineTrades!S37)</f>
        <v/>
      </c>
      <c r="L37" s="15"/>
      <c r="M37" s="16"/>
      <c r="N37" s="14"/>
      <c r="O37" s="18" t="str">
        <f t="shared" si="0"/>
        <v/>
      </c>
      <c r="P37" s="14"/>
      <c r="Q37" s="16"/>
      <c r="R37" s="16"/>
      <c r="S37" s="18" t="str">
        <f>IF($A37="","",_EngineTrades!V37)</f>
        <v/>
      </c>
      <c r="T37" t="str">
        <f>IF($A37="","",IFERROR(INDEX(Cycles!$R$9:$R$208,MATCH(_EngineTrades!AU37,_EngineCycles!$A$9:$A$208,0)),""))</f>
        <v/>
      </c>
      <c r="Y37" t="str">
        <f>IF(OR($A37="",$D37&lt;&gt;Overview!$P$2),"",COUNTIFS($D$9:$D$508,$D37,$A$9:$A$508,"&gt;"&amp;$A37)+COUNTIFS($D$9:$D$508,$D37,$A$9:$A$508,$A37)-COUNTIFS($D$9:$D37,$D37,$A$9:$A37,$A37)+1)</f>
        <v/>
      </c>
    </row>
    <row r="38" spans="1:25" ht="23.1" customHeight="1" x14ac:dyDescent="0.25">
      <c r="A38" s="19"/>
      <c r="B38" s="20"/>
      <c r="C38" s="20"/>
      <c r="D38" s="20"/>
      <c r="E38" s="20"/>
      <c r="F38" s="21"/>
      <c r="G38" s="22"/>
      <c r="H38" s="19"/>
      <c r="I38" s="22"/>
      <c r="J38" s="22"/>
      <c r="K38" s="23" t="str">
        <f>IF($A38="","",_EngineTrades!S38)</f>
        <v/>
      </c>
      <c r="L38" s="21"/>
      <c r="M38" s="22"/>
      <c r="N38" s="20"/>
      <c r="O38" s="24" t="str">
        <f t="shared" si="0"/>
        <v/>
      </c>
      <c r="P38" s="20"/>
      <c r="Q38" s="22"/>
      <c r="R38" s="22"/>
      <c r="S38" s="24" t="str">
        <f>IF($A38="","",_EngineTrades!V38)</f>
        <v/>
      </c>
      <c r="T38" t="str">
        <f>IF($A38="","",IFERROR(INDEX(Cycles!$R$9:$R$208,MATCH(_EngineTrades!AU38,_EngineCycles!$A$9:$A$208,0)),""))</f>
        <v/>
      </c>
      <c r="Y38" t="str">
        <f>IF(OR($A38="",$D38&lt;&gt;Overview!$P$2),"",COUNTIFS($D$9:$D$508,$D38,$A$9:$A$508,"&gt;"&amp;$A38)+COUNTIFS($D$9:$D$508,$D38,$A$9:$A$508,$A38)-COUNTIFS($D$9:$D38,$D38,$A$9:$A38,$A38)+1)</f>
        <v/>
      </c>
    </row>
    <row r="39" spans="1:25" ht="23.1" customHeight="1" x14ac:dyDescent="0.25">
      <c r="A39" s="13"/>
      <c r="B39" s="14"/>
      <c r="C39" s="14"/>
      <c r="D39" s="14"/>
      <c r="E39" s="14"/>
      <c r="F39" s="15"/>
      <c r="G39" s="16"/>
      <c r="H39" s="13"/>
      <c r="I39" s="16"/>
      <c r="J39" s="16"/>
      <c r="K39" s="17" t="str">
        <f>IF($A39="","",_EngineTrades!S39)</f>
        <v/>
      </c>
      <c r="L39" s="15"/>
      <c r="M39" s="16"/>
      <c r="N39" s="14"/>
      <c r="O39" s="18" t="str">
        <f t="shared" si="0"/>
        <v/>
      </c>
      <c r="P39" s="14"/>
      <c r="Q39" s="16"/>
      <c r="R39" s="16"/>
      <c r="S39" s="18" t="str">
        <f>IF($A39="","",_EngineTrades!V39)</f>
        <v/>
      </c>
      <c r="T39" t="str">
        <f>IF($A39="","",IFERROR(INDEX(Cycles!$R$9:$R$208,MATCH(_EngineTrades!AU39,_EngineCycles!$A$9:$A$208,0)),""))</f>
        <v/>
      </c>
      <c r="Y39" t="str">
        <f>IF(OR($A39="",$D39&lt;&gt;Overview!$P$2),"",COUNTIFS($D$9:$D$508,$D39,$A$9:$A$508,"&gt;"&amp;$A39)+COUNTIFS($D$9:$D$508,$D39,$A$9:$A$508,$A39)-COUNTIFS($D$9:$D39,$D39,$A$9:$A39,$A39)+1)</f>
        <v/>
      </c>
    </row>
    <row r="40" spans="1:25" ht="23.1" customHeight="1" x14ac:dyDescent="0.25">
      <c r="A40" s="19"/>
      <c r="B40" s="20"/>
      <c r="C40" s="20"/>
      <c r="D40" s="20"/>
      <c r="E40" s="20"/>
      <c r="F40" s="21"/>
      <c r="G40" s="22"/>
      <c r="H40" s="19"/>
      <c r="I40" s="22"/>
      <c r="J40" s="22"/>
      <c r="K40" s="23" t="str">
        <f>IF($A40="","",_EngineTrades!S40)</f>
        <v/>
      </c>
      <c r="L40" s="21"/>
      <c r="M40" s="22"/>
      <c r="N40" s="20"/>
      <c r="O40" s="24" t="str">
        <f t="shared" si="0"/>
        <v/>
      </c>
      <c r="P40" s="20"/>
      <c r="Q40" s="22"/>
      <c r="R40" s="22"/>
      <c r="S40" s="24" t="str">
        <f>IF($A40="","",_EngineTrades!V40)</f>
        <v/>
      </c>
      <c r="T40" t="str">
        <f>IF($A40="","",IFERROR(INDEX(Cycles!$R$9:$R$208,MATCH(_EngineTrades!AU40,_EngineCycles!$A$9:$A$208,0)),""))</f>
        <v/>
      </c>
      <c r="Y40" t="str">
        <f>IF(OR($A40="",$D40&lt;&gt;Overview!$P$2),"",COUNTIFS($D$9:$D$508,$D40,$A$9:$A$508,"&gt;"&amp;$A40)+COUNTIFS($D$9:$D$508,$D40,$A$9:$A$508,$A40)-COUNTIFS($D$9:$D40,$D40,$A$9:$A40,$A40)+1)</f>
        <v/>
      </c>
    </row>
    <row r="41" spans="1:25" ht="23.1" customHeight="1" x14ac:dyDescent="0.25">
      <c r="A41" s="13"/>
      <c r="B41" s="14"/>
      <c r="C41" s="14"/>
      <c r="D41" s="14"/>
      <c r="E41" s="14"/>
      <c r="F41" s="15"/>
      <c r="G41" s="16"/>
      <c r="H41" s="13"/>
      <c r="I41" s="16"/>
      <c r="J41" s="16"/>
      <c r="K41" s="17" t="str">
        <f>IF($A41="","",_EngineTrades!S41)</f>
        <v/>
      </c>
      <c r="L41" s="15"/>
      <c r="M41" s="16"/>
      <c r="N41" s="14"/>
      <c r="O41" s="18" t="str">
        <f t="shared" si="0"/>
        <v/>
      </c>
      <c r="P41" s="14"/>
      <c r="Q41" s="16"/>
      <c r="R41" s="16"/>
      <c r="S41" s="18" t="str">
        <f>IF($A41="","",_EngineTrades!V41)</f>
        <v/>
      </c>
      <c r="T41" t="str">
        <f>IF($A41="","",IFERROR(INDEX(Cycles!$R$9:$R$208,MATCH(_EngineTrades!AU41,_EngineCycles!$A$9:$A$208,0)),""))</f>
        <v/>
      </c>
      <c r="Y41" t="str">
        <f>IF(OR($A41="",$D41&lt;&gt;Overview!$P$2),"",COUNTIFS($D$9:$D$508,$D41,$A$9:$A$508,"&gt;"&amp;$A41)+COUNTIFS($D$9:$D$508,$D41,$A$9:$A$508,$A41)-COUNTIFS($D$9:$D41,$D41,$A$9:$A41,$A41)+1)</f>
        <v/>
      </c>
    </row>
    <row r="42" spans="1:25" ht="23.1" customHeight="1" x14ac:dyDescent="0.25">
      <c r="A42" s="19"/>
      <c r="B42" s="20"/>
      <c r="C42" s="20"/>
      <c r="D42" s="20"/>
      <c r="E42" s="20"/>
      <c r="F42" s="21"/>
      <c r="G42" s="22"/>
      <c r="H42" s="19"/>
      <c r="I42" s="22"/>
      <c r="J42" s="22"/>
      <c r="K42" s="23" t="str">
        <f>IF($A42="","",_EngineTrades!S42)</f>
        <v/>
      </c>
      <c r="L42" s="21"/>
      <c r="M42" s="22"/>
      <c r="N42" s="20"/>
      <c r="O42" s="24" t="str">
        <f t="shared" si="0"/>
        <v/>
      </c>
      <c r="P42" s="20"/>
      <c r="Q42" s="22"/>
      <c r="R42" s="22"/>
      <c r="S42" s="24" t="str">
        <f>IF($A42="","",_EngineTrades!V42)</f>
        <v/>
      </c>
      <c r="T42" t="str">
        <f>IF($A42="","",IFERROR(INDEX(Cycles!$R$9:$R$208,MATCH(_EngineTrades!AU42,_EngineCycles!$A$9:$A$208,0)),""))</f>
        <v/>
      </c>
      <c r="Y42" t="str">
        <f>IF(OR($A42="",$D42&lt;&gt;Overview!$P$2),"",COUNTIFS($D$9:$D$508,$D42,$A$9:$A$508,"&gt;"&amp;$A42)+COUNTIFS($D$9:$D$508,$D42,$A$9:$A$508,$A42)-COUNTIFS($D$9:$D42,$D42,$A$9:$A42,$A42)+1)</f>
        <v/>
      </c>
    </row>
    <row r="43" spans="1:25" ht="23.1" customHeight="1" x14ac:dyDescent="0.25">
      <c r="A43" s="13"/>
      <c r="B43" s="14"/>
      <c r="C43" s="14"/>
      <c r="D43" s="14"/>
      <c r="E43" s="14"/>
      <c r="F43" s="15"/>
      <c r="G43" s="16"/>
      <c r="H43" s="13"/>
      <c r="I43" s="16"/>
      <c r="J43" s="16"/>
      <c r="K43" s="17" t="str">
        <f>IF($A43="","",_EngineTrades!S43)</f>
        <v/>
      </c>
      <c r="L43" s="15"/>
      <c r="M43" s="16"/>
      <c r="N43" s="14"/>
      <c r="O43" s="18" t="str">
        <f t="shared" si="0"/>
        <v/>
      </c>
      <c r="P43" s="14"/>
      <c r="Q43" s="16"/>
      <c r="R43" s="16"/>
      <c r="S43" s="18" t="str">
        <f>IF($A43="","",_EngineTrades!V43)</f>
        <v/>
      </c>
      <c r="T43" t="str">
        <f>IF($A43="","",IFERROR(INDEX(Cycles!$R$9:$R$208,MATCH(_EngineTrades!AU43,_EngineCycles!$A$9:$A$208,0)),""))</f>
        <v/>
      </c>
      <c r="Y43" t="str">
        <f>IF(OR($A43="",$D43&lt;&gt;Overview!$P$2),"",COUNTIFS($D$9:$D$508,$D43,$A$9:$A$508,"&gt;"&amp;$A43)+COUNTIFS($D$9:$D$508,$D43,$A$9:$A$508,$A43)-COUNTIFS($D$9:$D43,$D43,$A$9:$A43,$A43)+1)</f>
        <v/>
      </c>
    </row>
    <row r="44" spans="1:25" ht="23.1" customHeight="1" x14ac:dyDescent="0.25">
      <c r="A44" s="19"/>
      <c r="B44" s="20"/>
      <c r="C44" s="20"/>
      <c r="D44" s="20"/>
      <c r="E44" s="20"/>
      <c r="F44" s="21"/>
      <c r="G44" s="22"/>
      <c r="H44" s="19"/>
      <c r="I44" s="22"/>
      <c r="J44" s="22"/>
      <c r="K44" s="23" t="str">
        <f>IF($A44="","",_EngineTrades!S44)</f>
        <v/>
      </c>
      <c r="L44" s="21"/>
      <c r="M44" s="22"/>
      <c r="N44" s="20"/>
      <c r="O44" s="24" t="str">
        <f t="shared" si="0"/>
        <v/>
      </c>
      <c r="P44" s="20"/>
      <c r="Q44" s="22"/>
      <c r="R44" s="22"/>
      <c r="S44" s="24" t="str">
        <f>IF($A44="","",_EngineTrades!V44)</f>
        <v/>
      </c>
      <c r="T44" t="str">
        <f>IF($A44="","",IFERROR(INDEX(Cycles!$R$9:$R$208,MATCH(_EngineTrades!AU44,_EngineCycles!$A$9:$A$208,0)),""))</f>
        <v/>
      </c>
      <c r="Y44" t="str">
        <f>IF(OR($A44="",$D44&lt;&gt;Overview!$P$2),"",COUNTIFS($D$9:$D$508,$D44,$A$9:$A$508,"&gt;"&amp;$A44)+COUNTIFS($D$9:$D$508,$D44,$A$9:$A$508,$A44)-COUNTIFS($D$9:$D44,$D44,$A$9:$A44,$A44)+1)</f>
        <v/>
      </c>
    </row>
    <row r="45" spans="1:25" ht="23.1" customHeight="1" x14ac:dyDescent="0.25">
      <c r="A45" s="13"/>
      <c r="B45" s="14"/>
      <c r="C45" s="14"/>
      <c r="D45" s="14"/>
      <c r="E45" s="14"/>
      <c r="F45" s="15"/>
      <c r="G45" s="16"/>
      <c r="H45" s="13"/>
      <c r="I45" s="16"/>
      <c r="J45" s="16"/>
      <c r="K45" s="17" t="str">
        <f>IF($A45="","",_EngineTrades!S45)</f>
        <v/>
      </c>
      <c r="L45" s="15"/>
      <c r="M45" s="16"/>
      <c r="N45" s="14"/>
      <c r="O45" s="18" t="str">
        <f t="shared" si="0"/>
        <v/>
      </c>
      <c r="P45" s="14"/>
      <c r="Q45" s="16"/>
      <c r="R45" s="16"/>
      <c r="S45" s="18" t="str">
        <f>IF($A45="","",_EngineTrades!V45)</f>
        <v/>
      </c>
      <c r="T45" t="str">
        <f>IF($A45="","",IFERROR(INDEX(Cycles!$R$9:$R$208,MATCH(_EngineTrades!AU45,_EngineCycles!$A$9:$A$208,0)),""))</f>
        <v/>
      </c>
      <c r="Y45" t="str">
        <f>IF(OR($A45="",$D45&lt;&gt;Overview!$P$2),"",COUNTIFS($D$9:$D$508,$D45,$A$9:$A$508,"&gt;"&amp;$A45)+COUNTIFS($D$9:$D$508,$D45,$A$9:$A$508,$A45)-COUNTIFS($D$9:$D45,$D45,$A$9:$A45,$A45)+1)</f>
        <v/>
      </c>
    </row>
    <row r="46" spans="1:25" ht="23.1" customHeight="1" x14ac:dyDescent="0.25">
      <c r="A46" s="19"/>
      <c r="B46" s="20"/>
      <c r="C46" s="20"/>
      <c r="D46" s="20"/>
      <c r="E46" s="20"/>
      <c r="F46" s="21"/>
      <c r="G46" s="22"/>
      <c r="H46" s="19"/>
      <c r="I46" s="22"/>
      <c r="J46" s="22"/>
      <c r="K46" s="23" t="str">
        <f>IF($A46="","",_EngineTrades!S46)</f>
        <v/>
      </c>
      <c r="L46" s="21"/>
      <c r="M46" s="22"/>
      <c r="N46" s="20"/>
      <c r="O46" s="24" t="str">
        <f t="shared" si="0"/>
        <v/>
      </c>
      <c r="P46" s="20"/>
      <c r="Q46" s="22"/>
      <c r="R46" s="22"/>
      <c r="S46" s="24" t="str">
        <f>IF($A46="","",_EngineTrades!V46)</f>
        <v/>
      </c>
      <c r="T46" t="str">
        <f>IF($A46="","",IFERROR(INDEX(Cycles!$R$9:$R$208,MATCH(_EngineTrades!AU46,_EngineCycles!$A$9:$A$208,0)),""))</f>
        <v/>
      </c>
      <c r="Y46" t="str">
        <f>IF(OR($A46="",$D46&lt;&gt;Overview!$P$2),"",COUNTIFS($D$9:$D$508,$D46,$A$9:$A$508,"&gt;"&amp;$A46)+COUNTIFS($D$9:$D$508,$D46,$A$9:$A$508,$A46)-COUNTIFS($D$9:$D46,$D46,$A$9:$A46,$A46)+1)</f>
        <v/>
      </c>
    </row>
    <row r="47" spans="1:25" ht="23.1" customHeight="1" x14ac:dyDescent="0.25">
      <c r="A47" s="13"/>
      <c r="B47" s="14"/>
      <c r="C47" s="14"/>
      <c r="D47" s="14"/>
      <c r="E47" s="14"/>
      <c r="F47" s="15"/>
      <c r="G47" s="16"/>
      <c r="H47" s="13"/>
      <c r="I47" s="16"/>
      <c r="J47" s="16"/>
      <c r="K47" s="17" t="str">
        <f>IF($A47="","",_EngineTrades!S47)</f>
        <v/>
      </c>
      <c r="L47" s="15"/>
      <c r="M47" s="16"/>
      <c r="N47" s="14"/>
      <c r="O47" s="18" t="str">
        <f t="shared" si="0"/>
        <v/>
      </c>
      <c r="P47" s="14"/>
      <c r="Q47" s="16"/>
      <c r="R47" s="16"/>
      <c r="S47" s="18" t="str">
        <f>IF($A47="","",_EngineTrades!V47)</f>
        <v/>
      </c>
      <c r="T47" t="str">
        <f>IF($A47="","",IFERROR(INDEX(Cycles!$R$9:$R$208,MATCH(_EngineTrades!AU47,_EngineCycles!$A$9:$A$208,0)),""))</f>
        <v/>
      </c>
      <c r="Y47" t="str">
        <f>IF(OR($A47="",$D47&lt;&gt;Overview!$P$2),"",COUNTIFS($D$9:$D$508,$D47,$A$9:$A$508,"&gt;"&amp;$A47)+COUNTIFS($D$9:$D$508,$D47,$A$9:$A$508,$A47)-COUNTIFS($D$9:$D47,$D47,$A$9:$A47,$A47)+1)</f>
        <v/>
      </c>
    </row>
    <row r="48" spans="1:25" ht="23.1" customHeight="1" x14ac:dyDescent="0.25">
      <c r="A48" s="19"/>
      <c r="B48" s="20"/>
      <c r="C48" s="20"/>
      <c r="D48" s="20"/>
      <c r="E48" s="20"/>
      <c r="F48" s="21"/>
      <c r="G48" s="22"/>
      <c r="H48" s="19"/>
      <c r="I48" s="22"/>
      <c r="J48" s="22"/>
      <c r="K48" s="23" t="str">
        <f>IF($A48="","",_EngineTrades!S48)</f>
        <v/>
      </c>
      <c r="L48" s="21"/>
      <c r="M48" s="22"/>
      <c r="N48" s="20"/>
      <c r="O48" s="24" t="str">
        <f t="shared" si="0"/>
        <v/>
      </c>
      <c r="P48" s="20"/>
      <c r="Q48" s="22"/>
      <c r="R48" s="22"/>
      <c r="S48" s="24" t="str">
        <f>IF($A48="","",_EngineTrades!V48)</f>
        <v/>
      </c>
      <c r="T48" t="str">
        <f>IF($A48="","",IFERROR(INDEX(Cycles!$R$9:$R$208,MATCH(_EngineTrades!AU48,_EngineCycles!$A$9:$A$208,0)),""))</f>
        <v/>
      </c>
      <c r="Y48" t="str">
        <f>IF(OR($A48="",$D48&lt;&gt;Overview!$P$2),"",COUNTIFS($D$9:$D$508,$D48,$A$9:$A$508,"&gt;"&amp;$A48)+COUNTIFS($D$9:$D$508,$D48,$A$9:$A$508,$A48)-COUNTIFS($D$9:$D48,$D48,$A$9:$A48,$A48)+1)</f>
        <v/>
      </c>
    </row>
    <row r="49" spans="1:25" ht="23.1" customHeight="1" x14ac:dyDescent="0.25">
      <c r="A49" s="13"/>
      <c r="B49" s="14"/>
      <c r="C49" s="14"/>
      <c r="D49" s="14"/>
      <c r="E49" s="14"/>
      <c r="F49" s="15"/>
      <c r="G49" s="16"/>
      <c r="H49" s="13"/>
      <c r="I49" s="16"/>
      <c r="J49" s="16"/>
      <c r="K49" s="17" t="str">
        <f>IF($A49="","",_EngineTrades!S49)</f>
        <v/>
      </c>
      <c r="L49" s="15"/>
      <c r="M49" s="16"/>
      <c r="N49" s="14"/>
      <c r="O49" s="18" t="str">
        <f t="shared" si="0"/>
        <v/>
      </c>
      <c r="P49" s="14"/>
      <c r="Q49" s="16"/>
      <c r="R49" s="16"/>
      <c r="S49" s="18" t="str">
        <f>IF($A49="","",_EngineTrades!V49)</f>
        <v/>
      </c>
      <c r="T49" t="str">
        <f>IF($A49="","",IFERROR(INDEX(Cycles!$R$9:$R$208,MATCH(_EngineTrades!AU49,_EngineCycles!$A$9:$A$208,0)),""))</f>
        <v/>
      </c>
      <c r="Y49" t="str">
        <f>IF(OR($A49="",$D49&lt;&gt;Overview!$P$2),"",COUNTIFS($D$9:$D$508,$D49,$A$9:$A$508,"&gt;"&amp;$A49)+COUNTIFS($D$9:$D$508,$D49,$A$9:$A$508,$A49)-COUNTIFS($D$9:$D49,$D49,$A$9:$A49,$A49)+1)</f>
        <v/>
      </c>
    </row>
    <row r="50" spans="1:25" ht="23.1" customHeight="1" x14ac:dyDescent="0.25">
      <c r="A50" s="19"/>
      <c r="B50" s="20"/>
      <c r="C50" s="20"/>
      <c r="D50" s="20"/>
      <c r="E50" s="20"/>
      <c r="F50" s="21"/>
      <c r="G50" s="22"/>
      <c r="H50" s="19"/>
      <c r="I50" s="22"/>
      <c r="J50" s="22"/>
      <c r="K50" s="23" t="str">
        <f>IF($A50="","",_EngineTrades!S50)</f>
        <v/>
      </c>
      <c r="L50" s="21"/>
      <c r="M50" s="22"/>
      <c r="N50" s="20"/>
      <c r="O50" s="24" t="str">
        <f t="shared" si="0"/>
        <v/>
      </c>
      <c r="P50" s="20"/>
      <c r="Q50" s="22"/>
      <c r="R50" s="22"/>
      <c r="S50" s="24" t="str">
        <f>IF($A50="","",_EngineTrades!V50)</f>
        <v/>
      </c>
      <c r="T50" t="str">
        <f>IF($A50="","",IFERROR(INDEX(Cycles!$R$9:$R$208,MATCH(_EngineTrades!AU50,_EngineCycles!$A$9:$A$208,0)),""))</f>
        <v/>
      </c>
      <c r="Y50" t="str">
        <f>IF(OR($A50="",$D50&lt;&gt;Overview!$P$2),"",COUNTIFS($D$9:$D$508,$D50,$A$9:$A$508,"&gt;"&amp;$A50)+COUNTIFS($D$9:$D$508,$D50,$A$9:$A$508,$A50)-COUNTIFS($D$9:$D50,$D50,$A$9:$A50,$A50)+1)</f>
        <v/>
      </c>
    </row>
    <row r="51" spans="1:25" ht="23.1" customHeight="1" x14ac:dyDescent="0.25">
      <c r="A51" s="13"/>
      <c r="B51" s="14"/>
      <c r="C51" s="14"/>
      <c r="D51" s="14"/>
      <c r="E51" s="14"/>
      <c r="F51" s="15"/>
      <c r="G51" s="16"/>
      <c r="H51" s="13"/>
      <c r="I51" s="16"/>
      <c r="J51" s="16"/>
      <c r="K51" s="17" t="str">
        <f>IF($A51="","",_EngineTrades!S51)</f>
        <v/>
      </c>
      <c r="L51" s="15"/>
      <c r="M51" s="16"/>
      <c r="N51" s="14"/>
      <c r="O51" s="18" t="str">
        <f t="shared" si="0"/>
        <v/>
      </c>
      <c r="P51" s="14"/>
      <c r="Q51" s="16"/>
      <c r="R51" s="16"/>
      <c r="S51" s="18" t="str">
        <f>IF($A51="","",_EngineTrades!V51)</f>
        <v/>
      </c>
      <c r="T51" t="str">
        <f>IF($A51="","",IFERROR(INDEX(Cycles!$R$9:$R$208,MATCH(_EngineTrades!AU51,_EngineCycles!$A$9:$A$208,0)),""))</f>
        <v/>
      </c>
      <c r="Y51" t="str">
        <f>IF(OR($A51="",$D51&lt;&gt;Overview!$P$2),"",COUNTIFS($D$9:$D$508,$D51,$A$9:$A$508,"&gt;"&amp;$A51)+COUNTIFS($D$9:$D$508,$D51,$A$9:$A$508,$A51)-COUNTIFS($D$9:$D51,$D51,$A$9:$A51,$A51)+1)</f>
        <v/>
      </c>
    </row>
    <row r="52" spans="1:25" ht="23.1" customHeight="1" x14ac:dyDescent="0.25">
      <c r="A52" s="19"/>
      <c r="B52" s="20"/>
      <c r="C52" s="20"/>
      <c r="D52" s="20"/>
      <c r="E52" s="20"/>
      <c r="F52" s="21"/>
      <c r="G52" s="22"/>
      <c r="H52" s="19"/>
      <c r="I52" s="22"/>
      <c r="J52" s="22"/>
      <c r="K52" s="23" t="str">
        <f>IF($A52="","",_EngineTrades!S52)</f>
        <v/>
      </c>
      <c r="L52" s="21"/>
      <c r="M52" s="22"/>
      <c r="N52" s="20"/>
      <c r="O52" s="24" t="str">
        <f t="shared" si="0"/>
        <v/>
      </c>
      <c r="P52" s="20"/>
      <c r="Q52" s="22"/>
      <c r="R52" s="22"/>
      <c r="S52" s="24" t="str">
        <f>IF($A52="","",_EngineTrades!V52)</f>
        <v/>
      </c>
      <c r="T52" t="str">
        <f>IF($A52="","",IFERROR(INDEX(Cycles!$R$9:$R$208,MATCH(_EngineTrades!AU52,_EngineCycles!$A$9:$A$208,0)),""))</f>
        <v/>
      </c>
      <c r="Y52" t="str">
        <f>IF(OR($A52="",$D52&lt;&gt;Overview!$P$2),"",COUNTIFS($D$9:$D$508,$D52,$A$9:$A$508,"&gt;"&amp;$A52)+COUNTIFS($D$9:$D$508,$D52,$A$9:$A$508,$A52)-COUNTIFS($D$9:$D52,$D52,$A$9:$A52,$A52)+1)</f>
        <v/>
      </c>
    </row>
    <row r="53" spans="1:25" ht="23.1" customHeight="1" x14ac:dyDescent="0.25">
      <c r="A53" s="13"/>
      <c r="B53" s="14"/>
      <c r="C53" s="14"/>
      <c r="D53" s="14"/>
      <c r="E53" s="14"/>
      <c r="F53" s="15"/>
      <c r="G53" s="16"/>
      <c r="H53" s="13"/>
      <c r="I53" s="16"/>
      <c r="J53" s="16"/>
      <c r="K53" s="17" t="str">
        <f>IF($A53="","",_EngineTrades!S53)</f>
        <v/>
      </c>
      <c r="L53" s="15"/>
      <c r="M53" s="16"/>
      <c r="N53" s="14"/>
      <c r="O53" s="18" t="str">
        <f t="shared" si="0"/>
        <v/>
      </c>
      <c r="P53" s="14"/>
      <c r="Q53" s="16"/>
      <c r="R53" s="16"/>
      <c r="S53" s="18" t="str">
        <f>IF($A53="","",_EngineTrades!V53)</f>
        <v/>
      </c>
      <c r="T53" t="str">
        <f>IF($A53="","",IFERROR(INDEX(Cycles!$R$9:$R$208,MATCH(_EngineTrades!AU53,_EngineCycles!$A$9:$A$208,0)),""))</f>
        <v/>
      </c>
      <c r="Y53" t="str">
        <f>IF(OR($A53="",$D53&lt;&gt;Overview!$P$2),"",COUNTIFS($D$9:$D$508,$D53,$A$9:$A$508,"&gt;"&amp;$A53)+COUNTIFS($D$9:$D$508,$D53,$A$9:$A$508,$A53)-COUNTIFS($D$9:$D53,$D53,$A$9:$A53,$A53)+1)</f>
        <v/>
      </c>
    </row>
    <row r="54" spans="1:25" ht="23.1" customHeight="1" x14ac:dyDescent="0.25">
      <c r="A54" s="19"/>
      <c r="B54" s="20"/>
      <c r="C54" s="20"/>
      <c r="D54" s="20"/>
      <c r="E54" s="20"/>
      <c r="F54" s="21"/>
      <c r="G54" s="22"/>
      <c r="H54" s="19"/>
      <c r="I54" s="22"/>
      <c r="J54" s="22"/>
      <c r="K54" s="23" t="str">
        <f>IF($A54="","",_EngineTrades!S54)</f>
        <v/>
      </c>
      <c r="L54" s="21"/>
      <c r="M54" s="22"/>
      <c r="N54" s="20"/>
      <c r="O54" s="24" t="str">
        <f t="shared" si="0"/>
        <v/>
      </c>
      <c r="P54" s="20"/>
      <c r="Q54" s="22"/>
      <c r="R54" s="22"/>
      <c r="S54" s="24" t="str">
        <f>IF($A54="","",_EngineTrades!V54)</f>
        <v/>
      </c>
      <c r="T54" t="str">
        <f>IF($A54="","",IFERROR(INDEX(Cycles!$R$9:$R$208,MATCH(_EngineTrades!AU54,_EngineCycles!$A$9:$A$208,0)),""))</f>
        <v/>
      </c>
      <c r="Y54" t="str">
        <f>IF(OR($A54="",$D54&lt;&gt;Overview!$P$2),"",COUNTIFS($D$9:$D$508,$D54,$A$9:$A$508,"&gt;"&amp;$A54)+COUNTIFS($D$9:$D$508,$D54,$A$9:$A$508,$A54)-COUNTIFS($D$9:$D54,$D54,$A$9:$A54,$A54)+1)</f>
        <v/>
      </c>
    </row>
    <row r="55" spans="1:25" ht="23.1" customHeight="1" x14ac:dyDescent="0.25">
      <c r="A55" s="13"/>
      <c r="B55" s="14"/>
      <c r="C55" s="14"/>
      <c r="D55" s="14"/>
      <c r="E55" s="14"/>
      <c r="F55" s="15"/>
      <c r="G55" s="16"/>
      <c r="H55" s="13"/>
      <c r="I55" s="16"/>
      <c r="J55" s="16"/>
      <c r="K55" s="17" t="str">
        <f>IF($A55="","",_EngineTrades!S55)</f>
        <v/>
      </c>
      <c r="L55" s="15"/>
      <c r="M55" s="16"/>
      <c r="N55" s="14"/>
      <c r="O55" s="18" t="str">
        <f t="shared" si="0"/>
        <v/>
      </c>
      <c r="P55" s="14"/>
      <c r="Q55" s="16"/>
      <c r="R55" s="16"/>
      <c r="S55" s="18" t="str">
        <f>IF($A55="","",_EngineTrades!V55)</f>
        <v/>
      </c>
      <c r="T55" t="str">
        <f>IF($A55="","",IFERROR(INDEX(Cycles!$R$9:$R$208,MATCH(_EngineTrades!AU55,_EngineCycles!$A$9:$A$208,0)),""))</f>
        <v/>
      </c>
      <c r="Y55" t="str">
        <f>IF(OR($A55="",$D55&lt;&gt;Overview!$P$2),"",COUNTIFS($D$9:$D$508,$D55,$A$9:$A$508,"&gt;"&amp;$A55)+COUNTIFS($D$9:$D$508,$D55,$A$9:$A$508,$A55)-COUNTIFS($D$9:$D55,$D55,$A$9:$A55,$A55)+1)</f>
        <v/>
      </c>
    </row>
    <row r="56" spans="1:25" ht="23.1" customHeight="1" x14ac:dyDescent="0.25">
      <c r="A56" s="19"/>
      <c r="B56" s="20"/>
      <c r="C56" s="20"/>
      <c r="D56" s="20"/>
      <c r="E56" s="20"/>
      <c r="F56" s="21"/>
      <c r="G56" s="22"/>
      <c r="H56" s="19"/>
      <c r="I56" s="22"/>
      <c r="J56" s="22"/>
      <c r="K56" s="23" t="str">
        <f>IF($A56="","",_EngineTrades!S56)</f>
        <v/>
      </c>
      <c r="L56" s="21"/>
      <c r="M56" s="22"/>
      <c r="N56" s="20"/>
      <c r="O56" s="24" t="str">
        <f t="shared" si="0"/>
        <v/>
      </c>
      <c r="P56" s="20"/>
      <c r="Q56" s="22"/>
      <c r="R56" s="22"/>
      <c r="S56" s="24" t="str">
        <f>IF($A56="","",_EngineTrades!V56)</f>
        <v/>
      </c>
      <c r="T56" t="str">
        <f>IF($A56="","",IFERROR(INDEX(Cycles!$R$9:$R$208,MATCH(_EngineTrades!AU56,_EngineCycles!$A$9:$A$208,0)),""))</f>
        <v/>
      </c>
      <c r="Y56" t="str">
        <f>IF(OR($A56="",$D56&lt;&gt;Overview!$P$2),"",COUNTIFS($D$9:$D$508,$D56,$A$9:$A$508,"&gt;"&amp;$A56)+COUNTIFS($D$9:$D$508,$D56,$A$9:$A$508,$A56)-COUNTIFS($D$9:$D56,$D56,$A$9:$A56,$A56)+1)</f>
        <v/>
      </c>
    </row>
    <row r="57" spans="1:25" ht="23.1" customHeight="1" x14ac:dyDescent="0.25">
      <c r="A57" s="13"/>
      <c r="B57" s="14"/>
      <c r="C57" s="14"/>
      <c r="D57" s="14"/>
      <c r="E57" s="14"/>
      <c r="F57" s="15"/>
      <c r="G57" s="16"/>
      <c r="H57" s="13"/>
      <c r="I57" s="16"/>
      <c r="J57" s="16"/>
      <c r="K57" s="17" t="str">
        <f>IF($A57="","",_EngineTrades!S57)</f>
        <v/>
      </c>
      <c r="L57" s="15"/>
      <c r="M57" s="16"/>
      <c r="N57" s="14"/>
      <c r="O57" s="18" t="str">
        <f t="shared" si="0"/>
        <v/>
      </c>
      <c r="P57" s="14"/>
      <c r="Q57" s="16"/>
      <c r="R57" s="16"/>
      <c r="S57" s="18" t="str">
        <f>IF($A57="","",_EngineTrades!V57)</f>
        <v/>
      </c>
      <c r="T57" t="str">
        <f>IF($A57="","",IFERROR(INDEX(Cycles!$R$9:$R$208,MATCH(_EngineTrades!AU57,_EngineCycles!$A$9:$A$208,0)),""))</f>
        <v/>
      </c>
      <c r="Y57" t="str">
        <f>IF(OR($A57="",$D57&lt;&gt;Overview!$P$2),"",COUNTIFS($D$9:$D$508,$D57,$A$9:$A$508,"&gt;"&amp;$A57)+COUNTIFS($D$9:$D$508,$D57,$A$9:$A$508,$A57)-COUNTIFS($D$9:$D57,$D57,$A$9:$A57,$A57)+1)</f>
        <v/>
      </c>
    </row>
    <row r="58" spans="1:25" ht="23.1" customHeight="1" x14ac:dyDescent="0.25">
      <c r="A58" s="19"/>
      <c r="B58" s="20"/>
      <c r="C58" s="20"/>
      <c r="D58" s="20"/>
      <c r="E58" s="20"/>
      <c r="F58" s="21"/>
      <c r="G58" s="22"/>
      <c r="H58" s="19"/>
      <c r="I58" s="22"/>
      <c r="J58" s="22"/>
      <c r="K58" s="23" t="str">
        <f>IF($A58="","",_EngineTrades!S58)</f>
        <v/>
      </c>
      <c r="L58" s="21"/>
      <c r="M58" s="22"/>
      <c r="N58" s="20"/>
      <c r="O58" s="24" t="str">
        <f t="shared" si="0"/>
        <v/>
      </c>
      <c r="P58" s="20"/>
      <c r="Q58" s="22"/>
      <c r="R58" s="22"/>
      <c r="S58" s="24" t="str">
        <f>IF($A58="","",_EngineTrades!V58)</f>
        <v/>
      </c>
      <c r="T58" t="str">
        <f>IF($A58="","",IFERROR(INDEX(Cycles!$R$9:$R$208,MATCH(_EngineTrades!AU58,_EngineCycles!$A$9:$A$208,0)),""))</f>
        <v/>
      </c>
      <c r="Y58" t="str">
        <f>IF(OR($A58="",$D58&lt;&gt;Overview!$P$2),"",COUNTIFS($D$9:$D$508,$D58,$A$9:$A$508,"&gt;"&amp;$A58)+COUNTIFS($D$9:$D$508,$D58,$A$9:$A$508,$A58)-COUNTIFS($D$9:$D58,$D58,$A$9:$A58,$A58)+1)</f>
        <v/>
      </c>
    </row>
    <row r="59" spans="1:25" ht="23.1" customHeight="1" x14ac:dyDescent="0.25">
      <c r="A59" s="13"/>
      <c r="B59" s="14"/>
      <c r="C59" s="14"/>
      <c r="D59" s="14"/>
      <c r="E59" s="14"/>
      <c r="F59" s="15"/>
      <c r="G59" s="16"/>
      <c r="H59" s="13"/>
      <c r="I59" s="16"/>
      <c r="J59" s="16"/>
      <c r="K59" s="17" t="str">
        <f>IF($A59="","",_EngineTrades!S59)</f>
        <v/>
      </c>
      <c r="L59" s="15"/>
      <c r="M59" s="16"/>
      <c r="N59" s="14"/>
      <c r="O59" s="18" t="str">
        <f t="shared" si="0"/>
        <v/>
      </c>
      <c r="P59" s="14"/>
      <c r="Q59" s="16"/>
      <c r="R59" s="16"/>
      <c r="S59" s="18" t="str">
        <f>IF($A59="","",_EngineTrades!V59)</f>
        <v/>
      </c>
      <c r="T59" t="str">
        <f>IF($A59="","",IFERROR(INDEX(Cycles!$R$9:$R$208,MATCH(_EngineTrades!AU59,_EngineCycles!$A$9:$A$208,0)),""))</f>
        <v/>
      </c>
      <c r="Y59" t="str">
        <f>IF(OR($A59="",$D59&lt;&gt;Overview!$P$2),"",COUNTIFS($D$9:$D$508,$D59,$A$9:$A$508,"&gt;"&amp;$A59)+COUNTIFS($D$9:$D$508,$D59,$A$9:$A$508,$A59)-COUNTIFS($D$9:$D59,$D59,$A$9:$A59,$A59)+1)</f>
        <v/>
      </c>
    </row>
    <row r="60" spans="1:25" ht="23.1" customHeight="1" x14ac:dyDescent="0.25">
      <c r="A60" s="19"/>
      <c r="B60" s="20"/>
      <c r="C60" s="20"/>
      <c r="D60" s="20"/>
      <c r="E60" s="20"/>
      <c r="F60" s="21"/>
      <c r="G60" s="22"/>
      <c r="H60" s="19"/>
      <c r="I60" s="22"/>
      <c r="J60" s="22"/>
      <c r="K60" s="23" t="str">
        <f>IF($A60="","",_EngineTrades!S60)</f>
        <v/>
      </c>
      <c r="L60" s="21"/>
      <c r="M60" s="22"/>
      <c r="N60" s="20"/>
      <c r="O60" s="24" t="str">
        <f t="shared" si="0"/>
        <v/>
      </c>
      <c r="P60" s="20"/>
      <c r="Q60" s="22"/>
      <c r="R60" s="22"/>
      <c r="S60" s="24" t="str">
        <f>IF($A60="","",_EngineTrades!V60)</f>
        <v/>
      </c>
      <c r="T60" t="str">
        <f>IF($A60="","",IFERROR(INDEX(Cycles!$R$9:$R$208,MATCH(_EngineTrades!AU60,_EngineCycles!$A$9:$A$208,0)),""))</f>
        <v/>
      </c>
      <c r="Y60" t="str">
        <f>IF(OR($A60="",$D60&lt;&gt;Overview!$P$2),"",COUNTIFS($D$9:$D$508,$D60,$A$9:$A$508,"&gt;"&amp;$A60)+COUNTIFS($D$9:$D$508,$D60,$A$9:$A$508,$A60)-COUNTIFS($D$9:$D60,$D60,$A$9:$A60,$A60)+1)</f>
        <v/>
      </c>
    </row>
    <row r="61" spans="1:25" ht="23.1" customHeight="1" x14ac:dyDescent="0.25">
      <c r="A61" s="13"/>
      <c r="B61" s="14"/>
      <c r="C61" s="14"/>
      <c r="D61" s="14"/>
      <c r="E61" s="14"/>
      <c r="F61" s="15"/>
      <c r="G61" s="16"/>
      <c r="H61" s="13"/>
      <c r="I61" s="16"/>
      <c r="J61" s="16"/>
      <c r="K61" s="17" t="str">
        <f>IF($A61="","",_EngineTrades!S61)</f>
        <v/>
      </c>
      <c r="L61" s="15"/>
      <c r="M61" s="16"/>
      <c r="N61" s="14"/>
      <c r="O61" s="18" t="str">
        <f t="shared" si="0"/>
        <v/>
      </c>
      <c r="P61" s="14"/>
      <c r="Q61" s="16"/>
      <c r="R61" s="16"/>
      <c r="S61" s="18" t="str">
        <f>IF($A61="","",_EngineTrades!V61)</f>
        <v/>
      </c>
      <c r="T61" t="str">
        <f>IF($A61="","",IFERROR(INDEX(Cycles!$R$9:$R$208,MATCH(_EngineTrades!AU61,_EngineCycles!$A$9:$A$208,0)),""))</f>
        <v/>
      </c>
      <c r="Y61" t="str">
        <f>IF(OR($A61="",$D61&lt;&gt;Overview!$P$2),"",COUNTIFS($D$9:$D$508,$D61,$A$9:$A$508,"&gt;"&amp;$A61)+COUNTIFS($D$9:$D$508,$D61,$A$9:$A$508,$A61)-COUNTIFS($D$9:$D61,$D61,$A$9:$A61,$A61)+1)</f>
        <v/>
      </c>
    </row>
    <row r="62" spans="1:25" ht="23.1" customHeight="1" x14ac:dyDescent="0.25">
      <c r="A62" s="19"/>
      <c r="B62" s="20"/>
      <c r="C62" s="20"/>
      <c r="D62" s="20"/>
      <c r="E62" s="20"/>
      <c r="F62" s="21"/>
      <c r="G62" s="22"/>
      <c r="H62" s="19"/>
      <c r="I62" s="22"/>
      <c r="J62" s="22"/>
      <c r="K62" s="23" t="str">
        <f>IF($A62="","",_EngineTrades!S62)</f>
        <v/>
      </c>
      <c r="L62" s="21"/>
      <c r="M62" s="22"/>
      <c r="N62" s="20"/>
      <c r="O62" s="24" t="str">
        <f t="shared" si="0"/>
        <v/>
      </c>
      <c r="P62" s="20"/>
      <c r="Q62" s="22"/>
      <c r="R62" s="22"/>
      <c r="S62" s="24" t="str">
        <f>IF($A62="","",_EngineTrades!V62)</f>
        <v/>
      </c>
      <c r="T62" t="str">
        <f>IF($A62="","",IFERROR(INDEX(Cycles!$R$9:$R$208,MATCH(_EngineTrades!AU62,_EngineCycles!$A$9:$A$208,0)),""))</f>
        <v/>
      </c>
      <c r="Y62" t="str">
        <f>IF(OR($A62="",$D62&lt;&gt;Overview!$P$2),"",COUNTIFS($D$9:$D$508,$D62,$A$9:$A$508,"&gt;"&amp;$A62)+COUNTIFS($D$9:$D$508,$D62,$A$9:$A$508,$A62)-COUNTIFS($D$9:$D62,$D62,$A$9:$A62,$A62)+1)</f>
        <v/>
      </c>
    </row>
    <row r="63" spans="1:25" ht="23.1" customHeight="1" x14ac:dyDescent="0.25">
      <c r="A63" s="13"/>
      <c r="B63" s="14"/>
      <c r="C63" s="14"/>
      <c r="D63" s="14"/>
      <c r="E63" s="14"/>
      <c r="F63" s="15"/>
      <c r="G63" s="16"/>
      <c r="H63" s="13"/>
      <c r="I63" s="16"/>
      <c r="J63" s="16"/>
      <c r="K63" s="17" t="str">
        <f>IF($A63="","",_EngineTrades!S63)</f>
        <v/>
      </c>
      <c r="L63" s="15"/>
      <c r="M63" s="16"/>
      <c r="N63" s="14"/>
      <c r="O63" s="18" t="str">
        <f t="shared" si="0"/>
        <v/>
      </c>
      <c r="P63" s="14"/>
      <c r="Q63" s="16"/>
      <c r="R63" s="16"/>
      <c r="S63" s="18" t="str">
        <f>IF($A63="","",_EngineTrades!V63)</f>
        <v/>
      </c>
      <c r="T63" t="str">
        <f>IF($A63="","",IFERROR(INDEX(Cycles!$R$9:$R$208,MATCH(_EngineTrades!AU63,_EngineCycles!$A$9:$A$208,0)),""))</f>
        <v/>
      </c>
      <c r="Y63" t="str">
        <f>IF(OR($A63="",$D63&lt;&gt;Overview!$P$2),"",COUNTIFS($D$9:$D$508,$D63,$A$9:$A$508,"&gt;"&amp;$A63)+COUNTIFS($D$9:$D$508,$D63,$A$9:$A$508,$A63)-COUNTIFS($D$9:$D63,$D63,$A$9:$A63,$A63)+1)</f>
        <v/>
      </c>
    </row>
    <row r="64" spans="1:25" ht="23.1" customHeight="1" x14ac:dyDescent="0.25">
      <c r="A64" s="19"/>
      <c r="B64" s="20"/>
      <c r="C64" s="20"/>
      <c r="D64" s="20"/>
      <c r="E64" s="20"/>
      <c r="F64" s="21"/>
      <c r="G64" s="22"/>
      <c r="H64" s="19"/>
      <c r="I64" s="22"/>
      <c r="J64" s="22"/>
      <c r="K64" s="23" t="str">
        <f>IF($A64="","",_EngineTrades!S64)</f>
        <v/>
      </c>
      <c r="L64" s="21"/>
      <c r="M64" s="22"/>
      <c r="N64" s="20"/>
      <c r="O64" s="24" t="str">
        <f t="shared" si="0"/>
        <v/>
      </c>
      <c r="P64" s="20"/>
      <c r="Q64" s="22"/>
      <c r="R64" s="22"/>
      <c r="S64" s="24" t="str">
        <f>IF($A64="","",_EngineTrades!V64)</f>
        <v/>
      </c>
      <c r="T64" t="str">
        <f>IF($A64="","",IFERROR(INDEX(Cycles!$R$9:$R$208,MATCH(_EngineTrades!AU64,_EngineCycles!$A$9:$A$208,0)),""))</f>
        <v/>
      </c>
      <c r="Y64" t="str">
        <f>IF(OR($A64="",$D64&lt;&gt;Overview!$P$2),"",COUNTIFS($D$9:$D$508,$D64,$A$9:$A$508,"&gt;"&amp;$A64)+COUNTIFS($D$9:$D$508,$D64,$A$9:$A$508,$A64)-COUNTIFS($D$9:$D64,$D64,$A$9:$A64,$A64)+1)</f>
        <v/>
      </c>
    </row>
    <row r="65" spans="1:25" ht="23.1" customHeight="1" x14ac:dyDescent="0.25">
      <c r="A65" s="13"/>
      <c r="B65" s="14"/>
      <c r="C65" s="14"/>
      <c r="D65" s="14"/>
      <c r="E65" s="14"/>
      <c r="F65" s="15"/>
      <c r="G65" s="16"/>
      <c r="H65" s="13"/>
      <c r="I65" s="16"/>
      <c r="J65" s="16"/>
      <c r="K65" s="17" t="str">
        <f>IF($A65="","",_EngineTrades!S65)</f>
        <v/>
      </c>
      <c r="L65" s="15"/>
      <c r="M65" s="16"/>
      <c r="N65" s="14"/>
      <c r="O65" s="18" t="str">
        <f t="shared" si="0"/>
        <v/>
      </c>
      <c r="P65" s="14"/>
      <c r="Q65" s="16"/>
      <c r="R65" s="16"/>
      <c r="S65" s="18" t="str">
        <f>IF($A65="","",_EngineTrades!V65)</f>
        <v/>
      </c>
      <c r="T65" t="str">
        <f>IF($A65="","",IFERROR(INDEX(Cycles!$R$9:$R$208,MATCH(_EngineTrades!AU65,_EngineCycles!$A$9:$A$208,0)),""))</f>
        <v/>
      </c>
      <c r="Y65" t="str">
        <f>IF(OR($A65="",$D65&lt;&gt;Overview!$P$2),"",COUNTIFS($D$9:$D$508,$D65,$A$9:$A$508,"&gt;"&amp;$A65)+COUNTIFS($D$9:$D$508,$D65,$A$9:$A$508,$A65)-COUNTIFS($D$9:$D65,$D65,$A$9:$A65,$A65)+1)</f>
        <v/>
      </c>
    </row>
    <row r="66" spans="1:25" ht="23.1" customHeight="1" x14ac:dyDescent="0.25">
      <c r="A66" s="19"/>
      <c r="B66" s="20"/>
      <c r="C66" s="20"/>
      <c r="D66" s="20"/>
      <c r="E66" s="20"/>
      <c r="F66" s="21"/>
      <c r="G66" s="22"/>
      <c r="H66" s="19"/>
      <c r="I66" s="22"/>
      <c r="J66" s="22"/>
      <c r="K66" s="23" t="str">
        <f>IF($A66="","",_EngineTrades!S66)</f>
        <v/>
      </c>
      <c r="L66" s="21"/>
      <c r="M66" s="22"/>
      <c r="N66" s="20"/>
      <c r="O66" s="24" t="str">
        <f t="shared" si="0"/>
        <v/>
      </c>
      <c r="P66" s="20"/>
      <c r="Q66" s="22"/>
      <c r="R66" s="22"/>
      <c r="S66" s="24" t="str">
        <f>IF($A66="","",_EngineTrades!V66)</f>
        <v/>
      </c>
      <c r="T66" t="str">
        <f>IF($A66="","",IFERROR(INDEX(Cycles!$R$9:$R$208,MATCH(_EngineTrades!AU66,_EngineCycles!$A$9:$A$208,0)),""))</f>
        <v/>
      </c>
      <c r="Y66" t="str">
        <f>IF(OR($A66="",$D66&lt;&gt;Overview!$P$2),"",COUNTIFS($D$9:$D$508,$D66,$A$9:$A$508,"&gt;"&amp;$A66)+COUNTIFS($D$9:$D$508,$D66,$A$9:$A$508,$A66)-COUNTIFS($D$9:$D66,$D66,$A$9:$A66,$A66)+1)</f>
        <v/>
      </c>
    </row>
    <row r="67" spans="1:25" ht="23.1" customHeight="1" x14ac:dyDescent="0.25">
      <c r="A67" s="13"/>
      <c r="B67" s="14"/>
      <c r="C67" s="14"/>
      <c r="D67" s="14"/>
      <c r="E67" s="14"/>
      <c r="F67" s="15"/>
      <c r="G67" s="16"/>
      <c r="H67" s="13"/>
      <c r="I67" s="16"/>
      <c r="J67" s="16"/>
      <c r="K67" s="17" t="str">
        <f>IF($A67="","",_EngineTrades!S67)</f>
        <v/>
      </c>
      <c r="L67" s="15"/>
      <c r="M67" s="16"/>
      <c r="N67" s="14"/>
      <c r="O67" s="18" t="str">
        <f t="shared" si="0"/>
        <v/>
      </c>
      <c r="P67" s="14"/>
      <c r="Q67" s="16"/>
      <c r="R67" s="16"/>
      <c r="S67" s="18" t="str">
        <f>IF($A67="","",_EngineTrades!V67)</f>
        <v/>
      </c>
      <c r="T67" t="str">
        <f>IF($A67="","",IFERROR(INDEX(Cycles!$R$9:$R$208,MATCH(_EngineTrades!AU67,_EngineCycles!$A$9:$A$208,0)),""))</f>
        <v/>
      </c>
      <c r="Y67" t="str">
        <f>IF(OR($A67="",$D67&lt;&gt;Overview!$P$2),"",COUNTIFS($D$9:$D$508,$D67,$A$9:$A$508,"&gt;"&amp;$A67)+COUNTIFS($D$9:$D$508,$D67,$A$9:$A$508,$A67)-COUNTIFS($D$9:$D67,$D67,$A$9:$A67,$A67)+1)</f>
        <v/>
      </c>
    </row>
    <row r="68" spans="1:25" ht="23.1" customHeight="1" x14ac:dyDescent="0.25">
      <c r="A68" s="19"/>
      <c r="B68" s="20"/>
      <c r="C68" s="20"/>
      <c r="D68" s="20"/>
      <c r="E68" s="20"/>
      <c r="F68" s="21"/>
      <c r="G68" s="22"/>
      <c r="H68" s="19"/>
      <c r="I68" s="22"/>
      <c r="J68" s="22"/>
      <c r="K68" s="23" t="str">
        <f>IF($A68="","",_EngineTrades!S68)</f>
        <v/>
      </c>
      <c r="L68" s="21"/>
      <c r="M68" s="22"/>
      <c r="N68" s="20"/>
      <c r="O68" s="24" t="str">
        <f t="shared" si="0"/>
        <v/>
      </c>
      <c r="P68" s="20"/>
      <c r="Q68" s="22"/>
      <c r="R68" s="22"/>
      <c r="S68" s="24" t="str">
        <f>IF($A68="","",_EngineTrades!V68)</f>
        <v/>
      </c>
      <c r="T68" t="str">
        <f>IF($A68="","",IFERROR(INDEX(Cycles!$R$9:$R$208,MATCH(_EngineTrades!AU68,_EngineCycles!$A$9:$A$208,0)),""))</f>
        <v/>
      </c>
      <c r="Y68" t="str">
        <f>IF(OR($A68="",$D68&lt;&gt;Overview!$P$2),"",COUNTIFS($D$9:$D$508,$D68,$A$9:$A$508,"&gt;"&amp;$A68)+COUNTIFS($D$9:$D$508,$D68,$A$9:$A$508,$A68)-COUNTIFS($D$9:$D68,$D68,$A$9:$A68,$A68)+1)</f>
        <v/>
      </c>
    </row>
    <row r="69" spans="1:25" ht="23.1" customHeight="1" x14ac:dyDescent="0.25">
      <c r="A69" s="13"/>
      <c r="B69" s="14"/>
      <c r="C69" s="14"/>
      <c r="D69" s="14"/>
      <c r="E69" s="14"/>
      <c r="F69" s="15"/>
      <c r="G69" s="16"/>
      <c r="H69" s="13"/>
      <c r="I69" s="16"/>
      <c r="J69" s="16"/>
      <c r="K69" s="17" t="str">
        <f>IF($A69="","",_EngineTrades!S69)</f>
        <v/>
      </c>
      <c r="L69" s="15"/>
      <c r="M69" s="16"/>
      <c r="N69" s="14"/>
      <c r="O69" s="18" t="str">
        <f t="shared" si="0"/>
        <v/>
      </c>
      <c r="P69" s="14"/>
      <c r="Q69" s="16"/>
      <c r="R69" s="16"/>
      <c r="S69" s="18" t="str">
        <f>IF($A69="","",_EngineTrades!V69)</f>
        <v/>
      </c>
      <c r="T69" t="str">
        <f>IF($A69="","",IFERROR(INDEX(Cycles!$R$9:$R$208,MATCH(_EngineTrades!AU69,_EngineCycles!$A$9:$A$208,0)),""))</f>
        <v/>
      </c>
      <c r="Y69" t="str">
        <f>IF(OR($A69="",$D69&lt;&gt;Overview!$P$2),"",COUNTIFS($D$9:$D$508,$D69,$A$9:$A$508,"&gt;"&amp;$A69)+COUNTIFS($D$9:$D$508,$D69,$A$9:$A$508,$A69)-COUNTIFS($D$9:$D69,$D69,$A$9:$A69,$A69)+1)</f>
        <v/>
      </c>
    </row>
    <row r="70" spans="1:25" ht="23.1" customHeight="1" x14ac:dyDescent="0.25">
      <c r="A70" s="19"/>
      <c r="B70" s="20"/>
      <c r="C70" s="20"/>
      <c r="D70" s="20"/>
      <c r="E70" s="20"/>
      <c r="F70" s="21"/>
      <c r="G70" s="22"/>
      <c r="H70" s="19"/>
      <c r="I70" s="22"/>
      <c r="J70" s="22"/>
      <c r="K70" s="23" t="str">
        <f>IF($A70="","",_EngineTrades!S70)</f>
        <v/>
      </c>
      <c r="L70" s="21"/>
      <c r="M70" s="22"/>
      <c r="N70" s="20"/>
      <c r="O70" s="24" t="str">
        <f t="shared" si="0"/>
        <v/>
      </c>
      <c r="P70" s="20"/>
      <c r="Q70" s="22"/>
      <c r="R70" s="22"/>
      <c r="S70" s="24" t="str">
        <f>IF($A70="","",_EngineTrades!V70)</f>
        <v/>
      </c>
      <c r="T70" t="str">
        <f>IF($A70="","",IFERROR(INDEX(Cycles!$R$9:$R$208,MATCH(_EngineTrades!AU70,_EngineCycles!$A$9:$A$208,0)),""))</f>
        <v/>
      </c>
      <c r="Y70" t="str">
        <f>IF(OR($A70="",$D70&lt;&gt;Overview!$P$2),"",COUNTIFS($D$9:$D$508,$D70,$A$9:$A$508,"&gt;"&amp;$A70)+COUNTIFS($D$9:$D$508,$D70,$A$9:$A$508,$A70)-COUNTIFS($D$9:$D70,$D70,$A$9:$A70,$A70)+1)</f>
        <v/>
      </c>
    </row>
    <row r="71" spans="1:25" ht="23.1" customHeight="1" x14ac:dyDescent="0.25">
      <c r="A71" s="13"/>
      <c r="B71" s="14"/>
      <c r="C71" s="14"/>
      <c r="D71" s="14"/>
      <c r="E71" s="14"/>
      <c r="F71" s="15"/>
      <c r="G71" s="16"/>
      <c r="H71" s="13"/>
      <c r="I71" s="16"/>
      <c r="J71" s="16"/>
      <c r="K71" s="17" t="str">
        <f>IF($A71="","",_EngineTrades!S71)</f>
        <v/>
      </c>
      <c r="L71" s="15"/>
      <c r="M71" s="16"/>
      <c r="N71" s="14"/>
      <c r="O71" s="18" t="str">
        <f t="shared" si="0"/>
        <v/>
      </c>
      <c r="P71" s="14"/>
      <c r="Q71" s="16"/>
      <c r="R71" s="16"/>
      <c r="S71" s="18" t="str">
        <f>IF($A71="","",_EngineTrades!V71)</f>
        <v/>
      </c>
      <c r="T71" t="str">
        <f>IF($A71="","",IFERROR(INDEX(Cycles!$R$9:$R$208,MATCH(_EngineTrades!AU71,_EngineCycles!$A$9:$A$208,0)),""))</f>
        <v/>
      </c>
      <c r="Y71" t="str">
        <f>IF(OR($A71="",$D71&lt;&gt;Overview!$P$2),"",COUNTIFS($D$9:$D$508,$D71,$A$9:$A$508,"&gt;"&amp;$A71)+COUNTIFS($D$9:$D$508,$D71,$A$9:$A$508,$A71)-COUNTIFS($D$9:$D71,$D71,$A$9:$A71,$A71)+1)</f>
        <v/>
      </c>
    </row>
    <row r="72" spans="1:25" ht="23.1" customHeight="1" x14ac:dyDescent="0.25">
      <c r="A72" s="19"/>
      <c r="B72" s="20"/>
      <c r="C72" s="20"/>
      <c r="D72" s="20"/>
      <c r="E72" s="20"/>
      <c r="F72" s="21"/>
      <c r="G72" s="22"/>
      <c r="H72" s="19"/>
      <c r="I72" s="22"/>
      <c r="J72" s="22"/>
      <c r="K72" s="23" t="str">
        <f>IF($A72="","",_EngineTrades!S72)</f>
        <v/>
      </c>
      <c r="L72" s="21"/>
      <c r="M72" s="22"/>
      <c r="N72" s="20"/>
      <c r="O72" s="24" t="str">
        <f t="shared" si="0"/>
        <v/>
      </c>
      <c r="P72" s="20"/>
      <c r="Q72" s="22"/>
      <c r="R72" s="22"/>
      <c r="S72" s="24" t="str">
        <f>IF($A72="","",_EngineTrades!V72)</f>
        <v/>
      </c>
      <c r="T72" t="str">
        <f>IF($A72="","",IFERROR(INDEX(Cycles!$R$9:$R$208,MATCH(_EngineTrades!AU72,_EngineCycles!$A$9:$A$208,0)),""))</f>
        <v/>
      </c>
      <c r="Y72" t="str">
        <f>IF(OR($A72="",$D72&lt;&gt;Overview!$P$2),"",COUNTIFS($D$9:$D$508,$D72,$A$9:$A$508,"&gt;"&amp;$A72)+COUNTIFS($D$9:$D$508,$D72,$A$9:$A$508,$A72)-COUNTIFS($D$9:$D72,$D72,$A$9:$A72,$A72)+1)</f>
        <v/>
      </c>
    </row>
    <row r="73" spans="1:25" ht="23.1" customHeight="1" x14ac:dyDescent="0.25">
      <c r="A73" s="13"/>
      <c r="B73" s="14"/>
      <c r="C73" s="14"/>
      <c r="D73" s="14"/>
      <c r="E73" s="14"/>
      <c r="F73" s="15"/>
      <c r="G73" s="16"/>
      <c r="H73" s="13"/>
      <c r="I73" s="16"/>
      <c r="J73" s="16"/>
      <c r="K73" s="17" t="str">
        <f>IF($A73="","",_EngineTrades!S73)</f>
        <v/>
      </c>
      <c r="L73" s="15"/>
      <c r="M73" s="16"/>
      <c r="N73" s="14"/>
      <c r="O73" s="18" t="str">
        <f t="shared" ref="O73:O136" si="1">IF(OR($A73="",$B73=""),"","E"&amp;TEXT(ROW()-8,"0000"))</f>
        <v/>
      </c>
      <c r="P73" s="14"/>
      <c r="Q73" s="16"/>
      <c r="R73" s="16"/>
      <c r="S73" s="18" t="str">
        <f>IF($A73="","",_EngineTrades!V73)</f>
        <v/>
      </c>
      <c r="T73" t="str">
        <f>IF($A73="","",IFERROR(INDEX(Cycles!$R$9:$R$208,MATCH(_EngineTrades!AU73,_EngineCycles!$A$9:$A$208,0)),""))</f>
        <v/>
      </c>
      <c r="Y73" t="str">
        <f>IF(OR($A73="",$D73&lt;&gt;Overview!$P$2),"",COUNTIFS($D$9:$D$508,$D73,$A$9:$A$508,"&gt;"&amp;$A73)+COUNTIFS($D$9:$D$508,$D73,$A$9:$A$508,$A73)-COUNTIFS($D$9:$D73,$D73,$A$9:$A73,$A73)+1)</f>
        <v/>
      </c>
    </row>
    <row r="74" spans="1:25" ht="23.1" customHeight="1" x14ac:dyDescent="0.25">
      <c r="A74" s="19"/>
      <c r="B74" s="20"/>
      <c r="C74" s="20"/>
      <c r="D74" s="20"/>
      <c r="E74" s="20"/>
      <c r="F74" s="21"/>
      <c r="G74" s="22"/>
      <c r="H74" s="19"/>
      <c r="I74" s="22"/>
      <c r="J74" s="22"/>
      <c r="K74" s="23" t="str">
        <f>IF($A74="","",_EngineTrades!S74)</f>
        <v/>
      </c>
      <c r="L74" s="21"/>
      <c r="M74" s="22"/>
      <c r="N74" s="20"/>
      <c r="O74" s="24" t="str">
        <f t="shared" si="1"/>
        <v/>
      </c>
      <c r="P74" s="20"/>
      <c r="Q74" s="22"/>
      <c r="R74" s="22"/>
      <c r="S74" s="24" t="str">
        <f>IF($A74="","",_EngineTrades!V74)</f>
        <v/>
      </c>
      <c r="T74" t="str">
        <f>IF($A74="","",IFERROR(INDEX(Cycles!$R$9:$R$208,MATCH(_EngineTrades!AU74,_EngineCycles!$A$9:$A$208,0)),""))</f>
        <v/>
      </c>
      <c r="Y74" t="str">
        <f>IF(OR($A74="",$D74&lt;&gt;Overview!$P$2),"",COUNTIFS($D$9:$D$508,$D74,$A$9:$A$508,"&gt;"&amp;$A74)+COUNTIFS($D$9:$D$508,$D74,$A$9:$A$508,$A74)-COUNTIFS($D$9:$D74,$D74,$A$9:$A74,$A74)+1)</f>
        <v/>
      </c>
    </row>
    <row r="75" spans="1:25" ht="23.1" customHeight="1" x14ac:dyDescent="0.25">
      <c r="A75" s="13"/>
      <c r="B75" s="14"/>
      <c r="C75" s="14"/>
      <c r="D75" s="14"/>
      <c r="E75" s="14"/>
      <c r="F75" s="15"/>
      <c r="G75" s="16"/>
      <c r="H75" s="13"/>
      <c r="I75" s="16"/>
      <c r="J75" s="16"/>
      <c r="K75" s="17" t="str">
        <f>IF($A75="","",_EngineTrades!S75)</f>
        <v/>
      </c>
      <c r="L75" s="15"/>
      <c r="M75" s="16"/>
      <c r="N75" s="14"/>
      <c r="O75" s="18" t="str">
        <f t="shared" si="1"/>
        <v/>
      </c>
      <c r="P75" s="14"/>
      <c r="Q75" s="16"/>
      <c r="R75" s="16"/>
      <c r="S75" s="18" t="str">
        <f>IF($A75="","",_EngineTrades!V75)</f>
        <v/>
      </c>
      <c r="T75" t="str">
        <f>IF($A75="","",IFERROR(INDEX(Cycles!$R$9:$R$208,MATCH(_EngineTrades!AU75,_EngineCycles!$A$9:$A$208,0)),""))</f>
        <v/>
      </c>
      <c r="Y75" t="str">
        <f>IF(OR($A75="",$D75&lt;&gt;Overview!$P$2),"",COUNTIFS($D$9:$D$508,$D75,$A$9:$A$508,"&gt;"&amp;$A75)+COUNTIFS($D$9:$D$508,$D75,$A$9:$A$508,$A75)-COUNTIFS($D$9:$D75,$D75,$A$9:$A75,$A75)+1)</f>
        <v/>
      </c>
    </row>
    <row r="76" spans="1:25" ht="23.1" customHeight="1" x14ac:dyDescent="0.25">
      <c r="A76" s="19"/>
      <c r="B76" s="20"/>
      <c r="C76" s="20"/>
      <c r="D76" s="20"/>
      <c r="E76" s="20"/>
      <c r="F76" s="21"/>
      <c r="G76" s="22"/>
      <c r="H76" s="19"/>
      <c r="I76" s="22"/>
      <c r="J76" s="22"/>
      <c r="K76" s="23" t="str">
        <f>IF($A76="","",_EngineTrades!S76)</f>
        <v/>
      </c>
      <c r="L76" s="21"/>
      <c r="M76" s="22"/>
      <c r="N76" s="20"/>
      <c r="O76" s="24" t="str">
        <f t="shared" si="1"/>
        <v/>
      </c>
      <c r="P76" s="20"/>
      <c r="Q76" s="22"/>
      <c r="R76" s="22"/>
      <c r="S76" s="24" t="str">
        <f>IF($A76="","",_EngineTrades!V76)</f>
        <v/>
      </c>
      <c r="T76" t="str">
        <f>IF($A76="","",IFERROR(INDEX(Cycles!$R$9:$R$208,MATCH(_EngineTrades!AU76,_EngineCycles!$A$9:$A$208,0)),""))</f>
        <v/>
      </c>
      <c r="Y76" t="str">
        <f>IF(OR($A76="",$D76&lt;&gt;Overview!$P$2),"",COUNTIFS($D$9:$D$508,$D76,$A$9:$A$508,"&gt;"&amp;$A76)+COUNTIFS($D$9:$D$508,$D76,$A$9:$A$508,$A76)-COUNTIFS($D$9:$D76,$D76,$A$9:$A76,$A76)+1)</f>
        <v/>
      </c>
    </row>
    <row r="77" spans="1:25" ht="23.1" customHeight="1" x14ac:dyDescent="0.25">
      <c r="A77" s="13"/>
      <c r="B77" s="14"/>
      <c r="C77" s="14"/>
      <c r="D77" s="14"/>
      <c r="E77" s="14"/>
      <c r="F77" s="15"/>
      <c r="G77" s="16"/>
      <c r="H77" s="13"/>
      <c r="I77" s="16"/>
      <c r="J77" s="16"/>
      <c r="K77" s="17" t="str">
        <f>IF($A77="","",_EngineTrades!S77)</f>
        <v/>
      </c>
      <c r="L77" s="15"/>
      <c r="M77" s="16"/>
      <c r="N77" s="14"/>
      <c r="O77" s="18" t="str">
        <f t="shared" si="1"/>
        <v/>
      </c>
      <c r="P77" s="14"/>
      <c r="Q77" s="16"/>
      <c r="R77" s="16"/>
      <c r="S77" s="18" t="str">
        <f>IF($A77="","",_EngineTrades!V77)</f>
        <v/>
      </c>
      <c r="T77" t="str">
        <f>IF($A77="","",IFERROR(INDEX(Cycles!$R$9:$R$208,MATCH(_EngineTrades!AU77,_EngineCycles!$A$9:$A$208,0)),""))</f>
        <v/>
      </c>
      <c r="Y77" t="str">
        <f>IF(OR($A77="",$D77&lt;&gt;Overview!$P$2),"",COUNTIFS($D$9:$D$508,$D77,$A$9:$A$508,"&gt;"&amp;$A77)+COUNTIFS($D$9:$D$508,$D77,$A$9:$A$508,$A77)-COUNTIFS($D$9:$D77,$D77,$A$9:$A77,$A77)+1)</f>
        <v/>
      </c>
    </row>
    <row r="78" spans="1:25" ht="23.1" customHeight="1" x14ac:dyDescent="0.25">
      <c r="A78" s="19"/>
      <c r="B78" s="20"/>
      <c r="C78" s="20"/>
      <c r="D78" s="20"/>
      <c r="E78" s="20"/>
      <c r="F78" s="21"/>
      <c r="G78" s="22"/>
      <c r="H78" s="19"/>
      <c r="I78" s="22"/>
      <c r="J78" s="22"/>
      <c r="K78" s="23" t="str">
        <f>IF($A78="","",_EngineTrades!S78)</f>
        <v/>
      </c>
      <c r="L78" s="21"/>
      <c r="M78" s="22"/>
      <c r="N78" s="20"/>
      <c r="O78" s="24" t="str">
        <f t="shared" si="1"/>
        <v/>
      </c>
      <c r="P78" s="20"/>
      <c r="Q78" s="22"/>
      <c r="R78" s="22"/>
      <c r="S78" s="24" t="str">
        <f>IF($A78="","",_EngineTrades!V78)</f>
        <v/>
      </c>
      <c r="T78" t="str">
        <f>IF($A78="","",IFERROR(INDEX(Cycles!$R$9:$R$208,MATCH(_EngineTrades!AU78,_EngineCycles!$A$9:$A$208,0)),""))</f>
        <v/>
      </c>
      <c r="Y78" t="str">
        <f>IF(OR($A78="",$D78&lt;&gt;Overview!$P$2),"",COUNTIFS($D$9:$D$508,$D78,$A$9:$A$508,"&gt;"&amp;$A78)+COUNTIFS($D$9:$D$508,$D78,$A$9:$A$508,$A78)-COUNTIFS($D$9:$D78,$D78,$A$9:$A78,$A78)+1)</f>
        <v/>
      </c>
    </row>
    <row r="79" spans="1:25" ht="23.1" customHeight="1" x14ac:dyDescent="0.25">
      <c r="A79" s="13"/>
      <c r="B79" s="14"/>
      <c r="C79" s="14"/>
      <c r="D79" s="14"/>
      <c r="E79" s="14"/>
      <c r="F79" s="15"/>
      <c r="G79" s="16"/>
      <c r="H79" s="13"/>
      <c r="I79" s="16"/>
      <c r="J79" s="16"/>
      <c r="K79" s="17" t="str">
        <f>IF($A79="","",_EngineTrades!S79)</f>
        <v/>
      </c>
      <c r="L79" s="15"/>
      <c r="M79" s="16"/>
      <c r="N79" s="14"/>
      <c r="O79" s="18" t="str">
        <f t="shared" si="1"/>
        <v/>
      </c>
      <c r="P79" s="14"/>
      <c r="Q79" s="16"/>
      <c r="R79" s="16"/>
      <c r="S79" s="18" t="str">
        <f>IF($A79="","",_EngineTrades!V79)</f>
        <v/>
      </c>
      <c r="T79" t="str">
        <f>IF($A79="","",IFERROR(INDEX(Cycles!$R$9:$R$208,MATCH(_EngineTrades!AU79,_EngineCycles!$A$9:$A$208,0)),""))</f>
        <v/>
      </c>
      <c r="Y79" t="str">
        <f>IF(OR($A79="",$D79&lt;&gt;Overview!$P$2),"",COUNTIFS($D$9:$D$508,$D79,$A$9:$A$508,"&gt;"&amp;$A79)+COUNTIFS($D$9:$D$508,$D79,$A$9:$A$508,$A79)-COUNTIFS($D$9:$D79,$D79,$A$9:$A79,$A79)+1)</f>
        <v/>
      </c>
    </row>
    <row r="80" spans="1:25" ht="23.1" customHeight="1" x14ac:dyDescent="0.25">
      <c r="A80" s="19"/>
      <c r="B80" s="20"/>
      <c r="C80" s="20"/>
      <c r="D80" s="20"/>
      <c r="E80" s="20"/>
      <c r="F80" s="21"/>
      <c r="G80" s="22"/>
      <c r="H80" s="19"/>
      <c r="I80" s="22"/>
      <c r="J80" s="22"/>
      <c r="K80" s="23" t="str">
        <f>IF($A80="","",_EngineTrades!S80)</f>
        <v/>
      </c>
      <c r="L80" s="21"/>
      <c r="M80" s="22"/>
      <c r="N80" s="20"/>
      <c r="O80" s="24" t="str">
        <f t="shared" si="1"/>
        <v/>
      </c>
      <c r="P80" s="20"/>
      <c r="Q80" s="22"/>
      <c r="R80" s="22"/>
      <c r="S80" s="24" t="str">
        <f>IF($A80="","",_EngineTrades!V80)</f>
        <v/>
      </c>
      <c r="T80" t="str">
        <f>IF($A80="","",IFERROR(INDEX(Cycles!$R$9:$R$208,MATCH(_EngineTrades!AU80,_EngineCycles!$A$9:$A$208,0)),""))</f>
        <v/>
      </c>
      <c r="Y80" t="str">
        <f>IF(OR($A80="",$D80&lt;&gt;Overview!$P$2),"",COUNTIFS($D$9:$D$508,$D80,$A$9:$A$508,"&gt;"&amp;$A80)+COUNTIFS($D$9:$D$508,$D80,$A$9:$A$508,$A80)-COUNTIFS($D$9:$D80,$D80,$A$9:$A80,$A80)+1)</f>
        <v/>
      </c>
    </row>
    <row r="81" spans="1:25" ht="23.1" customHeight="1" x14ac:dyDescent="0.25">
      <c r="A81" s="13"/>
      <c r="B81" s="14"/>
      <c r="C81" s="14"/>
      <c r="D81" s="14"/>
      <c r="E81" s="14"/>
      <c r="F81" s="15"/>
      <c r="G81" s="16"/>
      <c r="H81" s="13"/>
      <c r="I81" s="16"/>
      <c r="J81" s="16"/>
      <c r="K81" s="17" t="str">
        <f>IF($A81="","",_EngineTrades!S81)</f>
        <v/>
      </c>
      <c r="L81" s="15"/>
      <c r="M81" s="16"/>
      <c r="N81" s="14"/>
      <c r="O81" s="18" t="str">
        <f t="shared" si="1"/>
        <v/>
      </c>
      <c r="P81" s="14"/>
      <c r="Q81" s="16"/>
      <c r="R81" s="16"/>
      <c r="S81" s="18" t="str">
        <f>IF($A81="","",_EngineTrades!V81)</f>
        <v/>
      </c>
      <c r="T81" t="str">
        <f>IF($A81="","",IFERROR(INDEX(Cycles!$R$9:$R$208,MATCH(_EngineTrades!AU81,_EngineCycles!$A$9:$A$208,0)),""))</f>
        <v/>
      </c>
      <c r="Y81" t="str">
        <f>IF(OR($A81="",$D81&lt;&gt;Overview!$P$2),"",COUNTIFS($D$9:$D$508,$D81,$A$9:$A$508,"&gt;"&amp;$A81)+COUNTIFS($D$9:$D$508,$D81,$A$9:$A$508,$A81)-COUNTIFS($D$9:$D81,$D81,$A$9:$A81,$A81)+1)</f>
        <v/>
      </c>
    </row>
    <row r="82" spans="1:25" ht="23.1" customHeight="1" x14ac:dyDescent="0.25">
      <c r="A82" s="19"/>
      <c r="B82" s="20"/>
      <c r="C82" s="20"/>
      <c r="D82" s="20"/>
      <c r="E82" s="20"/>
      <c r="F82" s="21"/>
      <c r="G82" s="22"/>
      <c r="H82" s="19"/>
      <c r="I82" s="22"/>
      <c r="J82" s="22"/>
      <c r="K82" s="23" t="str">
        <f>IF($A82="","",_EngineTrades!S82)</f>
        <v/>
      </c>
      <c r="L82" s="21"/>
      <c r="M82" s="22"/>
      <c r="N82" s="20"/>
      <c r="O82" s="24" t="str">
        <f t="shared" si="1"/>
        <v/>
      </c>
      <c r="P82" s="20"/>
      <c r="Q82" s="22"/>
      <c r="R82" s="22"/>
      <c r="S82" s="24" t="str">
        <f>IF($A82="","",_EngineTrades!V82)</f>
        <v/>
      </c>
      <c r="T82" t="str">
        <f>IF($A82="","",IFERROR(INDEX(Cycles!$R$9:$R$208,MATCH(_EngineTrades!AU82,_EngineCycles!$A$9:$A$208,0)),""))</f>
        <v/>
      </c>
      <c r="Y82" t="str">
        <f>IF(OR($A82="",$D82&lt;&gt;Overview!$P$2),"",COUNTIFS($D$9:$D$508,$D82,$A$9:$A$508,"&gt;"&amp;$A82)+COUNTIFS($D$9:$D$508,$D82,$A$9:$A$508,$A82)-COUNTIFS($D$9:$D82,$D82,$A$9:$A82,$A82)+1)</f>
        <v/>
      </c>
    </row>
    <row r="83" spans="1:25" ht="23.1" customHeight="1" x14ac:dyDescent="0.25">
      <c r="A83" s="13"/>
      <c r="B83" s="14"/>
      <c r="C83" s="14"/>
      <c r="D83" s="14"/>
      <c r="E83" s="14"/>
      <c r="F83" s="15"/>
      <c r="G83" s="16"/>
      <c r="H83" s="13"/>
      <c r="I83" s="16"/>
      <c r="J83" s="16"/>
      <c r="K83" s="17" t="str">
        <f>IF($A83="","",_EngineTrades!S83)</f>
        <v/>
      </c>
      <c r="L83" s="15"/>
      <c r="M83" s="16"/>
      <c r="N83" s="14"/>
      <c r="O83" s="18" t="str">
        <f t="shared" si="1"/>
        <v/>
      </c>
      <c r="P83" s="14"/>
      <c r="Q83" s="16"/>
      <c r="R83" s="16"/>
      <c r="S83" s="18" t="str">
        <f>IF($A83="","",_EngineTrades!V83)</f>
        <v/>
      </c>
      <c r="T83" t="str">
        <f>IF($A83="","",IFERROR(INDEX(Cycles!$R$9:$R$208,MATCH(_EngineTrades!AU83,_EngineCycles!$A$9:$A$208,0)),""))</f>
        <v/>
      </c>
      <c r="Y83" t="str">
        <f>IF(OR($A83="",$D83&lt;&gt;Overview!$P$2),"",COUNTIFS($D$9:$D$508,$D83,$A$9:$A$508,"&gt;"&amp;$A83)+COUNTIFS($D$9:$D$508,$D83,$A$9:$A$508,$A83)-COUNTIFS($D$9:$D83,$D83,$A$9:$A83,$A83)+1)</f>
        <v/>
      </c>
    </row>
    <row r="84" spans="1:25" ht="23.1" customHeight="1" x14ac:dyDescent="0.25">
      <c r="A84" s="19"/>
      <c r="B84" s="20"/>
      <c r="C84" s="20"/>
      <c r="D84" s="20"/>
      <c r="E84" s="20"/>
      <c r="F84" s="21"/>
      <c r="G84" s="22"/>
      <c r="H84" s="19"/>
      <c r="I84" s="22"/>
      <c r="J84" s="22"/>
      <c r="K84" s="23" t="str">
        <f>IF($A84="","",_EngineTrades!S84)</f>
        <v/>
      </c>
      <c r="L84" s="21"/>
      <c r="M84" s="22"/>
      <c r="N84" s="20"/>
      <c r="O84" s="24" t="str">
        <f t="shared" si="1"/>
        <v/>
      </c>
      <c r="P84" s="20"/>
      <c r="Q84" s="22"/>
      <c r="R84" s="22"/>
      <c r="S84" s="24" t="str">
        <f>IF($A84="","",_EngineTrades!V84)</f>
        <v/>
      </c>
      <c r="T84" t="str">
        <f>IF($A84="","",IFERROR(INDEX(Cycles!$R$9:$R$208,MATCH(_EngineTrades!AU84,_EngineCycles!$A$9:$A$208,0)),""))</f>
        <v/>
      </c>
      <c r="Y84" t="str">
        <f>IF(OR($A84="",$D84&lt;&gt;Overview!$P$2),"",COUNTIFS($D$9:$D$508,$D84,$A$9:$A$508,"&gt;"&amp;$A84)+COUNTIFS($D$9:$D$508,$D84,$A$9:$A$508,$A84)-COUNTIFS($D$9:$D84,$D84,$A$9:$A84,$A84)+1)</f>
        <v/>
      </c>
    </row>
    <row r="85" spans="1:25" ht="23.1" customHeight="1" x14ac:dyDescent="0.25">
      <c r="A85" s="13"/>
      <c r="B85" s="14"/>
      <c r="C85" s="14"/>
      <c r="D85" s="14"/>
      <c r="E85" s="14"/>
      <c r="F85" s="15"/>
      <c r="G85" s="16"/>
      <c r="H85" s="13"/>
      <c r="I85" s="16"/>
      <c r="J85" s="16"/>
      <c r="K85" s="17" t="str">
        <f>IF($A85="","",_EngineTrades!S85)</f>
        <v/>
      </c>
      <c r="L85" s="15"/>
      <c r="M85" s="16"/>
      <c r="N85" s="14"/>
      <c r="O85" s="18" t="str">
        <f t="shared" si="1"/>
        <v/>
      </c>
      <c r="P85" s="14"/>
      <c r="Q85" s="16"/>
      <c r="R85" s="16"/>
      <c r="S85" s="18" t="str">
        <f>IF($A85="","",_EngineTrades!V85)</f>
        <v/>
      </c>
      <c r="T85" t="str">
        <f>IF($A85="","",IFERROR(INDEX(Cycles!$R$9:$R$208,MATCH(_EngineTrades!AU85,_EngineCycles!$A$9:$A$208,0)),""))</f>
        <v/>
      </c>
      <c r="Y85" t="str">
        <f>IF(OR($A85="",$D85&lt;&gt;Overview!$P$2),"",COUNTIFS($D$9:$D$508,$D85,$A$9:$A$508,"&gt;"&amp;$A85)+COUNTIFS($D$9:$D$508,$D85,$A$9:$A$508,$A85)-COUNTIFS($D$9:$D85,$D85,$A$9:$A85,$A85)+1)</f>
        <v/>
      </c>
    </row>
    <row r="86" spans="1:25" ht="23.1" customHeight="1" x14ac:dyDescent="0.25">
      <c r="A86" s="19"/>
      <c r="B86" s="20"/>
      <c r="C86" s="20"/>
      <c r="D86" s="20"/>
      <c r="E86" s="20"/>
      <c r="F86" s="21"/>
      <c r="G86" s="22"/>
      <c r="H86" s="19"/>
      <c r="I86" s="22"/>
      <c r="J86" s="22"/>
      <c r="K86" s="23" t="str">
        <f>IF($A86="","",_EngineTrades!S86)</f>
        <v/>
      </c>
      <c r="L86" s="21"/>
      <c r="M86" s="22"/>
      <c r="N86" s="20"/>
      <c r="O86" s="24" t="str">
        <f t="shared" si="1"/>
        <v/>
      </c>
      <c r="P86" s="20"/>
      <c r="Q86" s="22"/>
      <c r="R86" s="22"/>
      <c r="S86" s="24" t="str">
        <f>IF($A86="","",_EngineTrades!V86)</f>
        <v/>
      </c>
      <c r="T86" t="str">
        <f>IF($A86="","",IFERROR(INDEX(Cycles!$R$9:$R$208,MATCH(_EngineTrades!AU86,_EngineCycles!$A$9:$A$208,0)),""))</f>
        <v/>
      </c>
      <c r="Y86" t="str">
        <f>IF(OR($A86="",$D86&lt;&gt;Overview!$P$2),"",COUNTIFS($D$9:$D$508,$D86,$A$9:$A$508,"&gt;"&amp;$A86)+COUNTIFS($D$9:$D$508,$D86,$A$9:$A$508,$A86)-COUNTIFS($D$9:$D86,$D86,$A$9:$A86,$A86)+1)</f>
        <v/>
      </c>
    </row>
    <row r="87" spans="1:25" ht="23.1" customHeight="1" x14ac:dyDescent="0.25">
      <c r="A87" s="13"/>
      <c r="B87" s="14"/>
      <c r="C87" s="14"/>
      <c r="D87" s="14"/>
      <c r="E87" s="14"/>
      <c r="F87" s="15"/>
      <c r="G87" s="16"/>
      <c r="H87" s="13"/>
      <c r="I87" s="16"/>
      <c r="J87" s="16"/>
      <c r="K87" s="17" t="str">
        <f>IF($A87="","",_EngineTrades!S87)</f>
        <v/>
      </c>
      <c r="L87" s="15"/>
      <c r="M87" s="16"/>
      <c r="N87" s="14"/>
      <c r="O87" s="18" t="str">
        <f t="shared" si="1"/>
        <v/>
      </c>
      <c r="P87" s="14"/>
      <c r="Q87" s="16"/>
      <c r="R87" s="16"/>
      <c r="S87" s="18" t="str">
        <f>IF($A87="","",_EngineTrades!V87)</f>
        <v/>
      </c>
      <c r="T87" t="str">
        <f>IF($A87="","",IFERROR(INDEX(Cycles!$R$9:$R$208,MATCH(_EngineTrades!AU87,_EngineCycles!$A$9:$A$208,0)),""))</f>
        <v/>
      </c>
      <c r="Y87" t="str">
        <f>IF(OR($A87="",$D87&lt;&gt;Overview!$P$2),"",COUNTIFS($D$9:$D$508,$D87,$A$9:$A$508,"&gt;"&amp;$A87)+COUNTIFS($D$9:$D$508,$D87,$A$9:$A$508,$A87)-COUNTIFS($D$9:$D87,$D87,$A$9:$A87,$A87)+1)</f>
        <v/>
      </c>
    </row>
    <row r="88" spans="1:25" ht="23.1" customHeight="1" x14ac:dyDescent="0.25">
      <c r="A88" s="19"/>
      <c r="B88" s="20"/>
      <c r="C88" s="20"/>
      <c r="D88" s="20"/>
      <c r="E88" s="20"/>
      <c r="F88" s="21"/>
      <c r="G88" s="22"/>
      <c r="H88" s="19"/>
      <c r="I88" s="22"/>
      <c r="J88" s="22"/>
      <c r="K88" s="23" t="str">
        <f>IF($A88="","",_EngineTrades!S88)</f>
        <v/>
      </c>
      <c r="L88" s="21"/>
      <c r="M88" s="22"/>
      <c r="N88" s="20"/>
      <c r="O88" s="24" t="str">
        <f t="shared" si="1"/>
        <v/>
      </c>
      <c r="P88" s="20"/>
      <c r="Q88" s="22"/>
      <c r="R88" s="22"/>
      <c r="S88" s="24" t="str">
        <f>IF($A88="","",_EngineTrades!V88)</f>
        <v/>
      </c>
      <c r="T88" t="str">
        <f>IF($A88="","",IFERROR(INDEX(Cycles!$R$9:$R$208,MATCH(_EngineTrades!AU88,_EngineCycles!$A$9:$A$208,0)),""))</f>
        <v/>
      </c>
      <c r="Y88" t="str">
        <f>IF(OR($A88="",$D88&lt;&gt;Overview!$P$2),"",COUNTIFS($D$9:$D$508,$D88,$A$9:$A$508,"&gt;"&amp;$A88)+COUNTIFS($D$9:$D$508,$D88,$A$9:$A$508,$A88)-COUNTIFS($D$9:$D88,$D88,$A$9:$A88,$A88)+1)</f>
        <v/>
      </c>
    </row>
    <row r="89" spans="1:25" ht="23.1" customHeight="1" x14ac:dyDescent="0.25">
      <c r="A89" s="13"/>
      <c r="B89" s="14"/>
      <c r="C89" s="14"/>
      <c r="D89" s="14"/>
      <c r="E89" s="14"/>
      <c r="F89" s="15"/>
      <c r="G89" s="16"/>
      <c r="H89" s="13"/>
      <c r="I89" s="16"/>
      <c r="J89" s="16"/>
      <c r="K89" s="17" t="str">
        <f>IF($A89="","",_EngineTrades!S89)</f>
        <v/>
      </c>
      <c r="L89" s="15"/>
      <c r="M89" s="16"/>
      <c r="N89" s="14"/>
      <c r="O89" s="18" t="str">
        <f t="shared" si="1"/>
        <v/>
      </c>
      <c r="P89" s="14"/>
      <c r="Q89" s="16"/>
      <c r="R89" s="16"/>
      <c r="S89" s="18" t="str">
        <f>IF($A89="","",_EngineTrades!V89)</f>
        <v/>
      </c>
      <c r="T89" t="str">
        <f>IF($A89="","",IFERROR(INDEX(Cycles!$R$9:$R$208,MATCH(_EngineTrades!AU89,_EngineCycles!$A$9:$A$208,0)),""))</f>
        <v/>
      </c>
      <c r="Y89" t="str">
        <f>IF(OR($A89="",$D89&lt;&gt;Overview!$P$2),"",COUNTIFS($D$9:$D$508,$D89,$A$9:$A$508,"&gt;"&amp;$A89)+COUNTIFS($D$9:$D$508,$D89,$A$9:$A$508,$A89)-COUNTIFS($D$9:$D89,$D89,$A$9:$A89,$A89)+1)</f>
        <v/>
      </c>
    </row>
    <row r="90" spans="1:25" ht="23.1" customHeight="1" x14ac:dyDescent="0.25">
      <c r="A90" s="19"/>
      <c r="B90" s="20"/>
      <c r="C90" s="20"/>
      <c r="D90" s="20"/>
      <c r="E90" s="20"/>
      <c r="F90" s="21"/>
      <c r="G90" s="22"/>
      <c r="H90" s="19"/>
      <c r="I90" s="22"/>
      <c r="J90" s="22"/>
      <c r="K90" s="23" t="str">
        <f>IF($A90="","",_EngineTrades!S90)</f>
        <v/>
      </c>
      <c r="L90" s="21"/>
      <c r="M90" s="22"/>
      <c r="N90" s="20"/>
      <c r="O90" s="24" t="str">
        <f t="shared" si="1"/>
        <v/>
      </c>
      <c r="P90" s="20"/>
      <c r="Q90" s="22"/>
      <c r="R90" s="22"/>
      <c r="S90" s="24" t="str">
        <f>IF($A90="","",_EngineTrades!V90)</f>
        <v/>
      </c>
      <c r="T90" t="str">
        <f>IF($A90="","",IFERROR(INDEX(Cycles!$R$9:$R$208,MATCH(_EngineTrades!AU90,_EngineCycles!$A$9:$A$208,0)),""))</f>
        <v/>
      </c>
      <c r="Y90" t="str">
        <f>IF(OR($A90="",$D90&lt;&gt;Overview!$P$2),"",COUNTIFS($D$9:$D$508,$D90,$A$9:$A$508,"&gt;"&amp;$A90)+COUNTIFS($D$9:$D$508,$D90,$A$9:$A$508,$A90)-COUNTIFS($D$9:$D90,$D90,$A$9:$A90,$A90)+1)</f>
        <v/>
      </c>
    </row>
    <row r="91" spans="1:25" ht="23.1" customHeight="1" x14ac:dyDescent="0.25">
      <c r="A91" s="13"/>
      <c r="B91" s="14"/>
      <c r="C91" s="14"/>
      <c r="D91" s="14"/>
      <c r="E91" s="14"/>
      <c r="F91" s="15"/>
      <c r="G91" s="16"/>
      <c r="H91" s="13"/>
      <c r="I91" s="16"/>
      <c r="J91" s="16"/>
      <c r="K91" s="17" t="str">
        <f>IF($A91="","",_EngineTrades!S91)</f>
        <v/>
      </c>
      <c r="L91" s="15"/>
      <c r="M91" s="16"/>
      <c r="N91" s="14"/>
      <c r="O91" s="18" t="str">
        <f t="shared" si="1"/>
        <v/>
      </c>
      <c r="P91" s="14"/>
      <c r="Q91" s="16"/>
      <c r="R91" s="16"/>
      <c r="S91" s="18" t="str">
        <f>IF($A91="","",_EngineTrades!V91)</f>
        <v/>
      </c>
      <c r="T91" t="str">
        <f>IF($A91="","",IFERROR(INDEX(Cycles!$R$9:$R$208,MATCH(_EngineTrades!AU91,_EngineCycles!$A$9:$A$208,0)),""))</f>
        <v/>
      </c>
      <c r="Y91" t="str">
        <f>IF(OR($A91="",$D91&lt;&gt;Overview!$P$2),"",COUNTIFS($D$9:$D$508,$D91,$A$9:$A$508,"&gt;"&amp;$A91)+COUNTIFS($D$9:$D$508,$D91,$A$9:$A$508,$A91)-COUNTIFS($D$9:$D91,$D91,$A$9:$A91,$A91)+1)</f>
        <v/>
      </c>
    </row>
    <row r="92" spans="1:25" ht="23.1" customHeight="1" x14ac:dyDescent="0.25">
      <c r="A92" s="19"/>
      <c r="B92" s="20"/>
      <c r="C92" s="20"/>
      <c r="D92" s="20"/>
      <c r="E92" s="20"/>
      <c r="F92" s="21"/>
      <c r="G92" s="22"/>
      <c r="H92" s="19"/>
      <c r="I92" s="22"/>
      <c r="J92" s="22"/>
      <c r="K92" s="23" t="str">
        <f>IF($A92="","",_EngineTrades!S92)</f>
        <v/>
      </c>
      <c r="L92" s="21"/>
      <c r="M92" s="22"/>
      <c r="N92" s="20"/>
      <c r="O92" s="24" t="str">
        <f t="shared" si="1"/>
        <v/>
      </c>
      <c r="P92" s="20"/>
      <c r="Q92" s="22"/>
      <c r="R92" s="22"/>
      <c r="S92" s="24" t="str">
        <f>IF($A92="","",_EngineTrades!V92)</f>
        <v/>
      </c>
      <c r="T92" t="str">
        <f>IF($A92="","",IFERROR(INDEX(Cycles!$R$9:$R$208,MATCH(_EngineTrades!AU92,_EngineCycles!$A$9:$A$208,0)),""))</f>
        <v/>
      </c>
      <c r="Y92" t="str">
        <f>IF(OR($A92="",$D92&lt;&gt;Overview!$P$2),"",COUNTIFS($D$9:$D$508,$D92,$A$9:$A$508,"&gt;"&amp;$A92)+COUNTIFS($D$9:$D$508,$D92,$A$9:$A$508,$A92)-COUNTIFS($D$9:$D92,$D92,$A$9:$A92,$A92)+1)</f>
        <v/>
      </c>
    </row>
    <row r="93" spans="1:25" ht="23.1" customHeight="1" x14ac:dyDescent="0.25">
      <c r="A93" s="13"/>
      <c r="B93" s="14"/>
      <c r="C93" s="14"/>
      <c r="D93" s="14"/>
      <c r="E93" s="14"/>
      <c r="F93" s="15"/>
      <c r="G93" s="16"/>
      <c r="H93" s="13"/>
      <c r="I93" s="16"/>
      <c r="J93" s="16"/>
      <c r="K93" s="17" t="str">
        <f>IF($A93="","",_EngineTrades!S93)</f>
        <v/>
      </c>
      <c r="L93" s="15"/>
      <c r="M93" s="16"/>
      <c r="N93" s="14"/>
      <c r="O93" s="18" t="str">
        <f t="shared" si="1"/>
        <v/>
      </c>
      <c r="P93" s="14"/>
      <c r="Q93" s="16"/>
      <c r="R93" s="16"/>
      <c r="S93" s="18" t="str">
        <f>IF($A93="","",_EngineTrades!V93)</f>
        <v/>
      </c>
      <c r="T93" t="str">
        <f>IF($A93="","",IFERROR(INDEX(Cycles!$R$9:$R$208,MATCH(_EngineTrades!AU93,_EngineCycles!$A$9:$A$208,0)),""))</f>
        <v/>
      </c>
      <c r="Y93" t="str">
        <f>IF(OR($A93="",$D93&lt;&gt;Overview!$P$2),"",COUNTIFS($D$9:$D$508,$D93,$A$9:$A$508,"&gt;"&amp;$A93)+COUNTIFS($D$9:$D$508,$D93,$A$9:$A$508,$A93)-COUNTIFS($D$9:$D93,$D93,$A$9:$A93,$A93)+1)</f>
        <v/>
      </c>
    </row>
    <row r="94" spans="1:25" ht="23.1" customHeight="1" x14ac:dyDescent="0.25">
      <c r="A94" s="19"/>
      <c r="B94" s="20"/>
      <c r="C94" s="20"/>
      <c r="D94" s="20"/>
      <c r="E94" s="20"/>
      <c r="F94" s="21"/>
      <c r="G94" s="22"/>
      <c r="H94" s="19"/>
      <c r="I94" s="22"/>
      <c r="J94" s="22"/>
      <c r="K94" s="23" t="str">
        <f>IF($A94="","",_EngineTrades!S94)</f>
        <v/>
      </c>
      <c r="L94" s="21"/>
      <c r="M94" s="22"/>
      <c r="N94" s="20"/>
      <c r="O94" s="24" t="str">
        <f t="shared" si="1"/>
        <v/>
      </c>
      <c r="P94" s="20"/>
      <c r="Q94" s="22"/>
      <c r="R94" s="22"/>
      <c r="S94" s="24" t="str">
        <f>IF($A94="","",_EngineTrades!V94)</f>
        <v/>
      </c>
      <c r="T94" t="str">
        <f>IF($A94="","",IFERROR(INDEX(Cycles!$R$9:$R$208,MATCH(_EngineTrades!AU94,_EngineCycles!$A$9:$A$208,0)),""))</f>
        <v/>
      </c>
      <c r="Y94" t="str">
        <f>IF(OR($A94="",$D94&lt;&gt;Overview!$P$2),"",COUNTIFS($D$9:$D$508,$D94,$A$9:$A$508,"&gt;"&amp;$A94)+COUNTIFS($D$9:$D$508,$D94,$A$9:$A$508,$A94)-COUNTIFS($D$9:$D94,$D94,$A$9:$A94,$A94)+1)</f>
        <v/>
      </c>
    </row>
    <row r="95" spans="1:25" ht="23.1" customHeight="1" x14ac:dyDescent="0.25">
      <c r="A95" s="13"/>
      <c r="B95" s="14"/>
      <c r="C95" s="14"/>
      <c r="D95" s="14"/>
      <c r="E95" s="14"/>
      <c r="F95" s="15"/>
      <c r="G95" s="16"/>
      <c r="H95" s="13"/>
      <c r="I95" s="16"/>
      <c r="J95" s="16"/>
      <c r="K95" s="17" t="str">
        <f>IF($A95="","",_EngineTrades!S95)</f>
        <v/>
      </c>
      <c r="L95" s="15"/>
      <c r="M95" s="16"/>
      <c r="N95" s="14"/>
      <c r="O95" s="18" t="str">
        <f t="shared" si="1"/>
        <v/>
      </c>
      <c r="P95" s="14"/>
      <c r="Q95" s="16"/>
      <c r="R95" s="16"/>
      <c r="S95" s="18" t="str">
        <f>IF($A95="","",_EngineTrades!V95)</f>
        <v/>
      </c>
      <c r="T95" t="str">
        <f>IF($A95="","",IFERROR(INDEX(Cycles!$R$9:$R$208,MATCH(_EngineTrades!AU95,_EngineCycles!$A$9:$A$208,0)),""))</f>
        <v/>
      </c>
      <c r="Y95" t="str">
        <f>IF(OR($A95="",$D95&lt;&gt;Overview!$P$2),"",COUNTIFS($D$9:$D$508,$D95,$A$9:$A$508,"&gt;"&amp;$A95)+COUNTIFS($D$9:$D$508,$D95,$A$9:$A$508,$A95)-COUNTIFS($D$9:$D95,$D95,$A$9:$A95,$A95)+1)</f>
        <v/>
      </c>
    </row>
    <row r="96" spans="1:25" ht="23.1" customHeight="1" x14ac:dyDescent="0.25">
      <c r="A96" s="19"/>
      <c r="B96" s="20"/>
      <c r="C96" s="20"/>
      <c r="D96" s="20"/>
      <c r="E96" s="20"/>
      <c r="F96" s="21"/>
      <c r="G96" s="22"/>
      <c r="H96" s="19"/>
      <c r="I96" s="22"/>
      <c r="J96" s="22"/>
      <c r="K96" s="23" t="str">
        <f>IF($A96="","",_EngineTrades!S96)</f>
        <v/>
      </c>
      <c r="L96" s="21"/>
      <c r="M96" s="22"/>
      <c r="N96" s="20"/>
      <c r="O96" s="24" t="str">
        <f t="shared" si="1"/>
        <v/>
      </c>
      <c r="P96" s="20"/>
      <c r="Q96" s="22"/>
      <c r="R96" s="22"/>
      <c r="S96" s="24" t="str">
        <f>IF($A96="","",_EngineTrades!V96)</f>
        <v/>
      </c>
      <c r="T96" t="str">
        <f>IF($A96="","",IFERROR(INDEX(Cycles!$R$9:$R$208,MATCH(_EngineTrades!AU96,_EngineCycles!$A$9:$A$208,0)),""))</f>
        <v/>
      </c>
      <c r="Y96" t="str">
        <f>IF(OR($A96="",$D96&lt;&gt;Overview!$P$2),"",COUNTIFS($D$9:$D$508,$D96,$A$9:$A$508,"&gt;"&amp;$A96)+COUNTIFS($D$9:$D$508,$D96,$A$9:$A$508,$A96)-COUNTIFS($D$9:$D96,$D96,$A$9:$A96,$A96)+1)</f>
        <v/>
      </c>
    </row>
    <row r="97" spans="1:25" ht="23.1" customHeight="1" x14ac:dyDescent="0.25">
      <c r="A97" s="13"/>
      <c r="B97" s="14"/>
      <c r="C97" s="14"/>
      <c r="D97" s="14"/>
      <c r="E97" s="14"/>
      <c r="F97" s="15"/>
      <c r="G97" s="16"/>
      <c r="H97" s="13"/>
      <c r="I97" s="16"/>
      <c r="J97" s="16"/>
      <c r="K97" s="17" t="str">
        <f>IF($A97="","",_EngineTrades!S97)</f>
        <v/>
      </c>
      <c r="L97" s="15"/>
      <c r="M97" s="16"/>
      <c r="N97" s="14"/>
      <c r="O97" s="18" t="str">
        <f t="shared" si="1"/>
        <v/>
      </c>
      <c r="P97" s="14"/>
      <c r="Q97" s="16"/>
      <c r="R97" s="16"/>
      <c r="S97" s="18" t="str">
        <f>IF($A97="","",_EngineTrades!V97)</f>
        <v/>
      </c>
      <c r="T97" t="str">
        <f>IF($A97="","",IFERROR(INDEX(Cycles!$R$9:$R$208,MATCH(_EngineTrades!AU97,_EngineCycles!$A$9:$A$208,0)),""))</f>
        <v/>
      </c>
      <c r="Y97" t="str">
        <f>IF(OR($A97="",$D97&lt;&gt;Overview!$P$2),"",COUNTIFS($D$9:$D$508,$D97,$A$9:$A$508,"&gt;"&amp;$A97)+COUNTIFS($D$9:$D$508,$D97,$A$9:$A$508,$A97)-COUNTIFS($D$9:$D97,$D97,$A$9:$A97,$A97)+1)</f>
        <v/>
      </c>
    </row>
    <row r="98" spans="1:25" ht="23.1" customHeight="1" x14ac:dyDescent="0.25">
      <c r="A98" s="19"/>
      <c r="B98" s="20"/>
      <c r="C98" s="20"/>
      <c r="D98" s="20"/>
      <c r="E98" s="20"/>
      <c r="F98" s="21"/>
      <c r="G98" s="22"/>
      <c r="H98" s="19"/>
      <c r="I98" s="22"/>
      <c r="J98" s="22"/>
      <c r="K98" s="23" t="str">
        <f>IF($A98="","",_EngineTrades!S98)</f>
        <v/>
      </c>
      <c r="L98" s="21"/>
      <c r="M98" s="22"/>
      <c r="N98" s="20"/>
      <c r="O98" s="24" t="str">
        <f t="shared" si="1"/>
        <v/>
      </c>
      <c r="P98" s="20"/>
      <c r="Q98" s="22"/>
      <c r="R98" s="22"/>
      <c r="S98" s="24" t="str">
        <f>IF($A98="","",_EngineTrades!V98)</f>
        <v/>
      </c>
      <c r="T98" t="str">
        <f>IF($A98="","",IFERROR(INDEX(Cycles!$R$9:$R$208,MATCH(_EngineTrades!AU98,_EngineCycles!$A$9:$A$208,0)),""))</f>
        <v/>
      </c>
      <c r="Y98" t="str">
        <f>IF(OR($A98="",$D98&lt;&gt;Overview!$P$2),"",COUNTIFS($D$9:$D$508,$D98,$A$9:$A$508,"&gt;"&amp;$A98)+COUNTIFS($D$9:$D$508,$D98,$A$9:$A$508,$A98)-COUNTIFS($D$9:$D98,$D98,$A$9:$A98,$A98)+1)</f>
        <v/>
      </c>
    </row>
    <row r="99" spans="1:25" ht="23.1" customHeight="1" x14ac:dyDescent="0.25">
      <c r="A99" s="13"/>
      <c r="B99" s="14"/>
      <c r="C99" s="14"/>
      <c r="D99" s="14"/>
      <c r="E99" s="14"/>
      <c r="F99" s="15"/>
      <c r="G99" s="16"/>
      <c r="H99" s="13"/>
      <c r="I99" s="16"/>
      <c r="J99" s="16"/>
      <c r="K99" s="17" t="str">
        <f>IF($A99="","",_EngineTrades!S99)</f>
        <v/>
      </c>
      <c r="L99" s="15"/>
      <c r="M99" s="16"/>
      <c r="N99" s="14"/>
      <c r="O99" s="18" t="str">
        <f t="shared" si="1"/>
        <v/>
      </c>
      <c r="P99" s="14"/>
      <c r="Q99" s="16"/>
      <c r="R99" s="16"/>
      <c r="S99" s="18" t="str">
        <f>IF($A99="","",_EngineTrades!V99)</f>
        <v/>
      </c>
      <c r="T99" t="str">
        <f>IF($A99="","",IFERROR(INDEX(Cycles!$R$9:$R$208,MATCH(_EngineTrades!AU99,_EngineCycles!$A$9:$A$208,0)),""))</f>
        <v/>
      </c>
      <c r="Y99" t="str">
        <f>IF(OR($A99="",$D99&lt;&gt;Overview!$P$2),"",COUNTIFS($D$9:$D$508,$D99,$A$9:$A$508,"&gt;"&amp;$A99)+COUNTIFS($D$9:$D$508,$D99,$A$9:$A$508,$A99)-COUNTIFS($D$9:$D99,$D99,$A$9:$A99,$A99)+1)</f>
        <v/>
      </c>
    </row>
    <row r="100" spans="1:25" ht="23.1" customHeight="1" x14ac:dyDescent="0.25">
      <c r="A100" s="19"/>
      <c r="B100" s="20"/>
      <c r="C100" s="20"/>
      <c r="D100" s="20"/>
      <c r="E100" s="20"/>
      <c r="F100" s="21"/>
      <c r="G100" s="22"/>
      <c r="H100" s="19"/>
      <c r="I100" s="22"/>
      <c r="J100" s="22"/>
      <c r="K100" s="23" t="str">
        <f>IF($A100="","",_EngineTrades!S100)</f>
        <v/>
      </c>
      <c r="L100" s="21"/>
      <c r="M100" s="22"/>
      <c r="N100" s="20"/>
      <c r="O100" s="24" t="str">
        <f t="shared" si="1"/>
        <v/>
      </c>
      <c r="P100" s="20"/>
      <c r="Q100" s="22"/>
      <c r="R100" s="22"/>
      <c r="S100" s="24" t="str">
        <f>IF($A100="","",_EngineTrades!V100)</f>
        <v/>
      </c>
      <c r="T100" t="str">
        <f>IF($A100="","",IFERROR(INDEX(Cycles!$R$9:$R$208,MATCH(_EngineTrades!AU100,_EngineCycles!$A$9:$A$208,0)),""))</f>
        <v/>
      </c>
      <c r="Y100" t="str">
        <f>IF(OR($A100="",$D100&lt;&gt;Overview!$P$2),"",COUNTIFS($D$9:$D$508,$D100,$A$9:$A$508,"&gt;"&amp;$A100)+COUNTIFS($D$9:$D$508,$D100,$A$9:$A$508,$A100)-COUNTIFS($D$9:$D100,$D100,$A$9:$A100,$A100)+1)</f>
        <v/>
      </c>
    </row>
    <row r="101" spans="1:25" ht="23.1" customHeight="1" x14ac:dyDescent="0.25">
      <c r="A101" s="13"/>
      <c r="B101" s="14"/>
      <c r="C101" s="14"/>
      <c r="D101" s="14"/>
      <c r="E101" s="14"/>
      <c r="F101" s="15"/>
      <c r="G101" s="16"/>
      <c r="H101" s="13"/>
      <c r="I101" s="16"/>
      <c r="J101" s="16"/>
      <c r="K101" s="17" t="str">
        <f>IF($A101="","",_EngineTrades!S101)</f>
        <v/>
      </c>
      <c r="L101" s="15"/>
      <c r="M101" s="16"/>
      <c r="N101" s="14"/>
      <c r="O101" s="18" t="str">
        <f t="shared" si="1"/>
        <v/>
      </c>
      <c r="P101" s="14"/>
      <c r="Q101" s="16"/>
      <c r="R101" s="16"/>
      <c r="S101" s="18" t="str">
        <f>IF($A101="","",_EngineTrades!V101)</f>
        <v/>
      </c>
      <c r="T101" t="str">
        <f>IF($A101="","",IFERROR(INDEX(Cycles!$R$9:$R$208,MATCH(_EngineTrades!AU101,_EngineCycles!$A$9:$A$208,0)),""))</f>
        <v/>
      </c>
      <c r="Y101" t="str">
        <f>IF(OR($A101="",$D101&lt;&gt;Overview!$P$2),"",COUNTIFS($D$9:$D$508,$D101,$A$9:$A$508,"&gt;"&amp;$A101)+COUNTIFS($D$9:$D$508,$D101,$A$9:$A$508,$A101)-COUNTIFS($D$9:$D101,$D101,$A$9:$A101,$A101)+1)</f>
        <v/>
      </c>
    </row>
    <row r="102" spans="1:25" ht="23.1" customHeight="1" x14ac:dyDescent="0.25">
      <c r="A102" s="19"/>
      <c r="B102" s="20"/>
      <c r="C102" s="20"/>
      <c r="D102" s="20"/>
      <c r="E102" s="20"/>
      <c r="F102" s="21"/>
      <c r="G102" s="22"/>
      <c r="H102" s="19"/>
      <c r="I102" s="22"/>
      <c r="J102" s="22"/>
      <c r="K102" s="23" t="str">
        <f>IF($A102="","",_EngineTrades!S102)</f>
        <v/>
      </c>
      <c r="L102" s="21"/>
      <c r="M102" s="22"/>
      <c r="N102" s="20"/>
      <c r="O102" s="24" t="str">
        <f t="shared" si="1"/>
        <v/>
      </c>
      <c r="P102" s="20"/>
      <c r="Q102" s="22"/>
      <c r="R102" s="22"/>
      <c r="S102" s="24" t="str">
        <f>IF($A102="","",_EngineTrades!V102)</f>
        <v/>
      </c>
      <c r="T102" t="str">
        <f>IF($A102="","",IFERROR(INDEX(Cycles!$R$9:$R$208,MATCH(_EngineTrades!AU102,_EngineCycles!$A$9:$A$208,0)),""))</f>
        <v/>
      </c>
      <c r="Y102" t="str">
        <f>IF(OR($A102="",$D102&lt;&gt;Overview!$P$2),"",COUNTIFS($D$9:$D$508,$D102,$A$9:$A$508,"&gt;"&amp;$A102)+COUNTIFS($D$9:$D$508,$D102,$A$9:$A$508,$A102)-COUNTIFS($D$9:$D102,$D102,$A$9:$A102,$A102)+1)</f>
        <v/>
      </c>
    </row>
    <row r="103" spans="1:25" ht="23.1" customHeight="1" x14ac:dyDescent="0.25">
      <c r="A103" s="13"/>
      <c r="B103" s="14"/>
      <c r="C103" s="14"/>
      <c r="D103" s="14"/>
      <c r="E103" s="14"/>
      <c r="F103" s="15"/>
      <c r="G103" s="16"/>
      <c r="H103" s="13"/>
      <c r="I103" s="16"/>
      <c r="J103" s="16"/>
      <c r="K103" s="17" t="str">
        <f>IF($A103="","",_EngineTrades!S103)</f>
        <v/>
      </c>
      <c r="L103" s="15"/>
      <c r="M103" s="16"/>
      <c r="N103" s="14"/>
      <c r="O103" s="18" t="str">
        <f t="shared" si="1"/>
        <v/>
      </c>
      <c r="P103" s="14"/>
      <c r="Q103" s="16"/>
      <c r="R103" s="16"/>
      <c r="S103" s="18" t="str">
        <f>IF($A103="","",_EngineTrades!V103)</f>
        <v/>
      </c>
      <c r="T103" t="str">
        <f>IF($A103="","",IFERROR(INDEX(Cycles!$R$9:$R$208,MATCH(_EngineTrades!AU103,_EngineCycles!$A$9:$A$208,0)),""))</f>
        <v/>
      </c>
      <c r="Y103" t="str">
        <f>IF(OR($A103="",$D103&lt;&gt;Overview!$P$2),"",COUNTIFS($D$9:$D$508,$D103,$A$9:$A$508,"&gt;"&amp;$A103)+COUNTIFS($D$9:$D$508,$D103,$A$9:$A$508,$A103)-COUNTIFS($D$9:$D103,$D103,$A$9:$A103,$A103)+1)</f>
        <v/>
      </c>
    </row>
    <row r="104" spans="1:25" ht="23.1" customHeight="1" x14ac:dyDescent="0.25">
      <c r="A104" s="19"/>
      <c r="B104" s="20"/>
      <c r="C104" s="20"/>
      <c r="D104" s="20"/>
      <c r="E104" s="20"/>
      <c r="F104" s="21"/>
      <c r="G104" s="22"/>
      <c r="H104" s="19"/>
      <c r="I104" s="22"/>
      <c r="J104" s="22"/>
      <c r="K104" s="23" t="str">
        <f>IF($A104="","",_EngineTrades!S104)</f>
        <v/>
      </c>
      <c r="L104" s="21"/>
      <c r="M104" s="22"/>
      <c r="N104" s="20"/>
      <c r="O104" s="24" t="str">
        <f t="shared" si="1"/>
        <v/>
      </c>
      <c r="P104" s="20"/>
      <c r="Q104" s="22"/>
      <c r="R104" s="22"/>
      <c r="S104" s="24" t="str">
        <f>IF($A104="","",_EngineTrades!V104)</f>
        <v/>
      </c>
      <c r="T104" t="str">
        <f>IF($A104="","",IFERROR(INDEX(Cycles!$R$9:$R$208,MATCH(_EngineTrades!AU104,_EngineCycles!$A$9:$A$208,0)),""))</f>
        <v/>
      </c>
      <c r="Y104" t="str">
        <f>IF(OR($A104="",$D104&lt;&gt;Overview!$P$2),"",COUNTIFS($D$9:$D$508,$D104,$A$9:$A$508,"&gt;"&amp;$A104)+COUNTIFS($D$9:$D$508,$D104,$A$9:$A$508,$A104)-COUNTIFS($D$9:$D104,$D104,$A$9:$A104,$A104)+1)</f>
        <v/>
      </c>
    </row>
    <row r="105" spans="1:25" ht="23.1" customHeight="1" x14ac:dyDescent="0.25">
      <c r="A105" s="13"/>
      <c r="B105" s="14"/>
      <c r="C105" s="14"/>
      <c r="D105" s="14"/>
      <c r="E105" s="14"/>
      <c r="F105" s="15"/>
      <c r="G105" s="16"/>
      <c r="H105" s="13"/>
      <c r="I105" s="16"/>
      <c r="J105" s="16"/>
      <c r="K105" s="17" t="str">
        <f>IF($A105="","",_EngineTrades!S105)</f>
        <v/>
      </c>
      <c r="L105" s="15"/>
      <c r="M105" s="16"/>
      <c r="N105" s="14"/>
      <c r="O105" s="18" t="str">
        <f t="shared" si="1"/>
        <v/>
      </c>
      <c r="P105" s="14"/>
      <c r="Q105" s="16"/>
      <c r="R105" s="16"/>
      <c r="S105" s="18" t="str">
        <f>IF($A105="","",_EngineTrades!V105)</f>
        <v/>
      </c>
      <c r="T105" t="str">
        <f>IF($A105="","",IFERROR(INDEX(Cycles!$R$9:$R$208,MATCH(_EngineTrades!AU105,_EngineCycles!$A$9:$A$208,0)),""))</f>
        <v/>
      </c>
      <c r="Y105" t="str">
        <f>IF(OR($A105="",$D105&lt;&gt;Overview!$P$2),"",COUNTIFS($D$9:$D$508,$D105,$A$9:$A$508,"&gt;"&amp;$A105)+COUNTIFS($D$9:$D$508,$D105,$A$9:$A$508,$A105)-COUNTIFS($D$9:$D105,$D105,$A$9:$A105,$A105)+1)</f>
        <v/>
      </c>
    </row>
    <row r="106" spans="1:25" ht="23.1" customHeight="1" x14ac:dyDescent="0.25">
      <c r="A106" s="19"/>
      <c r="B106" s="20"/>
      <c r="C106" s="20"/>
      <c r="D106" s="20"/>
      <c r="E106" s="20"/>
      <c r="F106" s="21"/>
      <c r="G106" s="22"/>
      <c r="H106" s="19"/>
      <c r="I106" s="22"/>
      <c r="J106" s="22"/>
      <c r="K106" s="23" t="str">
        <f>IF($A106="","",_EngineTrades!S106)</f>
        <v/>
      </c>
      <c r="L106" s="21"/>
      <c r="M106" s="22"/>
      <c r="N106" s="20"/>
      <c r="O106" s="24" t="str">
        <f t="shared" si="1"/>
        <v/>
      </c>
      <c r="P106" s="20"/>
      <c r="Q106" s="22"/>
      <c r="R106" s="22"/>
      <c r="S106" s="24" t="str">
        <f>IF($A106="","",_EngineTrades!V106)</f>
        <v/>
      </c>
      <c r="T106" t="str">
        <f>IF($A106="","",IFERROR(INDEX(Cycles!$R$9:$R$208,MATCH(_EngineTrades!AU106,_EngineCycles!$A$9:$A$208,0)),""))</f>
        <v/>
      </c>
      <c r="Y106" t="str">
        <f>IF(OR($A106="",$D106&lt;&gt;Overview!$P$2),"",COUNTIFS($D$9:$D$508,$D106,$A$9:$A$508,"&gt;"&amp;$A106)+COUNTIFS($D$9:$D$508,$D106,$A$9:$A$508,$A106)-COUNTIFS($D$9:$D106,$D106,$A$9:$A106,$A106)+1)</f>
        <v/>
      </c>
    </row>
    <row r="107" spans="1:25" ht="23.1" customHeight="1" x14ac:dyDescent="0.25">
      <c r="A107" s="13"/>
      <c r="B107" s="14"/>
      <c r="C107" s="14"/>
      <c r="D107" s="14"/>
      <c r="E107" s="14"/>
      <c r="F107" s="15"/>
      <c r="G107" s="16"/>
      <c r="H107" s="13"/>
      <c r="I107" s="16"/>
      <c r="J107" s="16"/>
      <c r="K107" s="17" t="str">
        <f>IF($A107="","",_EngineTrades!S107)</f>
        <v/>
      </c>
      <c r="L107" s="15"/>
      <c r="M107" s="16"/>
      <c r="N107" s="14"/>
      <c r="O107" s="18" t="str">
        <f t="shared" si="1"/>
        <v/>
      </c>
      <c r="P107" s="14"/>
      <c r="Q107" s="16"/>
      <c r="R107" s="16"/>
      <c r="S107" s="18" t="str">
        <f>IF($A107="","",_EngineTrades!V107)</f>
        <v/>
      </c>
      <c r="T107" t="str">
        <f>IF($A107="","",IFERROR(INDEX(Cycles!$R$9:$R$208,MATCH(_EngineTrades!AU107,_EngineCycles!$A$9:$A$208,0)),""))</f>
        <v/>
      </c>
      <c r="Y107" t="str">
        <f>IF(OR($A107="",$D107&lt;&gt;Overview!$P$2),"",COUNTIFS($D$9:$D$508,$D107,$A$9:$A$508,"&gt;"&amp;$A107)+COUNTIFS($D$9:$D$508,$D107,$A$9:$A$508,$A107)-COUNTIFS($D$9:$D107,$D107,$A$9:$A107,$A107)+1)</f>
        <v/>
      </c>
    </row>
    <row r="108" spans="1:25" ht="23.1" customHeight="1" x14ac:dyDescent="0.25">
      <c r="A108" s="19"/>
      <c r="B108" s="20"/>
      <c r="C108" s="20"/>
      <c r="D108" s="20"/>
      <c r="E108" s="20"/>
      <c r="F108" s="21"/>
      <c r="G108" s="22"/>
      <c r="H108" s="19"/>
      <c r="I108" s="22"/>
      <c r="J108" s="22"/>
      <c r="K108" s="23" t="str">
        <f>IF($A108="","",_EngineTrades!S108)</f>
        <v/>
      </c>
      <c r="L108" s="21"/>
      <c r="M108" s="22"/>
      <c r="N108" s="20"/>
      <c r="O108" s="24" t="str">
        <f t="shared" si="1"/>
        <v/>
      </c>
      <c r="P108" s="20"/>
      <c r="Q108" s="22"/>
      <c r="R108" s="22"/>
      <c r="S108" s="24" t="str">
        <f>IF($A108="","",_EngineTrades!V108)</f>
        <v/>
      </c>
      <c r="T108" t="str">
        <f>IF($A108="","",IFERROR(INDEX(Cycles!$R$9:$R$208,MATCH(_EngineTrades!AU108,_EngineCycles!$A$9:$A$208,0)),""))</f>
        <v/>
      </c>
      <c r="Y108" t="str">
        <f>IF(OR($A108="",$D108&lt;&gt;Overview!$P$2),"",COUNTIFS($D$9:$D$508,$D108,$A$9:$A$508,"&gt;"&amp;$A108)+COUNTIFS($D$9:$D$508,$D108,$A$9:$A$508,$A108)-COUNTIFS($D$9:$D108,$D108,$A$9:$A108,$A108)+1)</f>
        <v/>
      </c>
    </row>
    <row r="109" spans="1:25" ht="23.1" customHeight="1" x14ac:dyDescent="0.25">
      <c r="A109" s="13"/>
      <c r="B109" s="14"/>
      <c r="C109" s="14"/>
      <c r="D109" s="14"/>
      <c r="E109" s="14"/>
      <c r="F109" s="15"/>
      <c r="G109" s="16"/>
      <c r="H109" s="13"/>
      <c r="I109" s="16"/>
      <c r="J109" s="16"/>
      <c r="K109" s="17" t="str">
        <f>IF($A109="","",_EngineTrades!S109)</f>
        <v/>
      </c>
      <c r="L109" s="15"/>
      <c r="M109" s="16"/>
      <c r="N109" s="14"/>
      <c r="O109" s="18" t="str">
        <f t="shared" si="1"/>
        <v/>
      </c>
      <c r="P109" s="14"/>
      <c r="Q109" s="16"/>
      <c r="R109" s="16"/>
      <c r="S109" s="18" t="str">
        <f>IF($A109="","",_EngineTrades!V109)</f>
        <v/>
      </c>
      <c r="T109" t="str">
        <f>IF($A109="","",IFERROR(INDEX(Cycles!$R$9:$R$208,MATCH(_EngineTrades!AU109,_EngineCycles!$A$9:$A$208,0)),""))</f>
        <v/>
      </c>
      <c r="Y109" t="str">
        <f>IF(OR($A109="",$D109&lt;&gt;Overview!$P$2),"",COUNTIFS($D$9:$D$508,$D109,$A$9:$A$508,"&gt;"&amp;$A109)+COUNTIFS($D$9:$D$508,$D109,$A$9:$A$508,$A109)-COUNTIFS($D$9:$D109,$D109,$A$9:$A109,$A109)+1)</f>
        <v/>
      </c>
    </row>
    <row r="110" spans="1:25" ht="23.1" customHeight="1" x14ac:dyDescent="0.25">
      <c r="A110" s="19"/>
      <c r="B110" s="20"/>
      <c r="C110" s="20"/>
      <c r="D110" s="20"/>
      <c r="E110" s="20"/>
      <c r="F110" s="21"/>
      <c r="G110" s="22"/>
      <c r="H110" s="19"/>
      <c r="I110" s="22"/>
      <c r="J110" s="22"/>
      <c r="K110" s="23" t="str">
        <f>IF($A110="","",_EngineTrades!S110)</f>
        <v/>
      </c>
      <c r="L110" s="21"/>
      <c r="M110" s="22"/>
      <c r="N110" s="20"/>
      <c r="O110" s="24" t="str">
        <f t="shared" si="1"/>
        <v/>
      </c>
      <c r="P110" s="20"/>
      <c r="Q110" s="22"/>
      <c r="R110" s="22"/>
      <c r="S110" s="24" t="str">
        <f>IF($A110="","",_EngineTrades!V110)</f>
        <v/>
      </c>
      <c r="T110" t="str">
        <f>IF($A110="","",IFERROR(INDEX(Cycles!$R$9:$R$208,MATCH(_EngineTrades!AU110,_EngineCycles!$A$9:$A$208,0)),""))</f>
        <v/>
      </c>
      <c r="Y110" t="str">
        <f>IF(OR($A110="",$D110&lt;&gt;Overview!$P$2),"",COUNTIFS($D$9:$D$508,$D110,$A$9:$A$508,"&gt;"&amp;$A110)+COUNTIFS($D$9:$D$508,$D110,$A$9:$A$508,$A110)-COUNTIFS($D$9:$D110,$D110,$A$9:$A110,$A110)+1)</f>
        <v/>
      </c>
    </row>
    <row r="111" spans="1:25" ht="23.1" customHeight="1" x14ac:dyDescent="0.25">
      <c r="A111" s="13"/>
      <c r="B111" s="14"/>
      <c r="C111" s="14"/>
      <c r="D111" s="14"/>
      <c r="E111" s="14"/>
      <c r="F111" s="15"/>
      <c r="G111" s="16"/>
      <c r="H111" s="13"/>
      <c r="I111" s="16"/>
      <c r="J111" s="16"/>
      <c r="K111" s="17" t="str">
        <f>IF($A111="","",_EngineTrades!S111)</f>
        <v/>
      </c>
      <c r="L111" s="15"/>
      <c r="M111" s="16"/>
      <c r="N111" s="14"/>
      <c r="O111" s="18" t="str">
        <f t="shared" si="1"/>
        <v/>
      </c>
      <c r="P111" s="14"/>
      <c r="Q111" s="16"/>
      <c r="R111" s="16"/>
      <c r="S111" s="18" t="str">
        <f>IF($A111="","",_EngineTrades!V111)</f>
        <v/>
      </c>
      <c r="T111" t="str">
        <f>IF($A111="","",IFERROR(INDEX(Cycles!$R$9:$R$208,MATCH(_EngineTrades!AU111,_EngineCycles!$A$9:$A$208,0)),""))</f>
        <v/>
      </c>
      <c r="Y111" t="str">
        <f>IF(OR($A111="",$D111&lt;&gt;Overview!$P$2),"",COUNTIFS($D$9:$D$508,$D111,$A$9:$A$508,"&gt;"&amp;$A111)+COUNTIFS($D$9:$D$508,$D111,$A$9:$A$508,$A111)-COUNTIFS($D$9:$D111,$D111,$A$9:$A111,$A111)+1)</f>
        <v/>
      </c>
    </row>
    <row r="112" spans="1:25" ht="23.1" customHeight="1" x14ac:dyDescent="0.25">
      <c r="A112" s="19"/>
      <c r="B112" s="20"/>
      <c r="C112" s="20"/>
      <c r="D112" s="20"/>
      <c r="E112" s="20"/>
      <c r="F112" s="21"/>
      <c r="G112" s="22"/>
      <c r="H112" s="19"/>
      <c r="I112" s="22"/>
      <c r="J112" s="22"/>
      <c r="K112" s="23" t="str">
        <f>IF($A112="","",_EngineTrades!S112)</f>
        <v/>
      </c>
      <c r="L112" s="21"/>
      <c r="M112" s="22"/>
      <c r="N112" s="20"/>
      <c r="O112" s="24" t="str">
        <f t="shared" si="1"/>
        <v/>
      </c>
      <c r="P112" s="20"/>
      <c r="Q112" s="22"/>
      <c r="R112" s="22"/>
      <c r="S112" s="24" t="str">
        <f>IF($A112="","",_EngineTrades!V112)</f>
        <v/>
      </c>
      <c r="T112" t="str">
        <f>IF($A112="","",IFERROR(INDEX(Cycles!$R$9:$R$208,MATCH(_EngineTrades!AU112,_EngineCycles!$A$9:$A$208,0)),""))</f>
        <v/>
      </c>
      <c r="Y112" t="str">
        <f>IF(OR($A112="",$D112&lt;&gt;Overview!$P$2),"",COUNTIFS($D$9:$D$508,$D112,$A$9:$A$508,"&gt;"&amp;$A112)+COUNTIFS($D$9:$D$508,$D112,$A$9:$A$508,$A112)-COUNTIFS($D$9:$D112,$D112,$A$9:$A112,$A112)+1)</f>
        <v/>
      </c>
    </row>
    <row r="113" spans="1:25" ht="23.1" customHeight="1" x14ac:dyDescent="0.25">
      <c r="A113" s="13"/>
      <c r="B113" s="14"/>
      <c r="C113" s="14"/>
      <c r="D113" s="14"/>
      <c r="E113" s="14"/>
      <c r="F113" s="15"/>
      <c r="G113" s="16"/>
      <c r="H113" s="13"/>
      <c r="I113" s="16"/>
      <c r="J113" s="16"/>
      <c r="K113" s="17" t="str">
        <f>IF($A113="","",_EngineTrades!S113)</f>
        <v/>
      </c>
      <c r="L113" s="15"/>
      <c r="M113" s="16"/>
      <c r="N113" s="14"/>
      <c r="O113" s="18" t="str">
        <f t="shared" si="1"/>
        <v/>
      </c>
      <c r="P113" s="14"/>
      <c r="Q113" s="16"/>
      <c r="R113" s="16"/>
      <c r="S113" s="18" t="str">
        <f>IF($A113="","",_EngineTrades!V113)</f>
        <v/>
      </c>
      <c r="T113" t="str">
        <f>IF($A113="","",IFERROR(INDEX(Cycles!$R$9:$R$208,MATCH(_EngineTrades!AU113,_EngineCycles!$A$9:$A$208,0)),""))</f>
        <v/>
      </c>
      <c r="Y113" t="str">
        <f>IF(OR($A113="",$D113&lt;&gt;Overview!$P$2),"",COUNTIFS($D$9:$D$508,$D113,$A$9:$A$508,"&gt;"&amp;$A113)+COUNTIFS($D$9:$D$508,$D113,$A$9:$A$508,$A113)-COUNTIFS($D$9:$D113,$D113,$A$9:$A113,$A113)+1)</f>
        <v/>
      </c>
    </row>
    <row r="114" spans="1:25" ht="23.1" customHeight="1" x14ac:dyDescent="0.25">
      <c r="A114" s="19"/>
      <c r="B114" s="20"/>
      <c r="C114" s="20"/>
      <c r="D114" s="20"/>
      <c r="E114" s="20"/>
      <c r="F114" s="21"/>
      <c r="G114" s="22"/>
      <c r="H114" s="19"/>
      <c r="I114" s="22"/>
      <c r="J114" s="22"/>
      <c r="K114" s="23" t="str">
        <f>IF($A114="","",_EngineTrades!S114)</f>
        <v/>
      </c>
      <c r="L114" s="21"/>
      <c r="M114" s="22"/>
      <c r="N114" s="20"/>
      <c r="O114" s="24" t="str">
        <f t="shared" si="1"/>
        <v/>
      </c>
      <c r="P114" s="20"/>
      <c r="Q114" s="22"/>
      <c r="R114" s="22"/>
      <c r="S114" s="24" t="str">
        <f>IF($A114="","",_EngineTrades!V114)</f>
        <v/>
      </c>
      <c r="T114" t="str">
        <f>IF($A114="","",IFERROR(INDEX(Cycles!$R$9:$R$208,MATCH(_EngineTrades!AU114,_EngineCycles!$A$9:$A$208,0)),""))</f>
        <v/>
      </c>
      <c r="Y114" t="str">
        <f>IF(OR($A114="",$D114&lt;&gt;Overview!$P$2),"",COUNTIFS($D$9:$D$508,$D114,$A$9:$A$508,"&gt;"&amp;$A114)+COUNTIFS($D$9:$D$508,$D114,$A$9:$A$508,$A114)-COUNTIFS($D$9:$D114,$D114,$A$9:$A114,$A114)+1)</f>
        <v/>
      </c>
    </row>
    <row r="115" spans="1:25" ht="23.1" customHeight="1" x14ac:dyDescent="0.25">
      <c r="A115" s="13"/>
      <c r="B115" s="14"/>
      <c r="C115" s="14"/>
      <c r="D115" s="14"/>
      <c r="E115" s="14"/>
      <c r="F115" s="15"/>
      <c r="G115" s="16"/>
      <c r="H115" s="13"/>
      <c r="I115" s="16"/>
      <c r="J115" s="16"/>
      <c r="K115" s="17" t="str">
        <f>IF($A115="","",_EngineTrades!S115)</f>
        <v/>
      </c>
      <c r="L115" s="15"/>
      <c r="M115" s="16"/>
      <c r="N115" s="14"/>
      <c r="O115" s="18" t="str">
        <f t="shared" si="1"/>
        <v/>
      </c>
      <c r="P115" s="14"/>
      <c r="Q115" s="16"/>
      <c r="R115" s="16"/>
      <c r="S115" s="18" t="str">
        <f>IF($A115="","",_EngineTrades!V115)</f>
        <v/>
      </c>
      <c r="T115" t="str">
        <f>IF($A115="","",IFERROR(INDEX(Cycles!$R$9:$R$208,MATCH(_EngineTrades!AU115,_EngineCycles!$A$9:$A$208,0)),""))</f>
        <v/>
      </c>
      <c r="Y115" t="str">
        <f>IF(OR($A115="",$D115&lt;&gt;Overview!$P$2),"",COUNTIFS($D$9:$D$508,$D115,$A$9:$A$508,"&gt;"&amp;$A115)+COUNTIFS($D$9:$D$508,$D115,$A$9:$A$508,$A115)-COUNTIFS($D$9:$D115,$D115,$A$9:$A115,$A115)+1)</f>
        <v/>
      </c>
    </row>
    <row r="116" spans="1:25" ht="23.1" customHeight="1" x14ac:dyDescent="0.25">
      <c r="A116" s="19"/>
      <c r="B116" s="20"/>
      <c r="C116" s="20"/>
      <c r="D116" s="20"/>
      <c r="E116" s="20"/>
      <c r="F116" s="21"/>
      <c r="G116" s="22"/>
      <c r="H116" s="19"/>
      <c r="I116" s="22"/>
      <c r="J116" s="22"/>
      <c r="K116" s="23" t="str">
        <f>IF($A116="","",_EngineTrades!S116)</f>
        <v/>
      </c>
      <c r="L116" s="21"/>
      <c r="M116" s="22"/>
      <c r="N116" s="20"/>
      <c r="O116" s="24" t="str">
        <f t="shared" si="1"/>
        <v/>
      </c>
      <c r="P116" s="20"/>
      <c r="Q116" s="22"/>
      <c r="R116" s="22"/>
      <c r="S116" s="24" t="str">
        <f>IF($A116="","",_EngineTrades!V116)</f>
        <v/>
      </c>
      <c r="T116" t="str">
        <f>IF($A116="","",IFERROR(INDEX(Cycles!$R$9:$R$208,MATCH(_EngineTrades!AU116,_EngineCycles!$A$9:$A$208,0)),""))</f>
        <v/>
      </c>
      <c r="Y116" t="str">
        <f>IF(OR($A116="",$D116&lt;&gt;Overview!$P$2),"",COUNTIFS($D$9:$D$508,$D116,$A$9:$A$508,"&gt;"&amp;$A116)+COUNTIFS($D$9:$D$508,$D116,$A$9:$A$508,$A116)-COUNTIFS($D$9:$D116,$D116,$A$9:$A116,$A116)+1)</f>
        <v/>
      </c>
    </row>
    <row r="117" spans="1:25" ht="23.1" customHeight="1" x14ac:dyDescent="0.25">
      <c r="A117" s="13"/>
      <c r="B117" s="14"/>
      <c r="C117" s="14"/>
      <c r="D117" s="14"/>
      <c r="E117" s="14"/>
      <c r="F117" s="15"/>
      <c r="G117" s="16"/>
      <c r="H117" s="13"/>
      <c r="I117" s="16"/>
      <c r="J117" s="16"/>
      <c r="K117" s="17" t="str">
        <f>IF($A117="","",_EngineTrades!S117)</f>
        <v/>
      </c>
      <c r="L117" s="15"/>
      <c r="M117" s="16"/>
      <c r="N117" s="14"/>
      <c r="O117" s="18" t="str">
        <f t="shared" si="1"/>
        <v/>
      </c>
      <c r="P117" s="14"/>
      <c r="Q117" s="16"/>
      <c r="R117" s="16"/>
      <c r="S117" s="18" t="str">
        <f>IF($A117="","",_EngineTrades!V117)</f>
        <v/>
      </c>
      <c r="T117" t="str">
        <f>IF($A117="","",IFERROR(INDEX(Cycles!$R$9:$R$208,MATCH(_EngineTrades!AU117,_EngineCycles!$A$9:$A$208,0)),""))</f>
        <v/>
      </c>
      <c r="Y117" t="str">
        <f>IF(OR($A117="",$D117&lt;&gt;Overview!$P$2),"",COUNTIFS($D$9:$D$508,$D117,$A$9:$A$508,"&gt;"&amp;$A117)+COUNTIFS($D$9:$D$508,$D117,$A$9:$A$508,$A117)-COUNTIFS($D$9:$D117,$D117,$A$9:$A117,$A117)+1)</f>
        <v/>
      </c>
    </row>
    <row r="118" spans="1:25" ht="23.1" customHeight="1" x14ac:dyDescent="0.25">
      <c r="A118" s="19"/>
      <c r="B118" s="20"/>
      <c r="C118" s="20"/>
      <c r="D118" s="20"/>
      <c r="E118" s="20"/>
      <c r="F118" s="21"/>
      <c r="G118" s="22"/>
      <c r="H118" s="19"/>
      <c r="I118" s="22"/>
      <c r="J118" s="22"/>
      <c r="K118" s="23" t="str">
        <f>IF($A118="","",_EngineTrades!S118)</f>
        <v/>
      </c>
      <c r="L118" s="21"/>
      <c r="M118" s="22"/>
      <c r="N118" s="20"/>
      <c r="O118" s="24" t="str">
        <f t="shared" si="1"/>
        <v/>
      </c>
      <c r="P118" s="20"/>
      <c r="Q118" s="22"/>
      <c r="R118" s="22"/>
      <c r="S118" s="24" t="str">
        <f>IF($A118="","",_EngineTrades!V118)</f>
        <v/>
      </c>
      <c r="T118" t="str">
        <f>IF($A118="","",IFERROR(INDEX(Cycles!$R$9:$R$208,MATCH(_EngineTrades!AU118,_EngineCycles!$A$9:$A$208,0)),""))</f>
        <v/>
      </c>
      <c r="Y118" t="str">
        <f>IF(OR($A118="",$D118&lt;&gt;Overview!$P$2),"",COUNTIFS($D$9:$D$508,$D118,$A$9:$A$508,"&gt;"&amp;$A118)+COUNTIFS($D$9:$D$508,$D118,$A$9:$A$508,$A118)-COUNTIFS($D$9:$D118,$D118,$A$9:$A118,$A118)+1)</f>
        <v/>
      </c>
    </row>
    <row r="119" spans="1:25" ht="23.1" customHeight="1" x14ac:dyDescent="0.25">
      <c r="A119" s="13"/>
      <c r="B119" s="14"/>
      <c r="C119" s="14"/>
      <c r="D119" s="14"/>
      <c r="E119" s="14"/>
      <c r="F119" s="15"/>
      <c r="G119" s="16"/>
      <c r="H119" s="13"/>
      <c r="I119" s="16"/>
      <c r="J119" s="16"/>
      <c r="K119" s="17" t="str">
        <f>IF($A119="","",_EngineTrades!S119)</f>
        <v/>
      </c>
      <c r="L119" s="15"/>
      <c r="M119" s="16"/>
      <c r="N119" s="14"/>
      <c r="O119" s="18" t="str">
        <f t="shared" si="1"/>
        <v/>
      </c>
      <c r="P119" s="14"/>
      <c r="Q119" s="16"/>
      <c r="R119" s="16"/>
      <c r="S119" s="18" t="str">
        <f>IF($A119="","",_EngineTrades!V119)</f>
        <v/>
      </c>
      <c r="T119" t="str">
        <f>IF($A119="","",IFERROR(INDEX(Cycles!$R$9:$R$208,MATCH(_EngineTrades!AU119,_EngineCycles!$A$9:$A$208,0)),""))</f>
        <v/>
      </c>
      <c r="Y119" t="str">
        <f>IF(OR($A119="",$D119&lt;&gt;Overview!$P$2),"",COUNTIFS($D$9:$D$508,$D119,$A$9:$A$508,"&gt;"&amp;$A119)+COUNTIFS($D$9:$D$508,$D119,$A$9:$A$508,$A119)-COUNTIFS($D$9:$D119,$D119,$A$9:$A119,$A119)+1)</f>
        <v/>
      </c>
    </row>
    <row r="120" spans="1:25" ht="23.1" customHeight="1" x14ac:dyDescent="0.25">
      <c r="A120" s="19"/>
      <c r="B120" s="20"/>
      <c r="C120" s="20"/>
      <c r="D120" s="20"/>
      <c r="E120" s="20"/>
      <c r="F120" s="21"/>
      <c r="G120" s="22"/>
      <c r="H120" s="19"/>
      <c r="I120" s="22"/>
      <c r="J120" s="22"/>
      <c r="K120" s="23" t="str">
        <f>IF($A120="","",_EngineTrades!S120)</f>
        <v/>
      </c>
      <c r="L120" s="21"/>
      <c r="M120" s="22"/>
      <c r="N120" s="20"/>
      <c r="O120" s="24" t="str">
        <f t="shared" si="1"/>
        <v/>
      </c>
      <c r="P120" s="20"/>
      <c r="Q120" s="22"/>
      <c r="R120" s="22"/>
      <c r="S120" s="24" t="str">
        <f>IF($A120="","",_EngineTrades!V120)</f>
        <v/>
      </c>
      <c r="T120" t="str">
        <f>IF($A120="","",IFERROR(INDEX(Cycles!$R$9:$R$208,MATCH(_EngineTrades!AU120,_EngineCycles!$A$9:$A$208,0)),""))</f>
        <v/>
      </c>
      <c r="Y120" t="str">
        <f>IF(OR($A120="",$D120&lt;&gt;Overview!$P$2),"",COUNTIFS($D$9:$D$508,$D120,$A$9:$A$508,"&gt;"&amp;$A120)+COUNTIFS($D$9:$D$508,$D120,$A$9:$A$508,$A120)-COUNTIFS($D$9:$D120,$D120,$A$9:$A120,$A120)+1)</f>
        <v/>
      </c>
    </row>
    <row r="121" spans="1:25" ht="23.1" customHeight="1" x14ac:dyDescent="0.25">
      <c r="A121" s="13"/>
      <c r="B121" s="14"/>
      <c r="C121" s="14"/>
      <c r="D121" s="14"/>
      <c r="E121" s="14"/>
      <c r="F121" s="15"/>
      <c r="G121" s="16"/>
      <c r="H121" s="13"/>
      <c r="I121" s="16"/>
      <c r="J121" s="16"/>
      <c r="K121" s="17" t="str">
        <f>IF($A121="","",_EngineTrades!S121)</f>
        <v/>
      </c>
      <c r="L121" s="15"/>
      <c r="M121" s="16"/>
      <c r="N121" s="14"/>
      <c r="O121" s="18" t="str">
        <f t="shared" si="1"/>
        <v/>
      </c>
      <c r="P121" s="14"/>
      <c r="Q121" s="16"/>
      <c r="R121" s="16"/>
      <c r="S121" s="18" t="str">
        <f>IF($A121="","",_EngineTrades!V121)</f>
        <v/>
      </c>
      <c r="T121" t="str">
        <f>IF($A121="","",IFERROR(INDEX(Cycles!$R$9:$R$208,MATCH(_EngineTrades!AU121,_EngineCycles!$A$9:$A$208,0)),""))</f>
        <v/>
      </c>
      <c r="Y121" t="str">
        <f>IF(OR($A121="",$D121&lt;&gt;Overview!$P$2),"",COUNTIFS($D$9:$D$508,$D121,$A$9:$A$508,"&gt;"&amp;$A121)+COUNTIFS($D$9:$D$508,$D121,$A$9:$A$508,$A121)-COUNTIFS($D$9:$D121,$D121,$A$9:$A121,$A121)+1)</f>
        <v/>
      </c>
    </row>
    <row r="122" spans="1:25" ht="23.1" customHeight="1" x14ac:dyDescent="0.25">
      <c r="A122" s="19"/>
      <c r="B122" s="20"/>
      <c r="C122" s="20"/>
      <c r="D122" s="20"/>
      <c r="E122" s="20"/>
      <c r="F122" s="21"/>
      <c r="G122" s="22"/>
      <c r="H122" s="19"/>
      <c r="I122" s="22"/>
      <c r="J122" s="22"/>
      <c r="K122" s="23" t="str">
        <f>IF($A122="","",_EngineTrades!S122)</f>
        <v/>
      </c>
      <c r="L122" s="21"/>
      <c r="M122" s="22"/>
      <c r="N122" s="20"/>
      <c r="O122" s="24" t="str">
        <f t="shared" si="1"/>
        <v/>
      </c>
      <c r="P122" s="20"/>
      <c r="Q122" s="22"/>
      <c r="R122" s="22"/>
      <c r="S122" s="24" t="str">
        <f>IF($A122="","",_EngineTrades!V122)</f>
        <v/>
      </c>
      <c r="T122" t="str">
        <f>IF($A122="","",IFERROR(INDEX(Cycles!$R$9:$R$208,MATCH(_EngineTrades!AU122,_EngineCycles!$A$9:$A$208,0)),""))</f>
        <v/>
      </c>
      <c r="Y122" t="str">
        <f>IF(OR($A122="",$D122&lt;&gt;Overview!$P$2),"",COUNTIFS($D$9:$D$508,$D122,$A$9:$A$508,"&gt;"&amp;$A122)+COUNTIFS($D$9:$D$508,$D122,$A$9:$A$508,$A122)-COUNTIFS($D$9:$D122,$D122,$A$9:$A122,$A122)+1)</f>
        <v/>
      </c>
    </row>
    <row r="123" spans="1:25" ht="23.1" customHeight="1" x14ac:dyDescent="0.25">
      <c r="A123" s="13"/>
      <c r="B123" s="14"/>
      <c r="C123" s="14"/>
      <c r="D123" s="14"/>
      <c r="E123" s="14"/>
      <c r="F123" s="15"/>
      <c r="G123" s="16"/>
      <c r="H123" s="13"/>
      <c r="I123" s="16"/>
      <c r="J123" s="16"/>
      <c r="K123" s="17" t="str">
        <f>IF($A123="","",_EngineTrades!S123)</f>
        <v/>
      </c>
      <c r="L123" s="15"/>
      <c r="M123" s="16"/>
      <c r="N123" s="14"/>
      <c r="O123" s="18" t="str">
        <f t="shared" si="1"/>
        <v/>
      </c>
      <c r="P123" s="14"/>
      <c r="Q123" s="16"/>
      <c r="R123" s="16"/>
      <c r="S123" s="18" t="str">
        <f>IF($A123="","",_EngineTrades!V123)</f>
        <v/>
      </c>
      <c r="T123" t="str">
        <f>IF($A123="","",IFERROR(INDEX(Cycles!$R$9:$R$208,MATCH(_EngineTrades!AU123,_EngineCycles!$A$9:$A$208,0)),""))</f>
        <v/>
      </c>
      <c r="Y123" t="str">
        <f>IF(OR($A123="",$D123&lt;&gt;Overview!$P$2),"",COUNTIFS($D$9:$D$508,$D123,$A$9:$A$508,"&gt;"&amp;$A123)+COUNTIFS($D$9:$D$508,$D123,$A$9:$A$508,$A123)-COUNTIFS($D$9:$D123,$D123,$A$9:$A123,$A123)+1)</f>
        <v/>
      </c>
    </row>
    <row r="124" spans="1:25" ht="23.1" customHeight="1" x14ac:dyDescent="0.25">
      <c r="A124" s="19"/>
      <c r="B124" s="20"/>
      <c r="C124" s="20"/>
      <c r="D124" s="20"/>
      <c r="E124" s="20"/>
      <c r="F124" s="21"/>
      <c r="G124" s="22"/>
      <c r="H124" s="19"/>
      <c r="I124" s="22"/>
      <c r="J124" s="22"/>
      <c r="K124" s="23" t="str">
        <f>IF($A124="","",_EngineTrades!S124)</f>
        <v/>
      </c>
      <c r="L124" s="21"/>
      <c r="M124" s="22"/>
      <c r="N124" s="20"/>
      <c r="O124" s="24" t="str">
        <f t="shared" si="1"/>
        <v/>
      </c>
      <c r="P124" s="20"/>
      <c r="Q124" s="22"/>
      <c r="R124" s="22"/>
      <c r="S124" s="24" t="str">
        <f>IF($A124="","",_EngineTrades!V124)</f>
        <v/>
      </c>
      <c r="T124" t="str">
        <f>IF($A124="","",IFERROR(INDEX(Cycles!$R$9:$R$208,MATCH(_EngineTrades!AU124,_EngineCycles!$A$9:$A$208,0)),""))</f>
        <v/>
      </c>
      <c r="Y124" t="str">
        <f>IF(OR($A124="",$D124&lt;&gt;Overview!$P$2),"",COUNTIFS($D$9:$D$508,$D124,$A$9:$A$508,"&gt;"&amp;$A124)+COUNTIFS($D$9:$D$508,$D124,$A$9:$A$508,$A124)-COUNTIFS($D$9:$D124,$D124,$A$9:$A124,$A124)+1)</f>
        <v/>
      </c>
    </row>
    <row r="125" spans="1:25" ht="23.1" customHeight="1" x14ac:dyDescent="0.25">
      <c r="A125" s="13"/>
      <c r="B125" s="14"/>
      <c r="C125" s="14"/>
      <c r="D125" s="14"/>
      <c r="E125" s="14"/>
      <c r="F125" s="15"/>
      <c r="G125" s="16"/>
      <c r="H125" s="13"/>
      <c r="I125" s="16"/>
      <c r="J125" s="16"/>
      <c r="K125" s="17" t="str">
        <f>IF($A125="","",_EngineTrades!S125)</f>
        <v/>
      </c>
      <c r="L125" s="15"/>
      <c r="M125" s="16"/>
      <c r="N125" s="14"/>
      <c r="O125" s="18" t="str">
        <f t="shared" si="1"/>
        <v/>
      </c>
      <c r="P125" s="14"/>
      <c r="Q125" s="16"/>
      <c r="R125" s="16"/>
      <c r="S125" s="18" t="str">
        <f>IF($A125="","",_EngineTrades!V125)</f>
        <v/>
      </c>
      <c r="T125" t="str">
        <f>IF($A125="","",IFERROR(INDEX(Cycles!$R$9:$R$208,MATCH(_EngineTrades!AU125,_EngineCycles!$A$9:$A$208,0)),""))</f>
        <v/>
      </c>
      <c r="Y125" t="str">
        <f>IF(OR($A125="",$D125&lt;&gt;Overview!$P$2),"",COUNTIFS($D$9:$D$508,$D125,$A$9:$A$508,"&gt;"&amp;$A125)+COUNTIFS($D$9:$D$508,$D125,$A$9:$A$508,$A125)-COUNTIFS($D$9:$D125,$D125,$A$9:$A125,$A125)+1)</f>
        <v/>
      </c>
    </row>
    <row r="126" spans="1:25" ht="23.1" customHeight="1" x14ac:dyDescent="0.25">
      <c r="A126" s="19"/>
      <c r="B126" s="20"/>
      <c r="C126" s="20"/>
      <c r="D126" s="20"/>
      <c r="E126" s="20"/>
      <c r="F126" s="21"/>
      <c r="G126" s="22"/>
      <c r="H126" s="19"/>
      <c r="I126" s="22"/>
      <c r="J126" s="22"/>
      <c r="K126" s="23" t="str">
        <f>IF($A126="","",_EngineTrades!S126)</f>
        <v/>
      </c>
      <c r="L126" s="21"/>
      <c r="M126" s="22"/>
      <c r="N126" s="20"/>
      <c r="O126" s="24" t="str">
        <f t="shared" si="1"/>
        <v/>
      </c>
      <c r="P126" s="20"/>
      <c r="Q126" s="22"/>
      <c r="R126" s="22"/>
      <c r="S126" s="24" t="str">
        <f>IF($A126="","",_EngineTrades!V126)</f>
        <v/>
      </c>
      <c r="T126" t="str">
        <f>IF($A126="","",IFERROR(INDEX(Cycles!$R$9:$R$208,MATCH(_EngineTrades!AU126,_EngineCycles!$A$9:$A$208,0)),""))</f>
        <v/>
      </c>
      <c r="Y126" t="str">
        <f>IF(OR($A126="",$D126&lt;&gt;Overview!$P$2),"",COUNTIFS($D$9:$D$508,$D126,$A$9:$A$508,"&gt;"&amp;$A126)+COUNTIFS($D$9:$D$508,$D126,$A$9:$A$508,$A126)-COUNTIFS($D$9:$D126,$D126,$A$9:$A126,$A126)+1)</f>
        <v/>
      </c>
    </row>
    <row r="127" spans="1:25" ht="23.1" customHeight="1" x14ac:dyDescent="0.25">
      <c r="A127" s="13"/>
      <c r="B127" s="14"/>
      <c r="C127" s="14"/>
      <c r="D127" s="14"/>
      <c r="E127" s="14"/>
      <c r="F127" s="15"/>
      <c r="G127" s="16"/>
      <c r="H127" s="13"/>
      <c r="I127" s="16"/>
      <c r="J127" s="16"/>
      <c r="K127" s="17" t="str">
        <f>IF($A127="","",_EngineTrades!S127)</f>
        <v/>
      </c>
      <c r="L127" s="15"/>
      <c r="M127" s="16"/>
      <c r="N127" s="14"/>
      <c r="O127" s="18" t="str">
        <f t="shared" si="1"/>
        <v/>
      </c>
      <c r="P127" s="14"/>
      <c r="Q127" s="16"/>
      <c r="R127" s="16"/>
      <c r="S127" s="18" t="str">
        <f>IF($A127="","",_EngineTrades!V127)</f>
        <v/>
      </c>
      <c r="T127" t="str">
        <f>IF($A127="","",IFERROR(INDEX(Cycles!$R$9:$R$208,MATCH(_EngineTrades!AU127,_EngineCycles!$A$9:$A$208,0)),""))</f>
        <v/>
      </c>
      <c r="Y127" t="str">
        <f>IF(OR($A127="",$D127&lt;&gt;Overview!$P$2),"",COUNTIFS($D$9:$D$508,$D127,$A$9:$A$508,"&gt;"&amp;$A127)+COUNTIFS($D$9:$D$508,$D127,$A$9:$A$508,$A127)-COUNTIFS($D$9:$D127,$D127,$A$9:$A127,$A127)+1)</f>
        <v/>
      </c>
    </row>
    <row r="128" spans="1:25" ht="23.1" customHeight="1" x14ac:dyDescent="0.25">
      <c r="A128" s="19"/>
      <c r="B128" s="20"/>
      <c r="C128" s="20"/>
      <c r="D128" s="20"/>
      <c r="E128" s="20"/>
      <c r="F128" s="21"/>
      <c r="G128" s="22"/>
      <c r="H128" s="19"/>
      <c r="I128" s="22"/>
      <c r="J128" s="22"/>
      <c r="K128" s="23" t="str">
        <f>IF($A128="","",_EngineTrades!S128)</f>
        <v/>
      </c>
      <c r="L128" s="21"/>
      <c r="M128" s="22"/>
      <c r="N128" s="20"/>
      <c r="O128" s="24" t="str">
        <f t="shared" si="1"/>
        <v/>
      </c>
      <c r="P128" s="20"/>
      <c r="Q128" s="22"/>
      <c r="R128" s="22"/>
      <c r="S128" s="24" t="str">
        <f>IF($A128="","",_EngineTrades!V128)</f>
        <v/>
      </c>
      <c r="T128" t="str">
        <f>IF($A128="","",IFERROR(INDEX(Cycles!$R$9:$R$208,MATCH(_EngineTrades!AU128,_EngineCycles!$A$9:$A$208,0)),""))</f>
        <v/>
      </c>
      <c r="Y128" t="str">
        <f>IF(OR($A128="",$D128&lt;&gt;Overview!$P$2),"",COUNTIFS($D$9:$D$508,$D128,$A$9:$A$508,"&gt;"&amp;$A128)+COUNTIFS($D$9:$D$508,$D128,$A$9:$A$508,$A128)-COUNTIFS($D$9:$D128,$D128,$A$9:$A128,$A128)+1)</f>
        <v/>
      </c>
    </row>
    <row r="129" spans="1:25" ht="23.1" customHeight="1" x14ac:dyDescent="0.25">
      <c r="A129" s="13"/>
      <c r="B129" s="14"/>
      <c r="C129" s="14"/>
      <c r="D129" s="14"/>
      <c r="E129" s="14"/>
      <c r="F129" s="15"/>
      <c r="G129" s="16"/>
      <c r="H129" s="13"/>
      <c r="I129" s="16"/>
      <c r="J129" s="16"/>
      <c r="K129" s="17" t="str">
        <f>IF($A129="","",_EngineTrades!S129)</f>
        <v/>
      </c>
      <c r="L129" s="15"/>
      <c r="M129" s="16"/>
      <c r="N129" s="14"/>
      <c r="O129" s="18" t="str">
        <f t="shared" si="1"/>
        <v/>
      </c>
      <c r="P129" s="14"/>
      <c r="Q129" s="16"/>
      <c r="R129" s="16"/>
      <c r="S129" s="18" t="str">
        <f>IF($A129="","",_EngineTrades!V129)</f>
        <v/>
      </c>
      <c r="T129" t="str">
        <f>IF($A129="","",IFERROR(INDEX(Cycles!$R$9:$R$208,MATCH(_EngineTrades!AU129,_EngineCycles!$A$9:$A$208,0)),""))</f>
        <v/>
      </c>
      <c r="Y129" t="str">
        <f>IF(OR($A129="",$D129&lt;&gt;Overview!$P$2),"",COUNTIFS($D$9:$D$508,$D129,$A$9:$A$508,"&gt;"&amp;$A129)+COUNTIFS($D$9:$D$508,$D129,$A$9:$A$508,$A129)-COUNTIFS($D$9:$D129,$D129,$A$9:$A129,$A129)+1)</f>
        <v/>
      </c>
    </row>
    <row r="130" spans="1:25" ht="23.1" customHeight="1" x14ac:dyDescent="0.25">
      <c r="A130" s="19"/>
      <c r="B130" s="20"/>
      <c r="C130" s="20"/>
      <c r="D130" s="20"/>
      <c r="E130" s="20"/>
      <c r="F130" s="21"/>
      <c r="G130" s="22"/>
      <c r="H130" s="19"/>
      <c r="I130" s="22"/>
      <c r="J130" s="22"/>
      <c r="K130" s="23" t="str">
        <f>IF($A130="","",_EngineTrades!S130)</f>
        <v/>
      </c>
      <c r="L130" s="21"/>
      <c r="M130" s="22"/>
      <c r="N130" s="20"/>
      <c r="O130" s="24" t="str">
        <f t="shared" si="1"/>
        <v/>
      </c>
      <c r="P130" s="20"/>
      <c r="Q130" s="22"/>
      <c r="R130" s="22"/>
      <c r="S130" s="24" t="str">
        <f>IF($A130="","",_EngineTrades!V130)</f>
        <v/>
      </c>
      <c r="T130" t="str">
        <f>IF($A130="","",IFERROR(INDEX(Cycles!$R$9:$R$208,MATCH(_EngineTrades!AU130,_EngineCycles!$A$9:$A$208,0)),""))</f>
        <v/>
      </c>
      <c r="Y130" t="str">
        <f>IF(OR($A130="",$D130&lt;&gt;Overview!$P$2),"",COUNTIFS($D$9:$D$508,$D130,$A$9:$A$508,"&gt;"&amp;$A130)+COUNTIFS($D$9:$D$508,$D130,$A$9:$A$508,$A130)-COUNTIFS($D$9:$D130,$D130,$A$9:$A130,$A130)+1)</f>
        <v/>
      </c>
    </row>
    <row r="131" spans="1:25" ht="23.1" customHeight="1" x14ac:dyDescent="0.25">
      <c r="A131" s="13"/>
      <c r="B131" s="14"/>
      <c r="C131" s="14"/>
      <c r="D131" s="14"/>
      <c r="E131" s="14"/>
      <c r="F131" s="15"/>
      <c r="G131" s="16"/>
      <c r="H131" s="13"/>
      <c r="I131" s="16"/>
      <c r="J131" s="16"/>
      <c r="K131" s="17" t="str">
        <f>IF($A131="","",_EngineTrades!S131)</f>
        <v/>
      </c>
      <c r="L131" s="15"/>
      <c r="M131" s="16"/>
      <c r="N131" s="14"/>
      <c r="O131" s="18" t="str">
        <f t="shared" si="1"/>
        <v/>
      </c>
      <c r="P131" s="14"/>
      <c r="Q131" s="16"/>
      <c r="R131" s="16"/>
      <c r="S131" s="18" t="str">
        <f>IF($A131="","",_EngineTrades!V131)</f>
        <v/>
      </c>
      <c r="T131" t="str">
        <f>IF($A131="","",IFERROR(INDEX(Cycles!$R$9:$R$208,MATCH(_EngineTrades!AU131,_EngineCycles!$A$9:$A$208,0)),""))</f>
        <v/>
      </c>
      <c r="Y131" t="str">
        <f>IF(OR($A131="",$D131&lt;&gt;Overview!$P$2),"",COUNTIFS($D$9:$D$508,$D131,$A$9:$A$508,"&gt;"&amp;$A131)+COUNTIFS($D$9:$D$508,$D131,$A$9:$A$508,$A131)-COUNTIFS($D$9:$D131,$D131,$A$9:$A131,$A131)+1)</f>
        <v/>
      </c>
    </row>
    <row r="132" spans="1:25" ht="23.1" customHeight="1" x14ac:dyDescent="0.25">
      <c r="A132" s="19"/>
      <c r="B132" s="20"/>
      <c r="C132" s="20"/>
      <c r="D132" s="20"/>
      <c r="E132" s="20"/>
      <c r="F132" s="21"/>
      <c r="G132" s="22"/>
      <c r="H132" s="19"/>
      <c r="I132" s="22"/>
      <c r="J132" s="22"/>
      <c r="K132" s="23" t="str">
        <f>IF($A132="","",_EngineTrades!S132)</f>
        <v/>
      </c>
      <c r="L132" s="21"/>
      <c r="M132" s="22"/>
      <c r="N132" s="20"/>
      <c r="O132" s="24" t="str">
        <f t="shared" si="1"/>
        <v/>
      </c>
      <c r="P132" s="20"/>
      <c r="Q132" s="22"/>
      <c r="R132" s="22"/>
      <c r="S132" s="24" t="str">
        <f>IF($A132="","",_EngineTrades!V132)</f>
        <v/>
      </c>
      <c r="T132" t="str">
        <f>IF($A132="","",IFERROR(INDEX(Cycles!$R$9:$R$208,MATCH(_EngineTrades!AU132,_EngineCycles!$A$9:$A$208,0)),""))</f>
        <v/>
      </c>
      <c r="Y132" t="str">
        <f>IF(OR($A132="",$D132&lt;&gt;Overview!$P$2),"",COUNTIFS($D$9:$D$508,$D132,$A$9:$A$508,"&gt;"&amp;$A132)+COUNTIFS($D$9:$D$508,$D132,$A$9:$A$508,$A132)-COUNTIFS($D$9:$D132,$D132,$A$9:$A132,$A132)+1)</f>
        <v/>
      </c>
    </row>
    <row r="133" spans="1:25" ht="23.1" customHeight="1" x14ac:dyDescent="0.25">
      <c r="A133" s="13"/>
      <c r="B133" s="14"/>
      <c r="C133" s="14"/>
      <c r="D133" s="14"/>
      <c r="E133" s="14"/>
      <c r="F133" s="15"/>
      <c r="G133" s="16"/>
      <c r="H133" s="13"/>
      <c r="I133" s="16"/>
      <c r="J133" s="16"/>
      <c r="K133" s="17" t="str">
        <f>IF($A133="","",_EngineTrades!S133)</f>
        <v/>
      </c>
      <c r="L133" s="15"/>
      <c r="M133" s="16"/>
      <c r="N133" s="14"/>
      <c r="O133" s="18" t="str">
        <f t="shared" si="1"/>
        <v/>
      </c>
      <c r="P133" s="14"/>
      <c r="Q133" s="16"/>
      <c r="R133" s="16"/>
      <c r="S133" s="18" t="str">
        <f>IF($A133="","",_EngineTrades!V133)</f>
        <v/>
      </c>
      <c r="T133" t="str">
        <f>IF($A133="","",IFERROR(INDEX(Cycles!$R$9:$R$208,MATCH(_EngineTrades!AU133,_EngineCycles!$A$9:$A$208,0)),""))</f>
        <v/>
      </c>
      <c r="Y133" t="str">
        <f>IF(OR($A133="",$D133&lt;&gt;Overview!$P$2),"",COUNTIFS($D$9:$D$508,$D133,$A$9:$A$508,"&gt;"&amp;$A133)+COUNTIFS($D$9:$D$508,$D133,$A$9:$A$508,$A133)-COUNTIFS($D$9:$D133,$D133,$A$9:$A133,$A133)+1)</f>
        <v/>
      </c>
    </row>
    <row r="134" spans="1:25" ht="23.1" customHeight="1" x14ac:dyDescent="0.25">
      <c r="A134" s="19"/>
      <c r="B134" s="20"/>
      <c r="C134" s="20"/>
      <c r="D134" s="20"/>
      <c r="E134" s="20"/>
      <c r="F134" s="21"/>
      <c r="G134" s="22"/>
      <c r="H134" s="19"/>
      <c r="I134" s="22"/>
      <c r="J134" s="22"/>
      <c r="K134" s="23" t="str">
        <f>IF($A134="","",_EngineTrades!S134)</f>
        <v/>
      </c>
      <c r="L134" s="21"/>
      <c r="M134" s="22"/>
      <c r="N134" s="20"/>
      <c r="O134" s="24" t="str">
        <f t="shared" si="1"/>
        <v/>
      </c>
      <c r="P134" s="20"/>
      <c r="Q134" s="22"/>
      <c r="R134" s="22"/>
      <c r="S134" s="24" t="str">
        <f>IF($A134="","",_EngineTrades!V134)</f>
        <v/>
      </c>
      <c r="T134" t="str">
        <f>IF($A134="","",IFERROR(INDEX(Cycles!$R$9:$R$208,MATCH(_EngineTrades!AU134,_EngineCycles!$A$9:$A$208,0)),""))</f>
        <v/>
      </c>
      <c r="Y134" t="str">
        <f>IF(OR($A134="",$D134&lt;&gt;Overview!$P$2),"",COUNTIFS($D$9:$D$508,$D134,$A$9:$A$508,"&gt;"&amp;$A134)+COUNTIFS($D$9:$D$508,$D134,$A$9:$A$508,$A134)-COUNTIFS($D$9:$D134,$D134,$A$9:$A134,$A134)+1)</f>
        <v/>
      </c>
    </row>
    <row r="135" spans="1:25" ht="23.1" customHeight="1" x14ac:dyDescent="0.25">
      <c r="A135" s="13"/>
      <c r="B135" s="14"/>
      <c r="C135" s="14"/>
      <c r="D135" s="14"/>
      <c r="E135" s="14"/>
      <c r="F135" s="15"/>
      <c r="G135" s="16"/>
      <c r="H135" s="13"/>
      <c r="I135" s="16"/>
      <c r="J135" s="16"/>
      <c r="K135" s="17" t="str">
        <f>IF($A135="","",_EngineTrades!S135)</f>
        <v/>
      </c>
      <c r="L135" s="15"/>
      <c r="M135" s="16"/>
      <c r="N135" s="14"/>
      <c r="O135" s="18" t="str">
        <f t="shared" si="1"/>
        <v/>
      </c>
      <c r="P135" s="14"/>
      <c r="Q135" s="16"/>
      <c r="R135" s="16"/>
      <c r="S135" s="18" t="str">
        <f>IF($A135="","",_EngineTrades!V135)</f>
        <v/>
      </c>
      <c r="T135" t="str">
        <f>IF($A135="","",IFERROR(INDEX(Cycles!$R$9:$R$208,MATCH(_EngineTrades!AU135,_EngineCycles!$A$9:$A$208,0)),""))</f>
        <v/>
      </c>
      <c r="Y135" t="str">
        <f>IF(OR($A135="",$D135&lt;&gt;Overview!$P$2),"",COUNTIFS($D$9:$D$508,$D135,$A$9:$A$508,"&gt;"&amp;$A135)+COUNTIFS($D$9:$D$508,$D135,$A$9:$A$508,$A135)-COUNTIFS($D$9:$D135,$D135,$A$9:$A135,$A135)+1)</f>
        <v/>
      </c>
    </row>
    <row r="136" spans="1:25" ht="23.1" customHeight="1" x14ac:dyDescent="0.25">
      <c r="A136" s="19"/>
      <c r="B136" s="20"/>
      <c r="C136" s="20"/>
      <c r="D136" s="20"/>
      <c r="E136" s="20"/>
      <c r="F136" s="21"/>
      <c r="G136" s="22"/>
      <c r="H136" s="19"/>
      <c r="I136" s="22"/>
      <c r="J136" s="22"/>
      <c r="K136" s="23" t="str">
        <f>IF($A136="","",_EngineTrades!S136)</f>
        <v/>
      </c>
      <c r="L136" s="21"/>
      <c r="M136" s="22"/>
      <c r="N136" s="20"/>
      <c r="O136" s="24" t="str">
        <f t="shared" si="1"/>
        <v/>
      </c>
      <c r="P136" s="20"/>
      <c r="Q136" s="22"/>
      <c r="R136" s="22"/>
      <c r="S136" s="24" t="str">
        <f>IF($A136="","",_EngineTrades!V136)</f>
        <v/>
      </c>
      <c r="T136" t="str">
        <f>IF($A136="","",IFERROR(INDEX(Cycles!$R$9:$R$208,MATCH(_EngineTrades!AU136,_EngineCycles!$A$9:$A$208,0)),""))</f>
        <v/>
      </c>
      <c r="Y136" t="str">
        <f>IF(OR($A136="",$D136&lt;&gt;Overview!$P$2),"",COUNTIFS($D$9:$D$508,$D136,$A$9:$A$508,"&gt;"&amp;$A136)+COUNTIFS($D$9:$D$508,$D136,$A$9:$A$508,$A136)-COUNTIFS($D$9:$D136,$D136,$A$9:$A136,$A136)+1)</f>
        <v/>
      </c>
    </row>
    <row r="137" spans="1:25" ht="23.1" customHeight="1" x14ac:dyDescent="0.25">
      <c r="A137" s="13"/>
      <c r="B137" s="14"/>
      <c r="C137" s="14"/>
      <c r="D137" s="14"/>
      <c r="E137" s="14"/>
      <c r="F137" s="15"/>
      <c r="G137" s="16"/>
      <c r="H137" s="13"/>
      <c r="I137" s="16"/>
      <c r="J137" s="16"/>
      <c r="K137" s="17" t="str">
        <f>IF($A137="","",_EngineTrades!S137)</f>
        <v/>
      </c>
      <c r="L137" s="15"/>
      <c r="M137" s="16"/>
      <c r="N137" s="14"/>
      <c r="O137" s="18" t="str">
        <f t="shared" ref="O137:O200" si="2">IF(OR($A137="",$B137=""),"","E"&amp;TEXT(ROW()-8,"0000"))</f>
        <v/>
      </c>
      <c r="P137" s="14"/>
      <c r="Q137" s="16"/>
      <c r="R137" s="16"/>
      <c r="S137" s="18" t="str">
        <f>IF($A137="","",_EngineTrades!V137)</f>
        <v/>
      </c>
      <c r="T137" t="str">
        <f>IF($A137="","",IFERROR(INDEX(Cycles!$R$9:$R$208,MATCH(_EngineTrades!AU137,_EngineCycles!$A$9:$A$208,0)),""))</f>
        <v/>
      </c>
      <c r="Y137" t="str">
        <f>IF(OR($A137="",$D137&lt;&gt;Overview!$P$2),"",COUNTIFS($D$9:$D$508,$D137,$A$9:$A$508,"&gt;"&amp;$A137)+COUNTIFS($D$9:$D$508,$D137,$A$9:$A$508,$A137)-COUNTIFS($D$9:$D137,$D137,$A$9:$A137,$A137)+1)</f>
        <v/>
      </c>
    </row>
    <row r="138" spans="1:25" ht="23.1" customHeight="1" x14ac:dyDescent="0.25">
      <c r="A138" s="19"/>
      <c r="B138" s="20"/>
      <c r="C138" s="20"/>
      <c r="D138" s="20"/>
      <c r="E138" s="20"/>
      <c r="F138" s="21"/>
      <c r="G138" s="22"/>
      <c r="H138" s="19"/>
      <c r="I138" s="22"/>
      <c r="J138" s="22"/>
      <c r="K138" s="23" t="str">
        <f>IF($A138="","",_EngineTrades!S138)</f>
        <v/>
      </c>
      <c r="L138" s="21"/>
      <c r="M138" s="22"/>
      <c r="N138" s="20"/>
      <c r="O138" s="24" t="str">
        <f t="shared" si="2"/>
        <v/>
      </c>
      <c r="P138" s="20"/>
      <c r="Q138" s="22"/>
      <c r="R138" s="22"/>
      <c r="S138" s="24" t="str">
        <f>IF($A138="","",_EngineTrades!V138)</f>
        <v/>
      </c>
      <c r="T138" t="str">
        <f>IF($A138="","",IFERROR(INDEX(Cycles!$R$9:$R$208,MATCH(_EngineTrades!AU138,_EngineCycles!$A$9:$A$208,0)),""))</f>
        <v/>
      </c>
      <c r="Y138" t="str">
        <f>IF(OR($A138="",$D138&lt;&gt;Overview!$P$2),"",COUNTIFS($D$9:$D$508,$D138,$A$9:$A$508,"&gt;"&amp;$A138)+COUNTIFS($D$9:$D$508,$D138,$A$9:$A$508,$A138)-COUNTIFS($D$9:$D138,$D138,$A$9:$A138,$A138)+1)</f>
        <v/>
      </c>
    </row>
    <row r="139" spans="1:25" ht="23.1" customHeight="1" x14ac:dyDescent="0.25">
      <c r="A139" s="13"/>
      <c r="B139" s="14"/>
      <c r="C139" s="14"/>
      <c r="D139" s="14"/>
      <c r="E139" s="14"/>
      <c r="F139" s="15"/>
      <c r="G139" s="16"/>
      <c r="H139" s="13"/>
      <c r="I139" s="16"/>
      <c r="J139" s="16"/>
      <c r="K139" s="17" t="str">
        <f>IF($A139="","",_EngineTrades!S139)</f>
        <v/>
      </c>
      <c r="L139" s="15"/>
      <c r="M139" s="16"/>
      <c r="N139" s="14"/>
      <c r="O139" s="18" t="str">
        <f t="shared" si="2"/>
        <v/>
      </c>
      <c r="P139" s="14"/>
      <c r="Q139" s="16"/>
      <c r="R139" s="16"/>
      <c r="S139" s="18" t="str">
        <f>IF($A139="","",_EngineTrades!V139)</f>
        <v/>
      </c>
      <c r="T139" t="str">
        <f>IF($A139="","",IFERROR(INDEX(Cycles!$R$9:$R$208,MATCH(_EngineTrades!AU139,_EngineCycles!$A$9:$A$208,0)),""))</f>
        <v/>
      </c>
      <c r="Y139" t="str">
        <f>IF(OR($A139="",$D139&lt;&gt;Overview!$P$2),"",COUNTIFS($D$9:$D$508,$D139,$A$9:$A$508,"&gt;"&amp;$A139)+COUNTIFS($D$9:$D$508,$D139,$A$9:$A$508,$A139)-COUNTIFS($D$9:$D139,$D139,$A$9:$A139,$A139)+1)</f>
        <v/>
      </c>
    </row>
    <row r="140" spans="1:25" ht="23.1" customHeight="1" x14ac:dyDescent="0.25">
      <c r="A140" s="19"/>
      <c r="B140" s="20"/>
      <c r="C140" s="20"/>
      <c r="D140" s="20"/>
      <c r="E140" s="20"/>
      <c r="F140" s="21"/>
      <c r="G140" s="22"/>
      <c r="H140" s="19"/>
      <c r="I140" s="22"/>
      <c r="J140" s="22"/>
      <c r="K140" s="23" t="str">
        <f>IF($A140="","",_EngineTrades!S140)</f>
        <v/>
      </c>
      <c r="L140" s="21"/>
      <c r="M140" s="22"/>
      <c r="N140" s="20"/>
      <c r="O140" s="24" t="str">
        <f t="shared" si="2"/>
        <v/>
      </c>
      <c r="P140" s="20"/>
      <c r="Q140" s="22"/>
      <c r="R140" s="22"/>
      <c r="S140" s="24" t="str">
        <f>IF($A140="","",_EngineTrades!V140)</f>
        <v/>
      </c>
      <c r="T140" t="str">
        <f>IF($A140="","",IFERROR(INDEX(Cycles!$R$9:$R$208,MATCH(_EngineTrades!AU140,_EngineCycles!$A$9:$A$208,0)),""))</f>
        <v/>
      </c>
      <c r="Y140" t="str">
        <f>IF(OR($A140="",$D140&lt;&gt;Overview!$P$2),"",COUNTIFS($D$9:$D$508,$D140,$A$9:$A$508,"&gt;"&amp;$A140)+COUNTIFS($D$9:$D$508,$D140,$A$9:$A$508,$A140)-COUNTIFS($D$9:$D140,$D140,$A$9:$A140,$A140)+1)</f>
        <v/>
      </c>
    </row>
    <row r="141" spans="1:25" ht="23.1" customHeight="1" x14ac:dyDescent="0.25">
      <c r="A141" s="13"/>
      <c r="B141" s="14"/>
      <c r="C141" s="14"/>
      <c r="D141" s="14"/>
      <c r="E141" s="14"/>
      <c r="F141" s="15"/>
      <c r="G141" s="16"/>
      <c r="H141" s="13"/>
      <c r="I141" s="16"/>
      <c r="J141" s="16"/>
      <c r="K141" s="17" t="str">
        <f>IF($A141="","",_EngineTrades!S141)</f>
        <v/>
      </c>
      <c r="L141" s="15"/>
      <c r="M141" s="16"/>
      <c r="N141" s="14"/>
      <c r="O141" s="18" t="str">
        <f t="shared" si="2"/>
        <v/>
      </c>
      <c r="P141" s="14"/>
      <c r="Q141" s="16"/>
      <c r="R141" s="16"/>
      <c r="S141" s="18" t="str">
        <f>IF($A141="","",_EngineTrades!V141)</f>
        <v/>
      </c>
      <c r="T141" t="str">
        <f>IF($A141="","",IFERROR(INDEX(Cycles!$R$9:$R$208,MATCH(_EngineTrades!AU141,_EngineCycles!$A$9:$A$208,0)),""))</f>
        <v/>
      </c>
      <c r="Y141" t="str">
        <f>IF(OR($A141="",$D141&lt;&gt;Overview!$P$2),"",COUNTIFS($D$9:$D$508,$D141,$A$9:$A$508,"&gt;"&amp;$A141)+COUNTIFS($D$9:$D$508,$D141,$A$9:$A$508,$A141)-COUNTIFS($D$9:$D141,$D141,$A$9:$A141,$A141)+1)</f>
        <v/>
      </c>
    </row>
    <row r="142" spans="1:25" ht="23.1" customHeight="1" x14ac:dyDescent="0.25">
      <c r="A142" s="19"/>
      <c r="B142" s="20"/>
      <c r="C142" s="20"/>
      <c r="D142" s="20"/>
      <c r="E142" s="20"/>
      <c r="F142" s="21"/>
      <c r="G142" s="22"/>
      <c r="H142" s="19"/>
      <c r="I142" s="22"/>
      <c r="J142" s="22"/>
      <c r="K142" s="23" t="str">
        <f>IF($A142="","",_EngineTrades!S142)</f>
        <v/>
      </c>
      <c r="L142" s="21"/>
      <c r="M142" s="22"/>
      <c r="N142" s="20"/>
      <c r="O142" s="24" t="str">
        <f t="shared" si="2"/>
        <v/>
      </c>
      <c r="P142" s="20"/>
      <c r="Q142" s="22"/>
      <c r="R142" s="22"/>
      <c r="S142" s="24" t="str">
        <f>IF($A142="","",_EngineTrades!V142)</f>
        <v/>
      </c>
      <c r="T142" t="str">
        <f>IF($A142="","",IFERROR(INDEX(Cycles!$R$9:$R$208,MATCH(_EngineTrades!AU142,_EngineCycles!$A$9:$A$208,0)),""))</f>
        <v/>
      </c>
      <c r="Y142" t="str">
        <f>IF(OR($A142="",$D142&lt;&gt;Overview!$P$2),"",COUNTIFS($D$9:$D$508,$D142,$A$9:$A$508,"&gt;"&amp;$A142)+COUNTIFS($D$9:$D$508,$D142,$A$9:$A$508,$A142)-COUNTIFS($D$9:$D142,$D142,$A$9:$A142,$A142)+1)</f>
        <v/>
      </c>
    </row>
    <row r="143" spans="1:25" ht="23.1" customHeight="1" x14ac:dyDescent="0.25">
      <c r="A143" s="13"/>
      <c r="B143" s="14"/>
      <c r="C143" s="14"/>
      <c r="D143" s="14"/>
      <c r="E143" s="14"/>
      <c r="F143" s="15"/>
      <c r="G143" s="16"/>
      <c r="H143" s="13"/>
      <c r="I143" s="16"/>
      <c r="J143" s="16"/>
      <c r="K143" s="17" t="str">
        <f>IF($A143="","",_EngineTrades!S143)</f>
        <v/>
      </c>
      <c r="L143" s="15"/>
      <c r="M143" s="16"/>
      <c r="N143" s="14"/>
      <c r="O143" s="18" t="str">
        <f t="shared" si="2"/>
        <v/>
      </c>
      <c r="P143" s="14"/>
      <c r="Q143" s="16"/>
      <c r="R143" s="16"/>
      <c r="S143" s="18" t="str">
        <f>IF($A143="","",_EngineTrades!V143)</f>
        <v/>
      </c>
      <c r="T143" t="str">
        <f>IF($A143="","",IFERROR(INDEX(Cycles!$R$9:$R$208,MATCH(_EngineTrades!AU143,_EngineCycles!$A$9:$A$208,0)),""))</f>
        <v/>
      </c>
      <c r="Y143" t="str">
        <f>IF(OR($A143="",$D143&lt;&gt;Overview!$P$2),"",COUNTIFS($D$9:$D$508,$D143,$A$9:$A$508,"&gt;"&amp;$A143)+COUNTIFS($D$9:$D$508,$D143,$A$9:$A$508,$A143)-COUNTIFS($D$9:$D143,$D143,$A$9:$A143,$A143)+1)</f>
        <v/>
      </c>
    </row>
    <row r="144" spans="1:25" ht="23.1" customHeight="1" x14ac:dyDescent="0.25">
      <c r="A144" s="19"/>
      <c r="B144" s="20"/>
      <c r="C144" s="20"/>
      <c r="D144" s="20"/>
      <c r="E144" s="20"/>
      <c r="F144" s="21"/>
      <c r="G144" s="22"/>
      <c r="H144" s="19"/>
      <c r="I144" s="22"/>
      <c r="J144" s="22"/>
      <c r="K144" s="23" t="str">
        <f>IF($A144="","",_EngineTrades!S144)</f>
        <v/>
      </c>
      <c r="L144" s="21"/>
      <c r="M144" s="22"/>
      <c r="N144" s="20"/>
      <c r="O144" s="24" t="str">
        <f t="shared" si="2"/>
        <v/>
      </c>
      <c r="P144" s="20"/>
      <c r="Q144" s="22"/>
      <c r="R144" s="22"/>
      <c r="S144" s="24" t="str">
        <f>IF($A144="","",_EngineTrades!V144)</f>
        <v/>
      </c>
      <c r="T144" t="str">
        <f>IF($A144="","",IFERROR(INDEX(Cycles!$R$9:$R$208,MATCH(_EngineTrades!AU144,_EngineCycles!$A$9:$A$208,0)),""))</f>
        <v/>
      </c>
      <c r="Y144" t="str">
        <f>IF(OR($A144="",$D144&lt;&gt;Overview!$P$2),"",COUNTIFS($D$9:$D$508,$D144,$A$9:$A$508,"&gt;"&amp;$A144)+COUNTIFS($D$9:$D$508,$D144,$A$9:$A$508,$A144)-COUNTIFS($D$9:$D144,$D144,$A$9:$A144,$A144)+1)</f>
        <v/>
      </c>
    </row>
    <row r="145" spans="1:25" ht="23.1" customHeight="1" x14ac:dyDescent="0.25">
      <c r="A145" s="13"/>
      <c r="B145" s="14"/>
      <c r="C145" s="14"/>
      <c r="D145" s="14"/>
      <c r="E145" s="14"/>
      <c r="F145" s="15"/>
      <c r="G145" s="16"/>
      <c r="H145" s="13"/>
      <c r="I145" s="16"/>
      <c r="J145" s="16"/>
      <c r="K145" s="17" t="str">
        <f>IF($A145="","",_EngineTrades!S145)</f>
        <v/>
      </c>
      <c r="L145" s="15"/>
      <c r="M145" s="16"/>
      <c r="N145" s="14"/>
      <c r="O145" s="18" t="str">
        <f t="shared" si="2"/>
        <v/>
      </c>
      <c r="P145" s="14"/>
      <c r="Q145" s="16"/>
      <c r="R145" s="16"/>
      <c r="S145" s="18" t="str">
        <f>IF($A145="","",_EngineTrades!V145)</f>
        <v/>
      </c>
      <c r="T145" t="str">
        <f>IF($A145="","",IFERROR(INDEX(Cycles!$R$9:$R$208,MATCH(_EngineTrades!AU145,_EngineCycles!$A$9:$A$208,0)),""))</f>
        <v/>
      </c>
      <c r="Y145" t="str">
        <f>IF(OR($A145="",$D145&lt;&gt;Overview!$P$2),"",COUNTIFS($D$9:$D$508,$D145,$A$9:$A$508,"&gt;"&amp;$A145)+COUNTIFS($D$9:$D$508,$D145,$A$9:$A$508,$A145)-COUNTIFS($D$9:$D145,$D145,$A$9:$A145,$A145)+1)</f>
        <v/>
      </c>
    </row>
    <row r="146" spans="1:25" ht="23.1" customHeight="1" x14ac:dyDescent="0.25">
      <c r="A146" s="19"/>
      <c r="B146" s="20"/>
      <c r="C146" s="20"/>
      <c r="D146" s="20"/>
      <c r="E146" s="20"/>
      <c r="F146" s="21"/>
      <c r="G146" s="22"/>
      <c r="H146" s="19"/>
      <c r="I146" s="22"/>
      <c r="J146" s="22"/>
      <c r="K146" s="23" t="str">
        <f>IF($A146="","",_EngineTrades!S146)</f>
        <v/>
      </c>
      <c r="L146" s="21"/>
      <c r="M146" s="22"/>
      <c r="N146" s="20"/>
      <c r="O146" s="24" t="str">
        <f t="shared" si="2"/>
        <v/>
      </c>
      <c r="P146" s="20"/>
      <c r="Q146" s="22"/>
      <c r="R146" s="22"/>
      <c r="S146" s="24" t="str">
        <f>IF($A146="","",_EngineTrades!V146)</f>
        <v/>
      </c>
      <c r="T146" t="str">
        <f>IF($A146="","",IFERROR(INDEX(Cycles!$R$9:$R$208,MATCH(_EngineTrades!AU146,_EngineCycles!$A$9:$A$208,0)),""))</f>
        <v/>
      </c>
      <c r="Y146" t="str">
        <f>IF(OR($A146="",$D146&lt;&gt;Overview!$P$2),"",COUNTIFS($D$9:$D$508,$D146,$A$9:$A$508,"&gt;"&amp;$A146)+COUNTIFS($D$9:$D$508,$D146,$A$9:$A$508,$A146)-COUNTIFS($D$9:$D146,$D146,$A$9:$A146,$A146)+1)</f>
        <v/>
      </c>
    </row>
    <row r="147" spans="1:25" ht="23.1" customHeight="1" x14ac:dyDescent="0.25">
      <c r="A147" s="13"/>
      <c r="B147" s="14"/>
      <c r="C147" s="14"/>
      <c r="D147" s="14"/>
      <c r="E147" s="14"/>
      <c r="F147" s="15"/>
      <c r="G147" s="16"/>
      <c r="H147" s="13"/>
      <c r="I147" s="16"/>
      <c r="J147" s="16"/>
      <c r="K147" s="17" t="str">
        <f>IF($A147="","",_EngineTrades!S147)</f>
        <v/>
      </c>
      <c r="L147" s="15"/>
      <c r="M147" s="16"/>
      <c r="N147" s="14"/>
      <c r="O147" s="18" t="str">
        <f t="shared" si="2"/>
        <v/>
      </c>
      <c r="P147" s="14"/>
      <c r="Q147" s="16"/>
      <c r="R147" s="16"/>
      <c r="S147" s="18" t="str">
        <f>IF($A147="","",_EngineTrades!V147)</f>
        <v/>
      </c>
      <c r="T147" t="str">
        <f>IF($A147="","",IFERROR(INDEX(Cycles!$R$9:$R$208,MATCH(_EngineTrades!AU147,_EngineCycles!$A$9:$A$208,0)),""))</f>
        <v/>
      </c>
      <c r="Y147" t="str">
        <f>IF(OR($A147="",$D147&lt;&gt;Overview!$P$2),"",COUNTIFS($D$9:$D$508,$D147,$A$9:$A$508,"&gt;"&amp;$A147)+COUNTIFS($D$9:$D$508,$D147,$A$9:$A$508,$A147)-COUNTIFS($D$9:$D147,$D147,$A$9:$A147,$A147)+1)</f>
        <v/>
      </c>
    </row>
    <row r="148" spans="1:25" ht="23.1" customHeight="1" x14ac:dyDescent="0.25">
      <c r="A148" s="19"/>
      <c r="B148" s="20"/>
      <c r="C148" s="20"/>
      <c r="D148" s="20"/>
      <c r="E148" s="20"/>
      <c r="F148" s="21"/>
      <c r="G148" s="22"/>
      <c r="H148" s="19"/>
      <c r="I148" s="22"/>
      <c r="J148" s="22"/>
      <c r="K148" s="23" t="str">
        <f>IF($A148="","",_EngineTrades!S148)</f>
        <v/>
      </c>
      <c r="L148" s="21"/>
      <c r="M148" s="22"/>
      <c r="N148" s="20"/>
      <c r="O148" s="24" t="str">
        <f t="shared" si="2"/>
        <v/>
      </c>
      <c r="P148" s="20"/>
      <c r="Q148" s="22"/>
      <c r="R148" s="22"/>
      <c r="S148" s="24" t="str">
        <f>IF($A148="","",_EngineTrades!V148)</f>
        <v/>
      </c>
      <c r="T148" t="str">
        <f>IF($A148="","",IFERROR(INDEX(Cycles!$R$9:$R$208,MATCH(_EngineTrades!AU148,_EngineCycles!$A$9:$A$208,0)),""))</f>
        <v/>
      </c>
      <c r="Y148" t="str">
        <f>IF(OR($A148="",$D148&lt;&gt;Overview!$P$2),"",COUNTIFS($D$9:$D$508,$D148,$A$9:$A$508,"&gt;"&amp;$A148)+COUNTIFS($D$9:$D$508,$D148,$A$9:$A$508,$A148)-COUNTIFS($D$9:$D148,$D148,$A$9:$A148,$A148)+1)</f>
        <v/>
      </c>
    </row>
    <row r="149" spans="1:25" ht="23.1" customHeight="1" x14ac:dyDescent="0.25">
      <c r="A149" s="13"/>
      <c r="B149" s="14"/>
      <c r="C149" s="14"/>
      <c r="D149" s="14"/>
      <c r="E149" s="14"/>
      <c r="F149" s="15"/>
      <c r="G149" s="16"/>
      <c r="H149" s="13"/>
      <c r="I149" s="16"/>
      <c r="J149" s="16"/>
      <c r="K149" s="17" t="str">
        <f>IF($A149="","",_EngineTrades!S149)</f>
        <v/>
      </c>
      <c r="L149" s="15"/>
      <c r="M149" s="16"/>
      <c r="N149" s="14"/>
      <c r="O149" s="18" t="str">
        <f t="shared" si="2"/>
        <v/>
      </c>
      <c r="P149" s="14"/>
      <c r="Q149" s="16"/>
      <c r="R149" s="16"/>
      <c r="S149" s="18" t="str">
        <f>IF($A149="","",_EngineTrades!V149)</f>
        <v/>
      </c>
      <c r="T149" t="str">
        <f>IF($A149="","",IFERROR(INDEX(Cycles!$R$9:$R$208,MATCH(_EngineTrades!AU149,_EngineCycles!$A$9:$A$208,0)),""))</f>
        <v/>
      </c>
      <c r="Y149" t="str">
        <f>IF(OR($A149="",$D149&lt;&gt;Overview!$P$2),"",COUNTIFS($D$9:$D$508,$D149,$A$9:$A$508,"&gt;"&amp;$A149)+COUNTIFS($D$9:$D$508,$D149,$A$9:$A$508,$A149)-COUNTIFS($D$9:$D149,$D149,$A$9:$A149,$A149)+1)</f>
        <v/>
      </c>
    </row>
    <row r="150" spans="1:25" ht="23.1" customHeight="1" x14ac:dyDescent="0.25">
      <c r="A150" s="19"/>
      <c r="B150" s="20"/>
      <c r="C150" s="20"/>
      <c r="D150" s="20"/>
      <c r="E150" s="20"/>
      <c r="F150" s="21"/>
      <c r="G150" s="22"/>
      <c r="H150" s="19"/>
      <c r="I150" s="22"/>
      <c r="J150" s="22"/>
      <c r="K150" s="23" t="str">
        <f>IF($A150="","",_EngineTrades!S150)</f>
        <v/>
      </c>
      <c r="L150" s="21"/>
      <c r="M150" s="22"/>
      <c r="N150" s="20"/>
      <c r="O150" s="24" t="str">
        <f t="shared" si="2"/>
        <v/>
      </c>
      <c r="P150" s="20"/>
      <c r="Q150" s="22"/>
      <c r="R150" s="22"/>
      <c r="S150" s="24" t="str">
        <f>IF($A150="","",_EngineTrades!V150)</f>
        <v/>
      </c>
      <c r="T150" t="str">
        <f>IF($A150="","",IFERROR(INDEX(Cycles!$R$9:$R$208,MATCH(_EngineTrades!AU150,_EngineCycles!$A$9:$A$208,0)),""))</f>
        <v/>
      </c>
      <c r="Y150" t="str">
        <f>IF(OR($A150="",$D150&lt;&gt;Overview!$P$2),"",COUNTIFS($D$9:$D$508,$D150,$A$9:$A$508,"&gt;"&amp;$A150)+COUNTIFS($D$9:$D$508,$D150,$A$9:$A$508,$A150)-COUNTIFS($D$9:$D150,$D150,$A$9:$A150,$A150)+1)</f>
        <v/>
      </c>
    </row>
    <row r="151" spans="1:25" ht="23.1" customHeight="1" x14ac:dyDescent="0.25">
      <c r="A151" s="13"/>
      <c r="B151" s="14"/>
      <c r="C151" s="14"/>
      <c r="D151" s="14"/>
      <c r="E151" s="14"/>
      <c r="F151" s="15"/>
      <c r="G151" s="16"/>
      <c r="H151" s="13"/>
      <c r="I151" s="16"/>
      <c r="J151" s="16"/>
      <c r="K151" s="17" t="str">
        <f>IF($A151="","",_EngineTrades!S151)</f>
        <v/>
      </c>
      <c r="L151" s="15"/>
      <c r="M151" s="16"/>
      <c r="N151" s="14"/>
      <c r="O151" s="18" t="str">
        <f t="shared" si="2"/>
        <v/>
      </c>
      <c r="P151" s="14"/>
      <c r="Q151" s="16"/>
      <c r="R151" s="16"/>
      <c r="S151" s="18" t="str">
        <f>IF($A151="","",_EngineTrades!V151)</f>
        <v/>
      </c>
      <c r="T151" t="str">
        <f>IF($A151="","",IFERROR(INDEX(Cycles!$R$9:$R$208,MATCH(_EngineTrades!AU151,_EngineCycles!$A$9:$A$208,0)),""))</f>
        <v/>
      </c>
      <c r="Y151" t="str">
        <f>IF(OR($A151="",$D151&lt;&gt;Overview!$P$2),"",COUNTIFS($D$9:$D$508,$D151,$A$9:$A$508,"&gt;"&amp;$A151)+COUNTIFS($D$9:$D$508,$D151,$A$9:$A$508,$A151)-COUNTIFS($D$9:$D151,$D151,$A$9:$A151,$A151)+1)</f>
        <v/>
      </c>
    </row>
    <row r="152" spans="1:25" ht="23.1" customHeight="1" x14ac:dyDescent="0.25">
      <c r="A152" s="19"/>
      <c r="B152" s="20"/>
      <c r="C152" s="20"/>
      <c r="D152" s="20"/>
      <c r="E152" s="20"/>
      <c r="F152" s="21"/>
      <c r="G152" s="22"/>
      <c r="H152" s="19"/>
      <c r="I152" s="22"/>
      <c r="J152" s="22"/>
      <c r="K152" s="23" t="str">
        <f>IF($A152="","",_EngineTrades!S152)</f>
        <v/>
      </c>
      <c r="L152" s="21"/>
      <c r="M152" s="22"/>
      <c r="N152" s="20"/>
      <c r="O152" s="24" t="str">
        <f t="shared" si="2"/>
        <v/>
      </c>
      <c r="P152" s="20"/>
      <c r="Q152" s="22"/>
      <c r="R152" s="22"/>
      <c r="S152" s="24" t="str">
        <f>IF($A152="","",_EngineTrades!V152)</f>
        <v/>
      </c>
      <c r="T152" t="str">
        <f>IF($A152="","",IFERROR(INDEX(Cycles!$R$9:$R$208,MATCH(_EngineTrades!AU152,_EngineCycles!$A$9:$A$208,0)),""))</f>
        <v/>
      </c>
      <c r="Y152" t="str">
        <f>IF(OR($A152="",$D152&lt;&gt;Overview!$P$2),"",COUNTIFS($D$9:$D$508,$D152,$A$9:$A$508,"&gt;"&amp;$A152)+COUNTIFS($D$9:$D$508,$D152,$A$9:$A$508,$A152)-COUNTIFS($D$9:$D152,$D152,$A$9:$A152,$A152)+1)</f>
        <v/>
      </c>
    </row>
    <row r="153" spans="1:25" ht="23.1" customHeight="1" x14ac:dyDescent="0.25">
      <c r="A153" s="13"/>
      <c r="B153" s="14"/>
      <c r="C153" s="14"/>
      <c r="D153" s="14"/>
      <c r="E153" s="14"/>
      <c r="F153" s="15"/>
      <c r="G153" s="16"/>
      <c r="H153" s="13"/>
      <c r="I153" s="16"/>
      <c r="J153" s="16"/>
      <c r="K153" s="17" t="str">
        <f>IF($A153="","",_EngineTrades!S153)</f>
        <v/>
      </c>
      <c r="L153" s="15"/>
      <c r="M153" s="16"/>
      <c r="N153" s="14"/>
      <c r="O153" s="18" t="str">
        <f t="shared" si="2"/>
        <v/>
      </c>
      <c r="P153" s="14"/>
      <c r="Q153" s="16"/>
      <c r="R153" s="16"/>
      <c r="S153" s="18" t="str">
        <f>IF($A153="","",_EngineTrades!V153)</f>
        <v/>
      </c>
      <c r="T153" t="str">
        <f>IF($A153="","",IFERROR(INDEX(Cycles!$R$9:$R$208,MATCH(_EngineTrades!AU153,_EngineCycles!$A$9:$A$208,0)),""))</f>
        <v/>
      </c>
      <c r="Y153" t="str">
        <f>IF(OR($A153="",$D153&lt;&gt;Overview!$P$2),"",COUNTIFS($D$9:$D$508,$D153,$A$9:$A$508,"&gt;"&amp;$A153)+COUNTIFS($D$9:$D$508,$D153,$A$9:$A$508,$A153)-COUNTIFS($D$9:$D153,$D153,$A$9:$A153,$A153)+1)</f>
        <v/>
      </c>
    </row>
    <row r="154" spans="1:25" ht="23.1" customHeight="1" x14ac:dyDescent="0.25">
      <c r="A154" s="19"/>
      <c r="B154" s="20"/>
      <c r="C154" s="20"/>
      <c r="D154" s="20"/>
      <c r="E154" s="20"/>
      <c r="F154" s="21"/>
      <c r="G154" s="22"/>
      <c r="H154" s="19"/>
      <c r="I154" s="22"/>
      <c r="J154" s="22"/>
      <c r="K154" s="23" t="str">
        <f>IF($A154="","",_EngineTrades!S154)</f>
        <v/>
      </c>
      <c r="L154" s="21"/>
      <c r="M154" s="22"/>
      <c r="N154" s="20"/>
      <c r="O154" s="24" t="str">
        <f t="shared" si="2"/>
        <v/>
      </c>
      <c r="P154" s="20"/>
      <c r="Q154" s="22"/>
      <c r="R154" s="22"/>
      <c r="S154" s="24" t="str">
        <f>IF($A154="","",_EngineTrades!V154)</f>
        <v/>
      </c>
      <c r="T154" t="str">
        <f>IF($A154="","",IFERROR(INDEX(Cycles!$R$9:$R$208,MATCH(_EngineTrades!AU154,_EngineCycles!$A$9:$A$208,0)),""))</f>
        <v/>
      </c>
      <c r="Y154" t="str">
        <f>IF(OR($A154="",$D154&lt;&gt;Overview!$P$2),"",COUNTIFS($D$9:$D$508,$D154,$A$9:$A$508,"&gt;"&amp;$A154)+COUNTIFS($D$9:$D$508,$D154,$A$9:$A$508,$A154)-COUNTIFS($D$9:$D154,$D154,$A$9:$A154,$A154)+1)</f>
        <v/>
      </c>
    </row>
    <row r="155" spans="1:25" ht="23.1" customHeight="1" x14ac:dyDescent="0.25">
      <c r="A155" s="13"/>
      <c r="B155" s="14"/>
      <c r="C155" s="14"/>
      <c r="D155" s="14"/>
      <c r="E155" s="14"/>
      <c r="F155" s="15"/>
      <c r="G155" s="16"/>
      <c r="H155" s="13"/>
      <c r="I155" s="16"/>
      <c r="J155" s="16"/>
      <c r="K155" s="17" t="str">
        <f>IF($A155="","",_EngineTrades!S155)</f>
        <v/>
      </c>
      <c r="L155" s="15"/>
      <c r="M155" s="16"/>
      <c r="N155" s="14"/>
      <c r="O155" s="18" t="str">
        <f t="shared" si="2"/>
        <v/>
      </c>
      <c r="P155" s="14"/>
      <c r="Q155" s="16"/>
      <c r="R155" s="16"/>
      <c r="S155" s="18" t="str">
        <f>IF($A155="","",_EngineTrades!V155)</f>
        <v/>
      </c>
      <c r="T155" t="str">
        <f>IF($A155="","",IFERROR(INDEX(Cycles!$R$9:$R$208,MATCH(_EngineTrades!AU155,_EngineCycles!$A$9:$A$208,0)),""))</f>
        <v/>
      </c>
      <c r="Y155" t="str">
        <f>IF(OR($A155="",$D155&lt;&gt;Overview!$P$2),"",COUNTIFS($D$9:$D$508,$D155,$A$9:$A$508,"&gt;"&amp;$A155)+COUNTIFS($D$9:$D$508,$D155,$A$9:$A$508,$A155)-COUNTIFS($D$9:$D155,$D155,$A$9:$A155,$A155)+1)</f>
        <v/>
      </c>
    </row>
    <row r="156" spans="1:25" ht="23.1" customHeight="1" x14ac:dyDescent="0.25">
      <c r="A156" s="19"/>
      <c r="B156" s="20"/>
      <c r="C156" s="20"/>
      <c r="D156" s="20"/>
      <c r="E156" s="20"/>
      <c r="F156" s="21"/>
      <c r="G156" s="22"/>
      <c r="H156" s="19"/>
      <c r="I156" s="22"/>
      <c r="J156" s="22"/>
      <c r="K156" s="23" t="str">
        <f>IF($A156="","",_EngineTrades!S156)</f>
        <v/>
      </c>
      <c r="L156" s="21"/>
      <c r="M156" s="22"/>
      <c r="N156" s="20"/>
      <c r="O156" s="24" t="str">
        <f t="shared" si="2"/>
        <v/>
      </c>
      <c r="P156" s="20"/>
      <c r="Q156" s="22"/>
      <c r="R156" s="22"/>
      <c r="S156" s="24" t="str">
        <f>IF($A156="","",_EngineTrades!V156)</f>
        <v/>
      </c>
      <c r="T156" t="str">
        <f>IF($A156="","",IFERROR(INDEX(Cycles!$R$9:$R$208,MATCH(_EngineTrades!AU156,_EngineCycles!$A$9:$A$208,0)),""))</f>
        <v/>
      </c>
      <c r="Y156" t="str">
        <f>IF(OR($A156="",$D156&lt;&gt;Overview!$P$2),"",COUNTIFS($D$9:$D$508,$D156,$A$9:$A$508,"&gt;"&amp;$A156)+COUNTIFS($D$9:$D$508,$D156,$A$9:$A$508,$A156)-COUNTIFS($D$9:$D156,$D156,$A$9:$A156,$A156)+1)</f>
        <v/>
      </c>
    </row>
    <row r="157" spans="1:25" ht="23.1" customHeight="1" x14ac:dyDescent="0.25">
      <c r="A157" s="13"/>
      <c r="B157" s="14"/>
      <c r="C157" s="14"/>
      <c r="D157" s="14"/>
      <c r="E157" s="14"/>
      <c r="F157" s="15"/>
      <c r="G157" s="16"/>
      <c r="H157" s="13"/>
      <c r="I157" s="16"/>
      <c r="J157" s="16"/>
      <c r="K157" s="17" t="str">
        <f>IF($A157="","",_EngineTrades!S157)</f>
        <v/>
      </c>
      <c r="L157" s="15"/>
      <c r="M157" s="16"/>
      <c r="N157" s="14"/>
      <c r="O157" s="18" t="str">
        <f t="shared" si="2"/>
        <v/>
      </c>
      <c r="P157" s="14"/>
      <c r="Q157" s="16"/>
      <c r="R157" s="16"/>
      <c r="S157" s="18" t="str">
        <f>IF($A157="","",_EngineTrades!V157)</f>
        <v/>
      </c>
      <c r="T157" t="str">
        <f>IF($A157="","",IFERROR(INDEX(Cycles!$R$9:$R$208,MATCH(_EngineTrades!AU157,_EngineCycles!$A$9:$A$208,0)),""))</f>
        <v/>
      </c>
      <c r="Y157" t="str">
        <f>IF(OR($A157="",$D157&lt;&gt;Overview!$P$2),"",COUNTIFS($D$9:$D$508,$D157,$A$9:$A$508,"&gt;"&amp;$A157)+COUNTIFS($D$9:$D$508,$D157,$A$9:$A$508,$A157)-COUNTIFS($D$9:$D157,$D157,$A$9:$A157,$A157)+1)</f>
        <v/>
      </c>
    </row>
    <row r="158" spans="1:25" ht="23.1" customHeight="1" x14ac:dyDescent="0.25">
      <c r="A158" s="19"/>
      <c r="B158" s="20"/>
      <c r="C158" s="20"/>
      <c r="D158" s="20"/>
      <c r="E158" s="20"/>
      <c r="F158" s="21"/>
      <c r="G158" s="22"/>
      <c r="H158" s="19"/>
      <c r="I158" s="22"/>
      <c r="J158" s="22"/>
      <c r="K158" s="23" t="str">
        <f>IF($A158="","",_EngineTrades!S158)</f>
        <v/>
      </c>
      <c r="L158" s="21"/>
      <c r="M158" s="22"/>
      <c r="N158" s="20"/>
      <c r="O158" s="24" t="str">
        <f t="shared" si="2"/>
        <v/>
      </c>
      <c r="P158" s="20"/>
      <c r="Q158" s="22"/>
      <c r="R158" s="22"/>
      <c r="S158" s="24" t="str">
        <f>IF($A158="","",_EngineTrades!V158)</f>
        <v/>
      </c>
      <c r="T158" t="str">
        <f>IF($A158="","",IFERROR(INDEX(Cycles!$R$9:$R$208,MATCH(_EngineTrades!AU158,_EngineCycles!$A$9:$A$208,0)),""))</f>
        <v/>
      </c>
      <c r="Y158" t="str">
        <f>IF(OR($A158="",$D158&lt;&gt;Overview!$P$2),"",COUNTIFS($D$9:$D$508,$D158,$A$9:$A$508,"&gt;"&amp;$A158)+COUNTIFS($D$9:$D$508,$D158,$A$9:$A$508,$A158)-COUNTIFS($D$9:$D158,$D158,$A$9:$A158,$A158)+1)</f>
        <v/>
      </c>
    </row>
    <row r="159" spans="1:25" ht="23.1" customHeight="1" x14ac:dyDescent="0.25">
      <c r="A159" s="13"/>
      <c r="B159" s="14"/>
      <c r="C159" s="14"/>
      <c r="D159" s="14"/>
      <c r="E159" s="14"/>
      <c r="F159" s="15"/>
      <c r="G159" s="16"/>
      <c r="H159" s="13"/>
      <c r="I159" s="16"/>
      <c r="J159" s="16"/>
      <c r="K159" s="17" t="str">
        <f>IF($A159="","",_EngineTrades!S159)</f>
        <v/>
      </c>
      <c r="L159" s="15"/>
      <c r="M159" s="16"/>
      <c r="N159" s="14"/>
      <c r="O159" s="18" t="str">
        <f t="shared" si="2"/>
        <v/>
      </c>
      <c r="P159" s="14"/>
      <c r="Q159" s="16"/>
      <c r="R159" s="16"/>
      <c r="S159" s="18" t="str">
        <f>IF($A159="","",_EngineTrades!V159)</f>
        <v/>
      </c>
      <c r="T159" t="str">
        <f>IF($A159="","",IFERROR(INDEX(Cycles!$R$9:$R$208,MATCH(_EngineTrades!AU159,_EngineCycles!$A$9:$A$208,0)),""))</f>
        <v/>
      </c>
      <c r="Y159" t="str">
        <f>IF(OR($A159="",$D159&lt;&gt;Overview!$P$2),"",COUNTIFS($D$9:$D$508,$D159,$A$9:$A$508,"&gt;"&amp;$A159)+COUNTIFS($D$9:$D$508,$D159,$A$9:$A$508,$A159)-COUNTIFS($D$9:$D159,$D159,$A$9:$A159,$A159)+1)</f>
        <v/>
      </c>
    </row>
    <row r="160" spans="1:25" ht="23.1" customHeight="1" x14ac:dyDescent="0.25">
      <c r="A160" s="19"/>
      <c r="B160" s="20"/>
      <c r="C160" s="20"/>
      <c r="D160" s="20"/>
      <c r="E160" s="20"/>
      <c r="F160" s="21"/>
      <c r="G160" s="22"/>
      <c r="H160" s="19"/>
      <c r="I160" s="22"/>
      <c r="J160" s="22"/>
      <c r="K160" s="23" t="str">
        <f>IF($A160="","",_EngineTrades!S160)</f>
        <v/>
      </c>
      <c r="L160" s="21"/>
      <c r="M160" s="22"/>
      <c r="N160" s="20"/>
      <c r="O160" s="24" t="str">
        <f t="shared" si="2"/>
        <v/>
      </c>
      <c r="P160" s="20"/>
      <c r="Q160" s="22"/>
      <c r="R160" s="22"/>
      <c r="S160" s="24" t="str">
        <f>IF($A160="","",_EngineTrades!V160)</f>
        <v/>
      </c>
      <c r="T160" t="str">
        <f>IF($A160="","",IFERROR(INDEX(Cycles!$R$9:$R$208,MATCH(_EngineTrades!AU160,_EngineCycles!$A$9:$A$208,0)),""))</f>
        <v/>
      </c>
      <c r="Y160" t="str">
        <f>IF(OR($A160="",$D160&lt;&gt;Overview!$P$2),"",COUNTIFS($D$9:$D$508,$D160,$A$9:$A$508,"&gt;"&amp;$A160)+COUNTIFS($D$9:$D$508,$D160,$A$9:$A$508,$A160)-COUNTIFS($D$9:$D160,$D160,$A$9:$A160,$A160)+1)</f>
        <v/>
      </c>
    </row>
    <row r="161" spans="1:25" ht="23.1" customHeight="1" x14ac:dyDescent="0.25">
      <c r="A161" s="13"/>
      <c r="B161" s="14"/>
      <c r="C161" s="14"/>
      <c r="D161" s="14"/>
      <c r="E161" s="14"/>
      <c r="F161" s="15"/>
      <c r="G161" s="16"/>
      <c r="H161" s="13"/>
      <c r="I161" s="16"/>
      <c r="J161" s="16"/>
      <c r="K161" s="17" t="str">
        <f>IF($A161="","",_EngineTrades!S161)</f>
        <v/>
      </c>
      <c r="L161" s="15"/>
      <c r="M161" s="16"/>
      <c r="N161" s="14"/>
      <c r="O161" s="18" t="str">
        <f t="shared" si="2"/>
        <v/>
      </c>
      <c r="P161" s="14"/>
      <c r="Q161" s="16"/>
      <c r="R161" s="16"/>
      <c r="S161" s="18" t="str">
        <f>IF($A161="","",_EngineTrades!V161)</f>
        <v/>
      </c>
      <c r="T161" t="str">
        <f>IF($A161="","",IFERROR(INDEX(Cycles!$R$9:$R$208,MATCH(_EngineTrades!AU161,_EngineCycles!$A$9:$A$208,0)),""))</f>
        <v/>
      </c>
      <c r="Y161" t="str">
        <f>IF(OR($A161="",$D161&lt;&gt;Overview!$P$2),"",COUNTIFS($D$9:$D$508,$D161,$A$9:$A$508,"&gt;"&amp;$A161)+COUNTIFS($D$9:$D$508,$D161,$A$9:$A$508,$A161)-COUNTIFS($D$9:$D161,$D161,$A$9:$A161,$A161)+1)</f>
        <v/>
      </c>
    </row>
    <row r="162" spans="1:25" ht="23.1" customHeight="1" x14ac:dyDescent="0.25">
      <c r="A162" s="19"/>
      <c r="B162" s="20"/>
      <c r="C162" s="20"/>
      <c r="D162" s="20"/>
      <c r="E162" s="20"/>
      <c r="F162" s="21"/>
      <c r="G162" s="22"/>
      <c r="H162" s="19"/>
      <c r="I162" s="22"/>
      <c r="J162" s="22"/>
      <c r="K162" s="23" t="str">
        <f>IF($A162="","",_EngineTrades!S162)</f>
        <v/>
      </c>
      <c r="L162" s="21"/>
      <c r="M162" s="22"/>
      <c r="N162" s="20"/>
      <c r="O162" s="24" t="str">
        <f t="shared" si="2"/>
        <v/>
      </c>
      <c r="P162" s="20"/>
      <c r="Q162" s="22"/>
      <c r="R162" s="22"/>
      <c r="S162" s="24" t="str">
        <f>IF($A162="","",_EngineTrades!V162)</f>
        <v/>
      </c>
      <c r="T162" t="str">
        <f>IF($A162="","",IFERROR(INDEX(Cycles!$R$9:$R$208,MATCH(_EngineTrades!AU162,_EngineCycles!$A$9:$A$208,0)),""))</f>
        <v/>
      </c>
      <c r="Y162" t="str">
        <f>IF(OR($A162="",$D162&lt;&gt;Overview!$P$2),"",COUNTIFS($D$9:$D$508,$D162,$A$9:$A$508,"&gt;"&amp;$A162)+COUNTIFS($D$9:$D$508,$D162,$A$9:$A$508,$A162)-COUNTIFS($D$9:$D162,$D162,$A$9:$A162,$A162)+1)</f>
        <v/>
      </c>
    </row>
    <row r="163" spans="1:25" ht="23.1" customHeight="1" x14ac:dyDescent="0.25">
      <c r="A163" s="13"/>
      <c r="B163" s="14"/>
      <c r="C163" s="14"/>
      <c r="D163" s="14"/>
      <c r="E163" s="14"/>
      <c r="F163" s="15"/>
      <c r="G163" s="16"/>
      <c r="H163" s="13"/>
      <c r="I163" s="16"/>
      <c r="J163" s="16"/>
      <c r="K163" s="17" t="str">
        <f>IF($A163="","",_EngineTrades!S163)</f>
        <v/>
      </c>
      <c r="L163" s="15"/>
      <c r="M163" s="16"/>
      <c r="N163" s="14"/>
      <c r="O163" s="18" t="str">
        <f t="shared" si="2"/>
        <v/>
      </c>
      <c r="P163" s="14"/>
      <c r="Q163" s="16"/>
      <c r="R163" s="16"/>
      <c r="S163" s="18" t="str">
        <f>IF($A163="","",_EngineTrades!V163)</f>
        <v/>
      </c>
      <c r="T163" t="str">
        <f>IF($A163="","",IFERROR(INDEX(Cycles!$R$9:$R$208,MATCH(_EngineTrades!AU163,_EngineCycles!$A$9:$A$208,0)),""))</f>
        <v/>
      </c>
      <c r="Y163" t="str">
        <f>IF(OR($A163="",$D163&lt;&gt;Overview!$P$2),"",COUNTIFS($D$9:$D$508,$D163,$A$9:$A$508,"&gt;"&amp;$A163)+COUNTIFS($D$9:$D$508,$D163,$A$9:$A$508,$A163)-COUNTIFS($D$9:$D163,$D163,$A$9:$A163,$A163)+1)</f>
        <v/>
      </c>
    </row>
    <row r="164" spans="1:25" ht="23.1" customHeight="1" x14ac:dyDescent="0.25">
      <c r="A164" s="19"/>
      <c r="B164" s="20"/>
      <c r="C164" s="20"/>
      <c r="D164" s="20"/>
      <c r="E164" s="20"/>
      <c r="F164" s="21"/>
      <c r="G164" s="22"/>
      <c r="H164" s="19"/>
      <c r="I164" s="22"/>
      <c r="J164" s="22"/>
      <c r="K164" s="23" t="str">
        <f>IF($A164="","",_EngineTrades!S164)</f>
        <v/>
      </c>
      <c r="L164" s="21"/>
      <c r="M164" s="22"/>
      <c r="N164" s="20"/>
      <c r="O164" s="24" t="str">
        <f t="shared" si="2"/>
        <v/>
      </c>
      <c r="P164" s="20"/>
      <c r="Q164" s="22"/>
      <c r="R164" s="22"/>
      <c r="S164" s="24" t="str">
        <f>IF($A164="","",_EngineTrades!V164)</f>
        <v/>
      </c>
      <c r="T164" t="str">
        <f>IF($A164="","",IFERROR(INDEX(Cycles!$R$9:$R$208,MATCH(_EngineTrades!AU164,_EngineCycles!$A$9:$A$208,0)),""))</f>
        <v/>
      </c>
      <c r="Y164" t="str">
        <f>IF(OR($A164="",$D164&lt;&gt;Overview!$P$2),"",COUNTIFS($D$9:$D$508,$D164,$A$9:$A$508,"&gt;"&amp;$A164)+COUNTIFS($D$9:$D$508,$D164,$A$9:$A$508,$A164)-COUNTIFS($D$9:$D164,$D164,$A$9:$A164,$A164)+1)</f>
        <v/>
      </c>
    </row>
    <row r="165" spans="1:25" ht="23.1" customHeight="1" x14ac:dyDescent="0.25">
      <c r="A165" s="13"/>
      <c r="B165" s="14"/>
      <c r="C165" s="14"/>
      <c r="D165" s="14"/>
      <c r="E165" s="14"/>
      <c r="F165" s="15"/>
      <c r="G165" s="16"/>
      <c r="H165" s="13"/>
      <c r="I165" s="16"/>
      <c r="J165" s="16"/>
      <c r="K165" s="17" t="str">
        <f>IF($A165="","",_EngineTrades!S165)</f>
        <v/>
      </c>
      <c r="L165" s="15"/>
      <c r="M165" s="16"/>
      <c r="N165" s="14"/>
      <c r="O165" s="18" t="str">
        <f t="shared" si="2"/>
        <v/>
      </c>
      <c r="P165" s="14"/>
      <c r="Q165" s="16"/>
      <c r="R165" s="16"/>
      <c r="S165" s="18" t="str">
        <f>IF($A165="","",_EngineTrades!V165)</f>
        <v/>
      </c>
      <c r="T165" t="str">
        <f>IF($A165="","",IFERROR(INDEX(Cycles!$R$9:$R$208,MATCH(_EngineTrades!AU165,_EngineCycles!$A$9:$A$208,0)),""))</f>
        <v/>
      </c>
      <c r="Y165" t="str">
        <f>IF(OR($A165="",$D165&lt;&gt;Overview!$P$2),"",COUNTIFS($D$9:$D$508,$D165,$A$9:$A$508,"&gt;"&amp;$A165)+COUNTIFS($D$9:$D$508,$D165,$A$9:$A$508,$A165)-COUNTIFS($D$9:$D165,$D165,$A$9:$A165,$A165)+1)</f>
        <v/>
      </c>
    </row>
    <row r="166" spans="1:25" ht="23.1" customHeight="1" x14ac:dyDescent="0.25">
      <c r="A166" s="19"/>
      <c r="B166" s="20"/>
      <c r="C166" s="20"/>
      <c r="D166" s="20"/>
      <c r="E166" s="20"/>
      <c r="F166" s="21"/>
      <c r="G166" s="22"/>
      <c r="H166" s="19"/>
      <c r="I166" s="22"/>
      <c r="J166" s="22"/>
      <c r="K166" s="23" t="str">
        <f>IF($A166="","",_EngineTrades!S166)</f>
        <v/>
      </c>
      <c r="L166" s="21"/>
      <c r="M166" s="22"/>
      <c r="N166" s="20"/>
      <c r="O166" s="24" t="str">
        <f t="shared" si="2"/>
        <v/>
      </c>
      <c r="P166" s="20"/>
      <c r="Q166" s="22"/>
      <c r="R166" s="22"/>
      <c r="S166" s="24" t="str">
        <f>IF($A166="","",_EngineTrades!V166)</f>
        <v/>
      </c>
      <c r="T166" t="str">
        <f>IF($A166="","",IFERROR(INDEX(Cycles!$R$9:$R$208,MATCH(_EngineTrades!AU166,_EngineCycles!$A$9:$A$208,0)),""))</f>
        <v/>
      </c>
      <c r="Y166" t="str">
        <f>IF(OR($A166="",$D166&lt;&gt;Overview!$P$2),"",COUNTIFS($D$9:$D$508,$D166,$A$9:$A$508,"&gt;"&amp;$A166)+COUNTIFS($D$9:$D$508,$D166,$A$9:$A$508,$A166)-COUNTIFS($D$9:$D166,$D166,$A$9:$A166,$A166)+1)</f>
        <v/>
      </c>
    </row>
    <row r="167" spans="1:25" ht="23.1" customHeight="1" x14ac:dyDescent="0.25">
      <c r="A167" s="13"/>
      <c r="B167" s="14"/>
      <c r="C167" s="14"/>
      <c r="D167" s="14"/>
      <c r="E167" s="14"/>
      <c r="F167" s="15"/>
      <c r="G167" s="16"/>
      <c r="H167" s="13"/>
      <c r="I167" s="16"/>
      <c r="J167" s="16"/>
      <c r="K167" s="17" t="str">
        <f>IF($A167="","",_EngineTrades!S167)</f>
        <v/>
      </c>
      <c r="L167" s="15"/>
      <c r="M167" s="16"/>
      <c r="N167" s="14"/>
      <c r="O167" s="18" t="str">
        <f t="shared" si="2"/>
        <v/>
      </c>
      <c r="P167" s="14"/>
      <c r="Q167" s="16"/>
      <c r="R167" s="16"/>
      <c r="S167" s="18" t="str">
        <f>IF($A167="","",_EngineTrades!V167)</f>
        <v/>
      </c>
      <c r="T167" t="str">
        <f>IF($A167="","",IFERROR(INDEX(Cycles!$R$9:$R$208,MATCH(_EngineTrades!AU167,_EngineCycles!$A$9:$A$208,0)),""))</f>
        <v/>
      </c>
      <c r="Y167" t="str">
        <f>IF(OR($A167="",$D167&lt;&gt;Overview!$P$2),"",COUNTIFS($D$9:$D$508,$D167,$A$9:$A$508,"&gt;"&amp;$A167)+COUNTIFS($D$9:$D$508,$D167,$A$9:$A$508,$A167)-COUNTIFS($D$9:$D167,$D167,$A$9:$A167,$A167)+1)</f>
        <v/>
      </c>
    </row>
    <row r="168" spans="1:25" ht="23.1" customHeight="1" x14ac:dyDescent="0.25">
      <c r="A168" s="19"/>
      <c r="B168" s="20"/>
      <c r="C168" s="20"/>
      <c r="D168" s="20"/>
      <c r="E168" s="20"/>
      <c r="F168" s="21"/>
      <c r="G168" s="22"/>
      <c r="H168" s="19"/>
      <c r="I168" s="22"/>
      <c r="J168" s="22"/>
      <c r="K168" s="23" t="str">
        <f>IF($A168="","",_EngineTrades!S168)</f>
        <v/>
      </c>
      <c r="L168" s="21"/>
      <c r="M168" s="22"/>
      <c r="N168" s="20"/>
      <c r="O168" s="24" t="str">
        <f t="shared" si="2"/>
        <v/>
      </c>
      <c r="P168" s="20"/>
      <c r="Q168" s="22"/>
      <c r="R168" s="22"/>
      <c r="S168" s="24" t="str">
        <f>IF($A168="","",_EngineTrades!V168)</f>
        <v/>
      </c>
      <c r="T168" t="str">
        <f>IF($A168="","",IFERROR(INDEX(Cycles!$R$9:$R$208,MATCH(_EngineTrades!AU168,_EngineCycles!$A$9:$A$208,0)),""))</f>
        <v/>
      </c>
      <c r="Y168" t="str">
        <f>IF(OR($A168="",$D168&lt;&gt;Overview!$P$2),"",COUNTIFS($D$9:$D$508,$D168,$A$9:$A$508,"&gt;"&amp;$A168)+COUNTIFS($D$9:$D$508,$D168,$A$9:$A$508,$A168)-COUNTIFS($D$9:$D168,$D168,$A$9:$A168,$A168)+1)</f>
        <v/>
      </c>
    </row>
    <row r="169" spans="1:25" ht="23.1" customHeight="1" x14ac:dyDescent="0.25">
      <c r="A169" s="13"/>
      <c r="B169" s="14"/>
      <c r="C169" s="14"/>
      <c r="D169" s="14"/>
      <c r="E169" s="14"/>
      <c r="F169" s="15"/>
      <c r="G169" s="16"/>
      <c r="H169" s="13"/>
      <c r="I169" s="16"/>
      <c r="J169" s="16"/>
      <c r="K169" s="17" t="str">
        <f>IF($A169="","",_EngineTrades!S169)</f>
        <v/>
      </c>
      <c r="L169" s="15"/>
      <c r="M169" s="16"/>
      <c r="N169" s="14"/>
      <c r="O169" s="18" t="str">
        <f t="shared" si="2"/>
        <v/>
      </c>
      <c r="P169" s="14"/>
      <c r="Q169" s="16"/>
      <c r="R169" s="16"/>
      <c r="S169" s="18" t="str">
        <f>IF($A169="","",_EngineTrades!V169)</f>
        <v/>
      </c>
      <c r="T169" t="str">
        <f>IF($A169="","",IFERROR(INDEX(Cycles!$R$9:$R$208,MATCH(_EngineTrades!AU169,_EngineCycles!$A$9:$A$208,0)),""))</f>
        <v/>
      </c>
      <c r="Y169" t="str">
        <f>IF(OR($A169="",$D169&lt;&gt;Overview!$P$2),"",COUNTIFS($D$9:$D$508,$D169,$A$9:$A$508,"&gt;"&amp;$A169)+COUNTIFS($D$9:$D$508,$D169,$A$9:$A$508,$A169)-COUNTIFS($D$9:$D169,$D169,$A$9:$A169,$A169)+1)</f>
        <v/>
      </c>
    </row>
    <row r="170" spans="1:25" ht="23.1" customHeight="1" x14ac:dyDescent="0.25">
      <c r="A170" s="19"/>
      <c r="B170" s="20"/>
      <c r="C170" s="20"/>
      <c r="D170" s="20"/>
      <c r="E170" s="20"/>
      <c r="F170" s="21"/>
      <c r="G170" s="22"/>
      <c r="H170" s="19"/>
      <c r="I170" s="22"/>
      <c r="J170" s="22"/>
      <c r="K170" s="23" t="str">
        <f>IF($A170="","",_EngineTrades!S170)</f>
        <v/>
      </c>
      <c r="L170" s="21"/>
      <c r="M170" s="22"/>
      <c r="N170" s="20"/>
      <c r="O170" s="24" t="str">
        <f t="shared" si="2"/>
        <v/>
      </c>
      <c r="P170" s="20"/>
      <c r="Q170" s="22"/>
      <c r="R170" s="22"/>
      <c r="S170" s="24" t="str">
        <f>IF($A170="","",_EngineTrades!V170)</f>
        <v/>
      </c>
      <c r="T170" t="str">
        <f>IF($A170="","",IFERROR(INDEX(Cycles!$R$9:$R$208,MATCH(_EngineTrades!AU170,_EngineCycles!$A$9:$A$208,0)),""))</f>
        <v/>
      </c>
      <c r="Y170" t="str">
        <f>IF(OR($A170="",$D170&lt;&gt;Overview!$P$2),"",COUNTIFS($D$9:$D$508,$D170,$A$9:$A$508,"&gt;"&amp;$A170)+COUNTIFS($D$9:$D$508,$D170,$A$9:$A$508,$A170)-COUNTIFS($D$9:$D170,$D170,$A$9:$A170,$A170)+1)</f>
        <v/>
      </c>
    </row>
    <row r="171" spans="1:25" ht="23.1" customHeight="1" x14ac:dyDescent="0.25">
      <c r="A171" s="13"/>
      <c r="B171" s="14"/>
      <c r="C171" s="14"/>
      <c r="D171" s="14"/>
      <c r="E171" s="14"/>
      <c r="F171" s="15"/>
      <c r="G171" s="16"/>
      <c r="H171" s="13"/>
      <c r="I171" s="16"/>
      <c r="J171" s="16"/>
      <c r="K171" s="17" t="str">
        <f>IF($A171="","",_EngineTrades!S171)</f>
        <v/>
      </c>
      <c r="L171" s="15"/>
      <c r="M171" s="16"/>
      <c r="N171" s="14"/>
      <c r="O171" s="18" t="str">
        <f t="shared" si="2"/>
        <v/>
      </c>
      <c r="P171" s="14"/>
      <c r="Q171" s="16"/>
      <c r="R171" s="16"/>
      <c r="S171" s="18" t="str">
        <f>IF($A171="","",_EngineTrades!V171)</f>
        <v/>
      </c>
      <c r="T171" t="str">
        <f>IF($A171="","",IFERROR(INDEX(Cycles!$R$9:$R$208,MATCH(_EngineTrades!AU171,_EngineCycles!$A$9:$A$208,0)),""))</f>
        <v/>
      </c>
      <c r="Y171" t="str">
        <f>IF(OR($A171="",$D171&lt;&gt;Overview!$P$2),"",COUNTIFS($D$9:$D$508,$D171,$A$9:$A$508,"&gt;"&amp;$A171)+COUNTIFS($D$9:$D$508,$D171,$A$9:$A$508,$A171)-COUNTIFS($D$9:$D171,$D171,$A$9:$A171,$A171)+1)</f>
        <v/>
      </c>
    </row>
    <row r="172" spans="1:25" ht="23.1" customHeight="1" x14ac:dyDescent="0.25">
      <c r="A172" s="19"/>
      <c r="B172" s="20"/>
      <c r="C172" s="20"/>
      <c r="D172" s="20"/>
      <c r="E172" s="20"/>
      <c r="F172" s="21"/>
      <c r="G172" s="22"/>
      <c r="H172" s="19"/>
      <c r="I172" s="22"/>
      <c r="J172" s="22"/>
      <c r="K172" s="23" t="str">
        <f>IF($A172="","",_EngineTrades!S172)</f>
        <v/>
      </c>
      <c r="L172" s="21"/>
      <c r="M172" s="22"/>
      <c r="N172" s="20"/>
      <c r="O172" s="24" t="str">
        <f t="shared" si="2"/>
        <v/>
      </c>
      <c r="P172" s="20"/>
      <c r="Q172" s="22"/>
      <c r="R172" s="22"/>
      <c r="S172" s="24" t="str">
        <f>IF($A172="","",_EngineTrades!V172)</f>
        <v/>
      </c>
      <c r="T172" t="str">
        <f>IF($A172="","",IFERROR(INDEX(Cycles!$R$9:$R$208,MATCH(_EngineTrades!AU172,_EngineCycles!$A$9:$A$208,0)),""))</f>
        <v/>
      </c>
      <c r="Y172" t="str">
        <f>IF(OR($A172="",$D172&lt;&gt;Overview!$P$2),"",COUNTIFS($D$9:$D$508,$D172,$A$9:$A$508,"&gt;"&amp;$A172)+COUNTIFS($D$9:$D$508,$D172,$A$9:$A$508,$A172)-COUNTIFS($D$9:$D172,$D172,$A$9:$A172,$A172)+1)</f>
        <v/>
      </c>
    </row>
    <row r="173" spans="1:25" ht="23.1" customHeight="1" x14ac:dyDescent="0.25">
      <c r="A173" s="13"/>
      <c r="B173" s="14"/>
      <c r="C173" s="14"/>
      <c r="D173" s="14"/>
      <c r="E173" s="14"/>
      <c r="F173" s="15"/>
      <c r="G173" s="16"/>
      <c r="H173" s="13"/>
      <c r="I173" s="16"/>
      <c r="J173" s="16"/>
      <c r="K173" s="17" t="str">
        <f>IF($A173="","",_EngineTrades!S173)</f>
        <v/>
      </c>
      <c r="L173" s="15"/>
      <c r="M173" s="16"/>
      <c r="N173" s="14"/>
      <c r="O173" s="18" t="str">
        <f t="shared" si="2"/>
        <v/>
      </c>
      <c r="P173" s="14"/>
      <c r="Q173" s="16"/>
      <c r="R173" s="16"/>
      <c r="S173" s="18" t="str">
        <f>IF($A173="","",_EngineTrades!V173)</f>
        <v/>
      </c>
      <c r="T173" t="str">
        <f>IF($A173="","",IFERROR(INDEX(Cycles!$R$9:$R$208,MATCH(_EngineTrades!AU173,_EngineCycles!$A$9:$A$208,0)),""))</f>
        <v/>
      </c>
      <c r="Y173" t="str">
        <f>IF(OR($A173="",$D173&lt;&gt;Overview!$P$2),"",COUNTIFS($D$9:$D$508,$D173,$A$9:$A$508,"&gt;"&amp;$A173)+COUNTIFS($D$9:$D$508,$D173,$A$9:$A$508,$A173)-COUNTIFS($D$9:$D173,$D173,$A$9:$A173,$A173)+1)</f>
        <v/>
      </c>
    </row>
    <row r="174" spans="1:25" ht="23.1" customHeight="1" x14ac:dyDescent="0.25">
      <c r="A174" s="19"/>
      <c r="B174" s="20"/>
      <c r="C174" s="20"/>
      <c r="D174" s="20"/>
      <c r="E174" s="20"/>
      <c r="F174" s="21"/>
      <c r="G174" s="22"/>
      <c r="H174" s="19"/>
      <c r="I174" s="22"/>
      <c r="J174" s="22"/>
      <c r="K174" s="23" t="str">
        <f>IF($A174="","",_EngineTrades!S174)</f>
        <v/>
      </c>
      <c r="L174" s="21"/>
      <c r="M174" s="22"/>
      <c r="N174" s="20"/>
      <c r="O174" s="24" t="str">
        <f t="shared" si="2"/>
        <v/>
      </c>
      <c r="P174" s="20"/>
      <c r="Q174" s="22"/>
      <c r="R174" s="22"/>
      <c r="S174" s="24" t="str">
        <f>IF($A174="","",_EngineTrades!V174)</f>
        <v/>
      </c>
      <c r="T174" t="str">
        <f>IF($A174="","",IFERROR(INDEX(Cycles!$R$9:$R$208,MATCH(_EngineTrades!AU174,_EngineCycles!$A$9:$A$208,0)),""))</f>
        <v/>
      </c>
      <c r="Y174" t="str">
        <f>IF(OR($A174="",$D174&lt;&gt;Overview!$P$2),"",COUNTIFS($D$9:$D$508,$D174,$A$9:$A$508,"&gt;"&amp;$A174)+COUNTIFS($D$9:$D$508,$D174,$A$9:$A$508,$A174)-COUNTIFS($D$9:$D174,$D174,$A$9:$A174,$A174)+1)</f>
        <v/>
      </c>
    </row>
    <row r="175" spans="1:25" ht="23.1" customHeight="1" x14ac:dyDescent="0.25">
      <c r="A175" s="13"/>
      <c r="B175" s="14"/>
      <c r="C175" s="14"/>
      <c r="D175" s="14"/>
      <c r="E175" s="14"/>
      <c r="F175" s="15"/>
      <c r="G175" s="16"/>
      <c r="H175" s="13"/>
      <c r="I175" s="16"/>
      <c r="J175" s="16"/>
      <c r="K175" s="17" t="str">
        <f>IF($A175="","",_EngineTrades!S175)</f>
        <v/>
      </c>
      <c r="L175" s="15"/>
      <c r="M175" s="16"/>
      <c r="N175" s="14"/>
      <c r="O175" s="18" t="str">
        <f t="shared" si="2"/>
        <v/>
      </c>
      <c r="P175" s="14"/>
      <c r="Q175" s="16"/>
      <c r="R175" s="16"/>
      <c r="S175" s="18" t="str">
        <f>IF($A175="","",_EngineTrades!V175)</f>
        <v/>
      </c>
      <c r="T175" t="str">
        <f>IF($A175="","",IFERROR(INDEX(Cycles!$R$9:$R$208,MATCH(_EngineTrades!AU175,_EngineCycles!$A$9:$A$208,0)),""))</f>
        <v/>
      </c>
      <c r="Y175" t="str">
        <f>IF(OR($A175="",$D175&lt;&gt;Overview!$P$2),"",COUNTIFS($D$9:$D$508,$D175,$A$9:$A$508,"&gt;"&amp;$A175)+COUNTIFS($D$9:$D$508,$D175,$A$9:$A$508,$A175)-COUNTIFS($D$9:$D175,$D175,$A$9:$A175,$A175)+1)</f>
        <v/>
      </c>
    </row>
    <row r="176" spans="1:25" ht="23.1" customHeight="1" x14ac:dyDescent="0.25">
      <c r="A176" s="19"/>
      <c r="B176" s="20"/>
      <c r="C176" s="20"/>
      <c r="D176" s="20"/>
      <c r="E176" s="20"/>
      <c r="F176" s="21"/>
      <c r="G176" s="22"/>
      <c r="H176" s="19"/>
      <c r="I176" s="22"/>
      <c r="J176" s="22"/>
      <c r="K176" s="23" t="str">
        <f>IF($A176="","",_EngineTrades!S176)</f>
        <v/>
      </c>
      <c r="L176" s="21"/>
      <c r="M176" s="22"/>
      <c r="N176" s="20"/>
      <c r="O176" s="24" t="str">
        <f t="shared" si="2"/>
        <v/>
      </c>
      <c r="P176" s="20"/>
      <c r="Q176" s="22"/>
      <c r="R176" s="22"/>
      <c r="S176" s="24" t="str">
        <f>IF($A176="","",_EngineTrades!V176)</f>
        <v/>
      </c>
      <c r="T176" t="str">
        <f>IF($A176="","",IFERROR(INDEX(Cycles!$R$9:$R$208,MATCH(_EngineTrades!AU176,_EngineCycles!$A$9:$A$208,0)),""))</f>
        <v/>
      </c>
      <c r="Y176" t="str">
        <f>IF(OR($A176="",$D176&lt;&gt;Overview!$P$2),"",COUNTIFS($D$9:$D$508,$D176,$A$9:$A$508,"&gt;"&amp;$A176)+COUNTIFS($D$9:$D$508,$D176,$A$9:$A$508,$A176)-COUNTIFS($D$9:$D176,$D176,$A$9:$A176,$A176)+1)</f>
        <v/>
      </c>
    </row>
    <row r="177" spans="1:25" ht="23.1" customHeight="1" x14ac:dyDescent="0.25">
      <c r="A177" s="13"/>
      <c r="B177" s="14"/>
      <c r="C177" s="14"/>
      <c r="D177" s="14"/>
      <c r="E177" s="14"/>
      <c r="F177" s="15"/>
      <c r="G177" s="16"/>
      <c r="H177" s="13"/>
      <c r="I177" s="16"/>
      <c r="J177" s="16"/>
      <c r="K177" s="17" t="str">
        <f>IF($A177="","",_EngineTrades!S177)</f>
        <v/>
      </c>
      <c r="L177" s="15"/>
      <c r="M177" s="16"/>
      <c r="N177" s="14"/>
      <c r="O177" s="18" t="str">
        <f t="shared" si="2"/>
        <v/>
      </c>
      <c r="P177" s="14"/>
      <c r="Q177" s="16"/>
      <c r="R177" s="16"/>
      <c r="S177" s="18" t="str">
        <f>IF($A177="","",_EngineTrades!V177)</f>
        <v/>
      </c>
      <c r="T177" t="str">
        <f>IF($A177="","",IFERROR(INDEX(Cycles!$R$9:$R$208,MATCH(_EngineTrades!AU177,_EngineCycles!$A$9:$A$208,0)),""))</f>
        <v/>
      </c>
      <c r="Y177" t="str">
        <f>IF(OR($A177="",$D177&lt;&gt;Overview!$P$2),"",COUNTIFS($D$9:$D$508,$D177,$A$9:$A$508,"&gt;"&amp;$A177)+COUNTIFS($D$9:$D$508,$D177,$A$9:$A$508,$A177)-COUNTIFS($D$9:$D177,$D177,$A$9:$A177,$A177)+1)</f>
        <v/>
      </c>
    </row>
    <row r="178" spans="1:25" ht="23.1" customHeight="1" x14ac:dyDescent="0.25">
      <c r="A178" s="19"/>
      <c r="B178" s="20"/>
      <c r="C178" s="20"/>
      <c r="D178" s="20"/>
      <c r="E178" s="20"/>
      <c r="F178" s="21"/>
      <c r="G178" s="22"/>
      <c r="H178" s="19"/>
      <c r="I178" s="22"/>
      <c r="J178" s="22"/>
      <c r="K178" s="23" t="str">
        <f>IF($A178="","",_EngineTrades!S178)</f>
        <v/>
      </c>
      <c r="L178" s="21"/>
      <c r="M178" s="22"/>
      <c r="N178" s="20"/>
      <c r="O178" s="24" t="str">
        <f t="shared" si="2"/>
        <v/>
      </c>
      <c r="P178" s="20"/>
      <c r="Q178" s="22"/>
      <c r="R178" s="22"/>
      <c r="S178" s="24" t="str">
        <f>IF($A178="","",_EngineTrades!V178)</f>
        <v/>
      </c>
      <c r="T178" t="str">
        <f>IF($A178="","",IFERROR(INDEX(Cycles!$R$9:$R$208,MATCH(_EngineTrades!AU178,_EngineCycles!$A$9:$A$208,0)),""))</f>
        <v/>
      </c>
      <c r="Y178" t="str">
        <f>IF(OR($A178="",$D178&lt;&gt;Overview!$P$2),"",COUNTIFS($D$9:$D$508,$D178,$A$9:$A$508,"&gt;"&amp;$A178)+COUNTIFS($D$9:$D$508,$D178,$A$9:$A$508,$A178)-COUNTIFS($D$9:$D178,$D178,$A$9:$A178,$A178)+1)</f>
        <v/>
      </c>
    </row>
    <row r="179" spans="1:25" ht="23.1" customHeight="1" x14ac:dyDescent="0.25">
      <c r="A179" s="13"/>
      <c r="B179" s="14"/>
      <c r="C179" s="14"/>
      <c r="D179" s="14"/>
      <c r="E179" s="14"/>
      <c r="F179" s="15"/>
      <c r="G179" s="16"/>
      <c r="H179" s="13"/>
      <c r="I179" s="16"/>
      <c r="J179" s="16"/>
      <c r="K179" s="17" t="str">
        <f>IF($A179="","",_EngineTrades!S179)</f>
        <v/>
      </c>
      <c r="L179" s="15"/>
      <c r="M179" s="16"/>
      <c r="N179" s="14"/>
      <c r="O179" s="18" t="str">
        <f t="shared" si="2"/>
        <v/>
      </c>
      <c r="P179" s="14"/>
      <c r="Q179" s="16"/>
      <c r="R179" s="16"/>
      <c r="S179" s="18" t="str">
        <f>IF($A179="","",_EngineTrades!V179)</f>
        <v/>
      </c>
      <c r="T179" t="str">
        <f>IF($A179="","",IFERROR(INDEX(Cycles!$R$9:$R$208,MATCH(_EngineTrades!AU179,_EngineCycles!$A$9:$A$208,0)),""))</f>
        <v/>
      </c>
      <c r="Y179" t="str">
        <f>IF(OR($A179="",$D179&lt;&gt;Overview!$P$2),"",COUNTIFS($D$9:$D$508,$D179,$A$9:$A$508,"&gt;"&amp;$A179)+COUNTIFS($D$9:$D$508,$D179,$A$9:$A$508,$A179)-COUNTIFS($D$9:$D179,$D179,$A$9:$A179,$A179)+1)</f>
        <v/>
      </c>
    </row>
    <row r="180" spans="1:25" ht="23.1" customHeight="1" x14ac:dyDescent="0.25">
      <c r="A180" s="19"/>
      <c r="B180" s="20"/>
      <c r="C180" s="20"/>
      <c r="D180" s="20"/>
      <c r="E180" s="20"/>
      <c r="F180" s="21"/>
      <c r="G180" s="22"/>
      <c r="H180" s="19"/>
      <c r="I180" s="22"/>
      <c r="J180" s="22"/>
      <c r="K180" s="23" t="str">
        <f>IF($A180="","",_EngineTrades!S180)</f>
        <v/>
      </c>
      <c r="L180" s="21"/>
      <c r="M180" s="22"/>
      <c r="N180" s="20"/>
      <c r="O180" s="24" t="str">
        <f t="shared" si="2"/>
        <v/>
      </c>
      <c r="P180" s="20"/>
      <c r="Q180" s="22"/>
      <c r="R180" s="22"/>
      <c r="S180" s="24" t="str">
        <f>IF($A180="","",_EngineTrades!V180)</f>
        <v/>
      </c>
      <c r="T180" t="str">
        <f>IF($A180="","",IFERROR(INDEX(Cycles!$R$9:$R$208,MATCH(_EngineTrades!AU180,_EngineCycles!$A$9:$A$208,0)),""))</f>
        <v/>
      </c>
      <c r="Y180" t="str">
        <f>IF(OR($A180="",$D180&lt;&gt;Overview!$P$2),"",COUNTIFS($D$9:$D$508,$D180,$A$9:$A$508,"&gt;"&amp;$A180)+COUNTIFS($D$9:$D$508,$D180,$A$9:$A$508,$A180)-COUNTIFS($D$9:$D180,$D180,$A$9:$A180,$A180)+1)</f>
        <v/>
      </c>
    </row>
    <row r="181" spans="1:25" ht="23.1" customHeight="1" x14ac:dyDescent="0.25">
      <c r="A181" s="13"/>
      <c r="B181" s="14"/>
      <c r="C181" s="14"/>
      <c r="D181" s="14"/>
      <c r="E181" s="14"/>
      <c r="F181" s="15"/>
      <c r="G181" s="16"/>
      <c r="H181" s="13"/>
      <c r="I181" s="16"/>
      <c r="J181" s="16"/>
      <c r="K181" s="17" t="str">
        <f>IF($A181="","",_EngineTrades!S181)</f>
        <v/>
      </c>
      <c r="L181" s="15"/>
      <c r="M181" s="16"/>
      <c r="N181" s="14"/>
      <c r="O181" s="18" t="str">
        <f t="shared" si="2"/>
        <v/>
      </c>
      <c r="P181" s="14"/>
      <c r="Q181" s="16"/>
      <c r="R181" s="16"/>
      <c r="S181" s="18" t="str">
        <f>IF($A181="","",_EngineTrades!V181)</f>
        <v/>
      </c>
      <c r="T181" t="str">
        <f>IF($A181="","",IFERROR(INDEX(Cycles!$R$9:$R$208,MATCH(_EngineTrades!AU181,_EngineCycles!$A$9:$A$208,0)),""))</f>
        <v/>
      </c>
      <c r="Y181" t="str">
        <f>IF(OR($A181="",$D181&lt;&gt;Overview!$P$2),"",COUNTIFS($D$9:$D$508,$D181,$A$9:$A$508,"&gt;"&amp;$A181)+COUNTIFS($D$9:$D$508,$D181,$A$9:$A$508,$A181)-COUNTIFS($D$9:$D181,$D181,$A$9:$A181,$A181)+1)</f>
        <v/>
      </c>
    </row>
    <row r="182" spans="1:25" ht="23.1" customHeight="1" x14ac:dyDescent="0.25">
      <c r="A182" s="19"/>
      <c r="B182" s="20"/>
      <c r="C182" s="20"/>
      <c r="D182" s="20"/>
      <c r="E182" s="20"/>
      <c r="F182" s="21"/>
      <c r="G182" s="22"/>
      <c r="H182" s="19"/>
      <c r="I182" s="22"/>
      <c r="J182" s="22"/>
      <c r="K182" s="23" t="str">
        <f>IF($A182="","",_EngineTrades!S182)</f>
        <v/>
      </c>
      <c r="L182" s="21"/>
      <c r="M182" s="22"/>
      <c r="N182" s="20"/>
      <c r="O182" s="24" t="str">
        <f t="shared" si="2"/>
        <v/>
      </c>
      <c r="P182" s="20"/>
      <c r="Q182" s="22"/>
      <c r="R182" s="22"/>
      <c r="S182" s="24" t="str">
        <f>IF($A182="","",_EngineTrades!V182)</f>
        <v/>
      </c>
      <c r="T182" t="str">
        <f>IF($A182="","",IFERROR(INDEX(Cycles!$R$9:$R$208,MATCH(_EngineTrades!AU182,_EngineCycles!$A$9:$A$208,0)),""))</f>
        <v/>
      </c>
      <c r="Y182" t="str">
        <f>IF(OR($A182="",$D182&lt;&gt;Overview!$P$2),"",COUNTIFS($D$9:$D$508,$D182,$A$9:$A$508,"&gt;"&amp;$A182)+COUNTIFS($D$9:$D$508,$D182,$A$9:$A$508,$A182)-COUNTIFS($D$9:$D182,$D182,$A$9:$A182,$A182)+1)</f>
        <v/>
      </c>
    </row>
    <row r="183" spans="1:25" ht="23.1" customHeight="1" x14ac:dyDescent="0.25">
      <c r="A183" s="13"/>
      <c r="B183" s="14"/>
      <c r="C183" s="14"/>
      <c r="D183" s="14"/>
      <c r="E183" s="14"/>
      <c r="F183" s="15"/>
      <c r="G183" s="16"/>
      <c r="H183" s="13"/>
      <c r="I183" s="16"/>
      <c r="J183" s="16"/>
      <c r="K183" s="17" t="str">
        <f>IF($A183="","",_EngineTrades!S183)</f>
        <v/>
      </c>
      <c r="L183" s="15"/>
      <c r="M183" s="16"/>
      <c r="N183" s="14"/>
      <c r="O183" s="18" t="str">
        <f t="shared" si="2"/>
        <v/>
      </c>
      <c r="P183" s="14"/>
      <c r="Q183" s="16"/>
      <c r="R183" s="16"/>
      <c r="S183" s="18" t="str">
        <f>IF($A183="","",_EngineTrades!V183)</f>
        <v/>
      </c>
      <c r="T183" t="str">
        <f>IF($A183="","",IFERROR(INDEX(Cycles!$R$9:$R$208,MATCH(_EngineTrades!AU183,_EngineCycles!$A$9:$A$208,0)),""))</f>
        <v/>
      </c>
      <c r="Y183" t="str">
        <f>IF(OR($A183="",$D183&lt;&gt;Overview!$P$2),"",COUNTIFS($D$9:$D$508,$D183,$A$9:$A$508,"&gt;"&amp;$A183)+COUNTIFS($D$9:$D$508,$D183,$A$9:$A$508,$A183)-COUNTIFS($D$9:$D183,$D183,$A$9:$A183,$A183)+1)</f>
        <v/>
      </c>
    </row>
    <row r="184" spans="1:25" ht="23.1" customHeight="1" x14ac:dyDescent="0.25">
      <c r="A184" s="19"/>
      <c r="B184" s="20"/>
      <c r="C184" s="20"/>
      <c r="D184" s="20"/>
      <c r="E184" s="20"/>
      <c r="F184" s="21"/>
      <c r="G184" s="22"/>
      <c r="H184" s="19"/>
      <c r="I184" s="22"/>
      <c r="J184" s="22"/>
      <c r="K184" s="23" t="str">
        <f>IF($A184="","",_EngineTrades!S184)</f>
        <v/>
      </c>
      <c r="L184" s="21"/>
      <c r="M184" s="22"/>
      <c r="N184" s="20"/>
      <c r="O184" s="24" t="str">
        <f t="shared" si="2"/>
        <v/>
      </c>
      <c r="P184" s="20"/>
      <c r="Q184" s="22"/>
      <c r="R184" s="22"/>
      <c r="S184" s="24" t="str">
        <f>IF($A184="","",_EngineTrades!V184)</f>
        <v/>
      </c>
      <c r="T184" t="str">
        <f>IF($A184="","",IFERROR(INDEX(Cycles!$R$9:$R$208,MATCH(_EngineTrades!AU184,_EngineCycles!$A$9:$A$208,0)),""))</f>
        <v/>
      </c>
      <c r="Y184" t="str">
        <f>IF(OR($A184="",$D184&lt;&gt;Overview!$P$2),"",COUNTIFS($D$9:$D$508,$D184,$A$9:$A$508,"&gt;"&amp;$A184)+COUNTIFS($D$9:$D$508,$D184,$A$9:$A$508,$A184)-COUNTIFS($D$9:$D184,$D184,$A$9:$A184,$A184)+1)</f>
        <v/>
      </c>
    </row>
    <row r="185" spans="1:25" ht="23.1" customHeight="1" x14ac:dyDescent="0.25">
      <c r="A185" s="13"/>
      <c r="B185" s="14"/>
      <c r="C185" s="14"/>
      <c r="D185" s="14"/>
      <c r="E185" s="14"/>
      <c r="F185" s="15"/>
      <c r="G185" s="16"/>
      <c r="H185" s="13"/>
      <c r="I185" s="16"/>
      <c r="J185" s="16"/>
      <c r="K185" s="17" t="str">
        <f>IF($A185="","",_EngineTrades!S185)</f>
        <v/>
      </c>
      <c r="L185" s="15"/>
      <c r="M185" s="16"/>
      <c r="N185" s="14"/>
      <c r="O185" s="18" t="str">
        <f t="shared" si="2"/>
        <v/>
      </c>
      <c r="P185" s="14"/>
      <c r="Q185" s="16"/>
      <c r="R185" s="16"/>
      <c r="S185" s="18" t="str">
        <f>IF($A185="","",_EngineTrades!V185)</f>
        <v/>
      </c>
      <c r="T185" t="str">
        <f>IF($A185="","",IFERROR(INDEX(Cycles!$R$9:$R$208,MATCH(_EngineTrades!AU185,_EngineCycles!$A$9:$A$208,0)),""))</f>
        <v/>
      </c>
      <c r="Y185" t="str">
        <f>IF(OR($A185="",$D185&lt;&gt;Overview!$P$2),"",COUNTIFS($D$9:$D$508,$D185,$A$9:$A$508,"&gt;"&amp;$A185)+COUNTIFS($D$9:$D$508,$D185,$A$9:$A$508,$A185)-COUNTIFS($D$9:$D185,$D185,$A$9:$A185,$A185)+1)</f>
        <v/>
      </c>
    </row>
    <row r="186" spans="1:25" ht="23.1" customHeight="1" x14ac:dyDescent="0.25">
      <c r="A186" s="19"/>
      <c r="B186" s="20"/>
      <c r="C186" s="20"/>
      <c r="D186" s="20"/>
      <c r="E186" s="20"/>
      <c r="F186" s="21"/>
      <c r="G186" s="22"/>
      <c r="H186" s="19"/>
      <c r="I186" s="22"/>
      <c r="J186" s="22"/>
      <c r="K186" s="23" t="str">
        <f>IF($A186="","",_EngineTrades!S186)</f>
        <v/>
      </c>
      <c r="L186" s="21"/>
      <c r="M186" s="22"/>
      <c r="N186" s="20"/>
      <c r="O186" s="24" t="str">
        <f t="shared" si="2"/>
        <v/>
      </c>
      <c r="P186" s="20"/>
      <c r="Q186" s="22"/>
      <c r="R186" s="22"/>
      <c r="S186" s="24" t="str">
        <f>IF($A186="","",_EngineTrades!V186)</f>
        <v/>
      </c>
      <c r="T186" t="str">
        <f>IF($A186="","",IFERROR(INDEX(Cycles!$R$9:$R$208,MATCH(_EngineTrades!AU186,_EngineCycles!$A$9:$A$208,0)),""))</f>
        <v/>
      </c>
      <c r="Y186" t="str">
        <f>IF(OR($A186="",$D186&lt;&gt;Overview!$P$2),"",COUNTIFS($D$9:$D$508,$D186,$A$9:$A$508,"&gt;"&amp;$A186)+COUNTIFS($D$9:$D$508,$D186,$A$9:$A$508,$A186)-COUNTIFS($D$9:$D186,$D186,$A$9:$A186,$A186)+1)</f>
        <v/>
      </c>
    </row>
    <row r="187" spans="1:25" ht="23.1" customHeight="1" x14ac:dyDescent="0.25">
      <c r="A187" s="13"/>
      <c r="B187" s="14"/>
      <c r="C187" s="14"/>
      <c r="D187" s="14"/>
      <c r="E187" s="14"/>
      <c r="F187" s="15"/>
      <c r="G187" s="16"/>
      <c r="H187" s="13"/>
      <c r="I187" s="16"/>
      <c r="J187" s="16"/>
      <c r="K187" s="17" t="str">
        <f>IF($A187="","",_EngineTrades!S187)</f>
        <v/>
      </c>
      <c r="L187" s="15"/>
      <c r="M187" s="16"/>
      <c r="N187" s="14"/>
      <c r="O187" s="18" t="str">
        <f t="shared" si="2"/>
        <v/>
      </c>
      <c r="P187" s="14"/>
      <c r="Q187" s="16"/>
      <c r="R187" s="16"/>
      <c r="S187" s="18" t="str">
        <f>IF($A187="","",_EngineTrades!V187)</f>
        <v/>
      </c>
      <c r="T187" t="str">
        <f>IF($A187="","",IFERROR(INDEX(Cycles!$R$9:$R$208,MATCH(_EngineTrades!AU187,_EngineCycles!$A$9:$A$208,0)),""))</f>
        <v/>
      </c>
      <c r="Y187" t="str">
        <f>IF(OR($A187="",$D187&lt;&gt;Overview!$P$2),"",COUNTIFS($D$9:$D$508,$D187,$A$9:$A$508,"&gt;"&amp;$A187)+COUNTIFS($D$9:$D$508,$D187,$A$9:$A$508,$A187)-COUNTIFS($D$9:$D187,$D187,$A$9:$A187,$A187)+1)</f>
        <v/>
      </c>
    </row>
    <row r="188" spans="1:25" ht="23.1" customHeight="1" x14ac:dyDescent="0.25">
      <c r="A188" s="19"/>
      <c r="B188" s="20"/>
      <c r="C188" s="20"/>
      <c r="D188" s="20"/>
      <c r="E188" s="20"/>
      <c r="F188" s="21"/>
      <c r="G188" s="22"/>
      <c r="H188" s="19"/>
      <c r="I188" s="22"/>
      <c r="J188" s="22"/>
      <c r="K188" s="23" t="str">
        <f>IF($A188="","",_EngineTrades!S188)</f>
        <v/>
      </c>
      <c r="L188" s="21"/>
      <c r="M188" s="22"/>
      <c r="N188" s="20"/>
      <c r="O188" s="24" t="str">
        <f t="shared" si="2"/>
        <v/>
      </c>
      <c r="P188" s="20"/>
      <c r="Q188" s="22"/>
      <c r="R188" s="22"/>
      <c r="S188" s="24" t="str">
        <f>IF($A188="","",_EngineTrades!V188)</f>
        <v/>
      </c>
      <c r="T188" t="str">
        <f>IF($A188="","",IFERROR(INDEX(Cycles!$R$9:$R$208,MATCH(_EngineTrades!AU188,_EngineCycles!$A$9:$A$208,0)),""))</f>
        <v/>
      </c>
      <c r="Y188" t="str">
        <f>IF(OR($A188="",$D188&lt;&gt;Overview!$P$2),"",COUNTIFS($D$9:$D$508,$D188,$A$9:$A$508,"&gt;"&amp;$A188)+COUNTIFS($D$9:$D$508,$D188,$A$9:$A$508,$A188)-COUNTIFS($D$9:$D188,$D188,$A$9:$A188,$A188)+1)</f>
        <v/>
      </c>
    </row>
    <row r="189" spans="1:25" ht="23.1" customHeight="1" x14ac:dyDescent="0.25">
      <c r="A189" s="13"/>
      <c r="B189" s="14"/>
      <c r="C189" s="14"/>
      <c r="D189" s="14"/>
      <c r="E189" s="14"/>
      <c r="F189" s="15"/>
      <c r="G189" s="16"/>
      <c r="H189" s="13"/>
      <c r="I189" s="16"/>
      <c r="J189" s="16"/>
      <c r="K189" s="17" t="str">
        <f>IF($A189="","",_EngineTrades!S189)</f>
        <v/>
      </c>
      <c r="L189" s="15"/>
      <c r="M189" s="16"/>
      <c r="N189" s="14"/>
      <c r="O189" s="18" t="str">
        <f t="shared" si="2"/>
        <v/>
      </c>
      <c r="P189" s="14"/>
      <c r="Q189" s="16"/>
      <c r="R189" s="16"/>
      <c r="S189" s="18" t="str">
        <f>IF($A189="","",_EngineTrades!V189)</f>
        <v/>
      </c>
      <c r="T189" t="str">
        <f>IF($A189="","",IFERROR(INDEX(Cycles!$R$9:$R$208,MATCH(_EngineTrades!AU189,_EngineCycles!$A$9:$A$208,0)),""))</f>
        <v/>
      </c>
      <c r="Y189" t="str">
        <f>IF(OR($A189="",$D189&lt;&gt;Overview!$P$2),"",COUNTIFS($D$9:$D$508,$D189,$A$9:$A$508,"&gt;"&amp;$A189)+COUNTIFS($D$9:$D$508,$D189,$A$9:$A$508,$A189)-COUNTIFS($D$9:$D189,$D189,$A$9:$A189,$A189)+1)</f>
        <v/>
      </c>
    </row>
    <row r="190" spans="1:25" ht="23.1" customHeight="1" x14ac:dyDescent="0.25">
      <c r="A190" s="19"/>
      <c r="B190" s="20"/>
      <c r="C190" s="20"/>
      <c r="D190" s="20"/>
      <c r="E190" s="20"/>
      <c r="F190" s="21"/>
      <c r="G190" s="22"/>
      <c r="H190" s="19"/>
      <c r="I190" s="22"/>
      <c r="J190" s="22"/>
      <c r="K190" s="23" t="str">
        <f>IF($A190="","",_EngineTrades!S190)</f>
        <v/>
      </c>
      <c r="L190" s="21"/>
      <c r="M190" s="22"/>
      <c r="N190" s="20"/>
      <c r="O190" s="24" t="str">
        <f t="shared" si="2"/>
        <v/>
      </c>
      <c r="P190" s="20"/>
      <c r="Q190" s="22"/>
      <c r="R190" s="22"/>
      <c r="S190" s="24" t="str">
        <f>IF($A190="","",_EngineTrades!V190)</f>
        <v/>
      </c>
      <c r="T190" t="str">
        <f>IF($A190="","",IFERROR(INDEX(Cycles!$R$9:$R$208,MATCH(_EngineTrades!AU190,_EngineCycles!$A$9:$A$208,0)),""))</f>
        <v/>
      </c>
      <c r="Y190" t="str">
        <f>IF(OR($A190="",$D190&lt;&gt;Overview!$P$2),"",COUNTIFS($D$9:$D$508,$D190,$A$9:$A$508,"&gt;"&amp;$A190)+COUNTIFS($D$9:$D$508,$D190,$A$9:$A$508,$A190)-COUNTIFS($D$9:$D190,$D190,$A$9:$A190,$A190)+1)</f>
        <v/>
      </c>
    </row>
    <row r="191" spans="1:25" ht="23.1" customHeight="1" x14ac:dyDescent="0.25">
      <c r="A191" s="13"/>
      <c r="B191" s="14"/>
      <c r="C191" s="14"/>
      <c r="D191" s="14"/>
      <c r="E191" s="14"/>
      <c r="F191" s="15"/>
      <c r="G191" s="16"/>
      <c r="H191" s="13"/>
      <c r="I191" s="16"/>
      <c r="J191" s="16"/>
      <c r="K191" s="17" t="str">
        <f>IF($A191="","",_EngineTrades!S191)</f>
        <v/>
      </c>
      <c r="L191" s="15"/>
      <c r="M191" s="16"/>
      <c r="N191" s="14"/>
      <c r="O191" s="18" t="str">
        <f t="shared" si="2"/>
        <v/>
      </c>
      <c r="P191" s="14"/>
      <c r="Q191" s="16"/>
      <c r="R191" s="16"/>
      <c r="S191" s="18" t="str">
        <f>IF($A191="","",_EngineTrades!V191)</f>
        <v/>
      </c>
      <c r="T191" t="str">
        <f>IF($A191="","",IFERROR(INDEX(Cycles!$R$9:$R$208,MATCH(_EngineTrades!AU191,_EngineCycles!$A$9:$A$208,0)),""))</f>
        <v/>
      </c>
      <c r="Y191" t="str">
        <f>IF(OR($A191="",$D191&lt;&gt;Overview!$P$2),"",COUNTIFS($D$9:$D$508,$D191,$A$9:$A$508,"&gt;"&amp;$A191)+COUNTIFS($D$9:$D$508,$D191,$A$9:$A$508,$A191)-COUNTIFS($D$9:$D191,$D191,$A$9:$A191,$A191)+1)</f>
        <v/>
      </c>
    </row>
    <row r="192" spans="1:25" ht="23.1" customHeight="1" x14ac:dyDescent="0.25">
      <c r="A192" s="19"/>
      <c r="B192" s="20"/>
      <c r="C192" s="20"/>
      <c r="D192" s="20"/>
      <c r="E192" s="20"/>
      <c r="F192" s="21"/>
      <c r="G192" s="22"/>
      <c r="H192" s="19"/>
      <c r="I192" s="22"/>
      <c r="J192" s="22"/>
      <c r="K192" s="23" t="str">
        <f>IF($A192="","",_EngineTrades!S192)</f>
        <v/>
      </c>
      <c r="L192" s="21"/>
      <c r="M192" s="22"/>
      <c r="N192" s="20"/>
      <c r="O192" s="24" t="str">
        <f t="shared" si="2"/>
        <v/>
      </c>
      <c r="P192" s="20"/>
      <c r="Q192" s="22"/>
      <c r="R192" s="22"/>
      <c r="S192" s="24" t="str">
        <f>IF($A192="","",_EngineTrades!V192)</f>
        <v/>
      </c>
      <c r="T192" t="str">
        <f>IF($A192="","",IFERROR(INDEX(Cycles!$R$9:$R$208,MATCH(_EngineTrades!AU192,_EngineCycles!$A$9:$A$208,0)),""))</f>
        <v/>
      </c>
      <c r="Y192" t="str">
        <f>IF(OR($A192="",$D192&lt;&gt;Overview!$P$2),"",COUNTIFS($D$9:$D$508,$D192,$A$9:$A$508,"&gt;"&amp;$A192)+COUNTIFS($D$9:$D$508,$D192,$A$9:$A$508,$A192)-COUNTIFS($D$9:$D192,$D192,$A$9:$A192,$A192)+1)</f>
        <v/>
      </c>
    </row>
    <row r="193" spans="1:25" ht="23.1" customHeight="1" x14ac:dyDescent="0.25">
      <c r="A193" s="13"/>
      <c r="B193" s="14"/>
      <c r="C193" s="14"/>
      <c r="D193" s="14"/>
      <c r="E193" s="14"/>
      <c r="F193" s="15"/>
      <c r="G193" s="16"/>
      <c r="H193" s="13"/>
      <c r="I193" s="16"/>
      <c r="J193" s="16"/>
      <c r="K193" s="17" t="str">
        <f>IF($A193="","",_EngineTrades!S193)</f>
        <v/>
      </c>
      <c r="L193" s="15"/>
      <c r="M193" s="16"/>
      <c r="N193" s="14"/>
      <c r="O193" s="18" t="str">
        <f t="shared" si="2"/>
        <v/>
      </c>
      <c r="P193" s="14"/>
      <c r="Q193" s="16"/>
      <c r="R193" s="16"/>
      <c r="S193" s="18" t="str">
        <f>IF($A193="","",_EngineTrades!V193)</f>
        <v/>
      </c>
      <c r="T193" t="str">
        <f>IF($A193="","",IFERROR(INDEX(Cycles!$R$9:$R$208,MATCH(_EngineTrades!AU193,_EngineCycles!$A$9:$A$208,0)),""))</f>
        <v/>
      </c>
      <c r="Y193" t="str">
        <f>IF(OR($A193="",$D193&lt;&gt;Overview!$P$2),"",COUNTIFS($D$9:$D$508,$D193,$A$9:$A$508,"&gt;"&amp;$A193)+COUNTIFS($D$9:$D$508,$D193,$A$9:$A$508,$A193)-COUNTIFS($D$9:$D193,$D193,$A$9:$A193,$A193)+1)</f>
        <v/>
      </c>
    </row>
    <row r="194" spans="1:25" ht="23.1" customHeight="1" x14ac:dyDescent="0.25">
      <c r="A194" s="19"/>
      <c r="B194" s="20"/>
      <c r="C194" s="20"/>
      <c r="D194" s="20"/>
      <c r="E194" s="20"/>
      <c r="F194" s="21"/>
      <c r="G194" s="22"/>
      <c r="H194" s="19"/>
      <c r="I194" s="22"/>
      <c r="J194" s="22"/>
      <c r="K194" s="23" t="str">
        <f>IF($A194="","",_EngineTrades!S194)</f>
        <v/>
      </c>
      <c r="L194" s="21"/>
      <c r="M194" s="22"/>
      <c r="N194" s="20"/>
      <c r="O194" s="24" t="str">
        <f t="shared" si="2"/>
        <v/>
      </c>
      <c r="P194" s="20"/>
      <c r="Q194" s="22"/>
      <c r="R194" s="22"/>
      <c r="S194" s="24" t="str">
        <f>IF($A194="","",_EngineTrades!V194)</f>
        <v/>
      </c>
      <c r="T194" t="str">
        <f>IF($A194="","",IFERROR(INDEX(Cycles!$R$9:$R$208,MATCH(_EngineTrades!AU194,_EngineCycles!$A$9:$A$208,0)),""))</f>
        <v/>
      </c>
      <c r="Y194" t="str">
        <f>IF(OR($A194="",$D194&lt;&gt;Overview!$P$2),"",COUNTIFS($D$9:$D$508,$D194,$A$9:$A$508,"&gt;"&amp;$A194)+COUNTIFS($D$9:$D$508,$D194,$A$9:$A$508,$A194)-COUNTIFS($D$9:$D194,$D194,$A$9:$A194,$A194)+1)</f>
        <v/>
      </c>
    </row>
    <row r="195" spans="1:25" ht="23.1" customHeight="1" x14ac:dyDescent="0.25">
      <c r="A195" s="13"/>
      <c r="B195" s="14"/>
      <c r="C195" s="14"/>
      <c r="D195" s="14"/>
      <c r="E195" s="14"/>
      <c r="F195" s="15"/>
      <c r="G195" s="16"/>
      <c r="H195" s="13"/>
      <c r="I195" s="16"/>
      <c r="J195" s="16"/>
      <c r="K195" s="17" t="str">
        <f>IF($A195="","",_EngineTrades!S195)</f>
        <v/>
      </c>
      <c r="L195" s="15"/>
      <c r="M195" s="16"/>
      <c r="N195" s="14"/>
      <c r="O195" s="18" t="str">
        <f t="shared" si="2"/>
        <v/>
      </c>
      <c r="P195" s="14"/>
      <c r="Q195" s="16"/>
      <c r="R195" s="16"/>
      <c r="S195" s="18" t="str">
        <f>IF($A195="","",_EngineTrades!V195)</f>
        <v/>
      </c>
      <c r="T195" t="str">
        <f>IF($A195="","",IFERROR(INDEX(Cycles!$R$9:$R$208,MATCH(_EngineTrades!AU195,_EngineCycles!$A$9:$A$208,0)),""))</f>
        <v/>
      </c>
      <c r="Y195" t="str">
        <f>IF(OR($A195="",$D195&lt;&gt;Overview!$P$2),"",COUNTIFS($D$9:$D$508,$D195,$A$9:$A$508,"&gt;"&amp;$A195)+COUNTIFS($D$9:$D$508,$D195,$A$9:$A$508,$A195)-COUNTIFS($D$9:$D195,$D195,$A$9:$A195,$A195)+1)</f>
        <v/>
      </c>
    </row>
    <row r="196" spans="1:25" ht="23.1" customHeight="1" x14ac:dyDescent="0.25">
      <c r="A196" s="19"/>
      <c r="B196" s="20"/>
      <c r="C196" s="20"/>
      <c r="D196" s="20"/>
      <c r="E196" s="20"/>
      <c r="F196" s="21"/>
      <c r="G196" s="22"/>
      <c r="H196" s="19"/>
      <c r="I196" s="22"/>
      <c r="J196" s="22"/>
      <c r="K196" s="23" t="str">
        <f>IF($A196="","",_EngineTrades!S196)</f>
        <v/>
      </c>
      <c r="L196" s="21"/>
      <c r="M196" s="22"/>
      <c r="N196" s="20"/>
      <c r="O196" s="24" t="str">
        <f t="shared" si="2"/>
        <v/>
      </c>
      <c r="P196" s="20"/>
      <c r="Q196" s="22"/>
      <c r="R196" s="22"/>
      <c r="S196" s="24" t="str">
        <f>IF($A196="","",_EngineTrades!V196)</f>
        <v/>
      </c>
      <c r="T196" t="str">
        <f>IF($A196="","",IFERROR(INDEX(Cycles!$R$9:$R$208,MATCH(_EngineTrades!AU196,_EngineCycles!$A$9:$A$208,0)),""))</f>
        <v/>
      </c>
      <c r="Y196" t="str">
        <f>IF(OR($A196="",$D196&lt;&gt;Overview!$P$2),"",COUNTIFS($D$9:$D$508,$D196,$A$9:$A$508,"&gt;"&amp;$A196)+COUNTIFS($D$9:$D$508,$D196,$A$9:$A$508,$A196)-COUNTIFS($D$9:$D196,$D196,$A$9:$A196,$A196)+1)</f>
        <v/>
      </c>
    </row>
    <row r="197" spans="1:25" ht="23.1" customHeight="1" x14ac:dyDescent="0.25">
      <c r="A197" s="13"/>
      <c r="B197" s="14"/>
      <c r="C197" s="14"/>
      <c r="D197" s="14"/>
      <c r="E197" s="14"/>
      <c r="F197" s="15"/>
      <c r="G197" s="16"/>
      <c r="H197" s="13"/>
      <c r="I197" s="16"/>
      <c r="J197" s="16"/>
      <c r="K197" s="17" t="str">
        <f>IF($A197="","",_EngineTrades!S197)</f>
        <v/>
      </c>
      <c r="L197" s="15"/>
      <c r="M197" s="16"/>
      <c r="N197" s="14"/>
      <c r="O197" s="18" t="str">
        <f t="shared" si="2"/>
        <v/>
      </c>
      <c r="P197" s="14"/>
      <c r="Q197" s="16"/>
      <c r="R197" s="16"/>
      <c r="S197" s="18" t="str">
        <f>IF($A197="","",_EngineTrades!V197)</f>
        <v/>
      </c>
      <c r="T197" t="str">
        <f>IF($A197="","",IFERROR(INDEX(Cycles!$R$9:$R$208,MATCH(_EngineTrades!AU197,_EngineCycles!$A$9:$A$208,0)),""))</f>
        <v/>
      </c>
      <c r="Y197" t="str">
        <f>IF(OR($A197="",$D197&lt;&gt;Overview!$P$2),"",COUNTIFS($D$9:$D$508,$D197,$A$9:$A$508,"&gt;"&amp;$A197)+COUNTIFS($D$9:$D$508,$D197,$A$9:$A$508,$A197)-COUNTIFS($D$9:$D197,$D197,$A$9:$A197,$A197)+1)</f>
        <v/>
      </c>
    </row>
    <row r="198" spans="1:25" ht="23.1" customHeight="1" x14ac:dyDescent="0.25">
      <c r="A198" s="19"/>
      <c r="B198" s="20"/>
      <c r="C198" s="20"/>
      <c r="D198" s="20"/>
      <c r="E198" s="20"/>
      <c r="F198" s="21"/>
      <c r="G198" s="22"/>
      <c r="H198" s="19"/>
      <c r="I198" s="22"/>
      <c r="J198" s="22"/>
      <c r="K198" s="23" t="str">
        <f>IF($A198="","",_EngineTrades!S198)</f>
        <v/>
      </c>
      <c r="L198" s="21"/>
      <c r="M198" s="22"/>
      <c r="N198" s="20"/>
      <c r="O198" s="24" t="str">
        <f t="shared" si="2"/>
        <v/>
      </c>
      <c r="P198" s="20"/>
      <c r="Q198" s="22"/>
      <c r="R198" s="22"/>
      <c r="S198" s="24" t="str">
        <f>IF($A198="","",_EngineTrades!V198)</f>
        <v/>
      </c>
      <c r="T198" t="str">
        <f>IF($A198="","",IFERROR(INDEX(Cycles!$R$9:$R$208,MATCH(_EngineTrades!AU198,_EngineCycles!$A$9:$A$208,0)),""))</f>
        <v/>
      </c>
      <c r="Y198" t="str">
        <f>IF(OR($A198="",$D198&lt;&gt;Overview!$P$2),"",COUNTIFS($D$9:$D$508,$D198,$A$9:$A$508,"&gt;"&amp;$A198)+COUNTIFS($D$9:$D$508,$D198,$A$9:$A$508,$A198)-COUNTIFS($D$9:$D198,$D198,$A$9:$A198,$A198)+1)</f>
        <v/>
      </c>
    </row>
    <row r="199" spans="1:25" ht="23.1" customHeight="1" x14ac:dyDescent="0.25">
      <c r="A199" s="13"/>
      <c r="B199" s="14"/>
      <c r="C199" s="14"/>
      <c r="D199" s="14"/>
      <c r="E199" s="14"/>
      <c r="F199" s="15"/>
      <c r="G199" s="16"/>
      <c r="H199" s="13"/>
      <c r="I199" s="16"/>
      <c r="J199" s="16"/>
      <c r="K199" s="17" t="str">
        <f>IF($A199="","",_EngineTrades!S199)</f>
        <v/>
      </c>
      <c r="L199" s="15"/>
      <c r="M199" s="16"/>
      <c r="N199" s="14"/>
      <c r="O199" s="18" t="str">
        <f t="shared" si="2"/>
        <v/>
      </c>
      <c r="P199" s="14"/>
      <c r="Q199" s="16"/>
      <c r="R199" s="16"/>
      <c r="S199" s="18" t="str">
        <f>IF($A199="","",_EngineTrades!V199)</f>
        <v/>
      </c>
      <c r="T199" t="str">
        <f>IF($A199="","",IFERROR(INDEX(Cycles!$R$9:$R$208,MATCH(_EngineTrades!AU199,_EngineCycles!$A$9:$A$208,0)),""))</f>
        <v/>
      </c>
      <c r="Y199" t="str">
        <f>IF(OR($A199="",$D199&lt;&gt;Overview!$P$2),"",COUNTIFS($D$9:$D$508,$D199,$A$9:$A$508,"&gt;"&amp;$A199)+COUNTIFS($D$9:$D$508,$D199,$A$9:$A$508,$A199)-COUNTIFS($D$9:$D199,$D199,$A$9:$A199,$A199)+1)</f>
        <v/>
      </c>
    </row>
    <row r="200" spans="1:25" ht="23.1" customHeight="1" x14ac:dyDescent="0.25">
      <c r="A200" s="19"/>
      <c r="B200" s="20"/>
      <c r="C200" s="20"/>
      <c r="D200" s="20"/>
      <c r="E200" s="20"/>
      <c r="F200" s="21"/>
      <c r="G200" s="22"/>
      <c r="H200" s="19"/>
      <c r="I200" s="22"/>
      <c r="J200" s="22"/>
      <c r="K200" s="23" t="str">
        <f>IF($A200="","",_EngineTrades!S200)</f>
        <v/>
      </c>
      <c r="L200" s="21"/>
      <c r="M200" s="22"/>
      <c r="N200" s="20"/>
      <c r="O200" s="24" t="str">
        <f t="shared" si="2"/>
        <v/>
      </c>
      <c r="P200" s="20"/>
      <c r="Q200" s="22"/>
      <c r="R200" s="22"/>
      <c r="S200" s="24" t="str">
        <f>IF($A200="","",_EngineTrades!V200)</f>
        <v/>
      </c>
      <c r="T200" t="str">
        <f>IF($A200="","",IFERROR(INDEX(Cycles!$R$9:$R$208,MATCH(_EngineTrades!AU200,_EngineCycles!$A$9:$A$208,0)),""))</f>
        <v/>
      </c>
      <c r="Y200" t="str">
        <f>IF(OR($A200="",$D200&lt;&gt;Overview!$P$2),"",COUNTIFS($D$9:$D$508,$D200,$A$9:$A$508,"&gt;"&amp;$A200)+COUNTIFS($D$9:$D$508,$D200,$A$9:$A$508,$A200)-COUNTIFS($D$9:$D200,$D200,$A$9:$A200,$A200)+1)</f>
        <v/>
      </c>
    </row>
    <row r="201" spans="1:25" ht="23.1" customHeight="1" x14ac:dyDescent="0.25">
      <c r="A201" s="13"/>
      <c r="B201" s="14"/>
      <c r="C201" s="14"/>
      <c r="D201" s="14"/>
      <c r="E201" s="14"/>
      <c r="F201" s="15"/>
      <c r="G201" s="16"/>
      <c r="H201" s="13"/>
      <c r="I201" s="16"/>
      <c r="J201" s="16"/>
      <c r="K201" s="17" t="str">
        <f>IF($A201="","",_EngineTrades!S201)</f>
        <v/>
      </c>
      <c r="L201" s="15"/>
      <c r="M201" s="16"/>
      <c r="N201" s="14"/>
      <c r="O201" s="18" t="str">
        <f t="shared" ref="O201:O264" si="3">IF(OR($A201="",$B201=""),"","E"&amp;TEXT(ROW()-8,"0000"))</f>
        <v/>
      </c>
      <c r="P201" s="14"/>
      <c r="Q201" s="16"/>
      <c r="R201" s="16"/>
      <c r="S201" s="18" t="str">
        <f>IF($A201="","",_EngineTrades!V201)</f>
        <v/>
      </c>
      <c r="T201" t="str">
        <f>IF($A201="","",IFERROR(INDEX(Cycles!$R$9:$R$208,MATCH(_EngineTrades!AU201,_EngineCycles!$A$9:$A$208,0)),""))</f>
        <v/>
      </c>
      <c r="Y201" t="str">
        <f>IF(OR($A201="",$D201&lt;&gt;Overview!$P$2),"",COUNTIFS($D$9:$D$508,$D201,$A$9:$A$508,"&gt;"&amp;$A201)+COUNTIFS($D$9:$D$508,$D201,$A$9:$A$508,$A201)-COUNTIFS($D$9:$D201,$D201,$A$9:$A201,$A201)+1)</f>
        <v/>
      </c>
    </row>
    <row r="202" spans="1:25" ht="23.1" customHeight="1" x14ac:dyDescent="0.25">
      <c r="A202" s="19"/>
      <c r="B202" s="20"/>
      <c r="C202" s="20"/>
      <c r="D202" s="20"/>
      <c r="E202" s="20"/>
      <c r="F202" s="21"/>
      <c r="G202" s="22"/>
      <c r="H202" s="19"/>
      <c r="I202" s="22"/>
      <c r="J202" s="22"/>
      <c r="K202" s="23" t="str">
        <f>IF($A202="","",_EngineTrades!S202)</f>
        <v/>
      </c>
      <c r="L202" s="21"/>
      <c r="M202" s="22"/>
      <c r="N202" s="20"/>
      <c r="O202" s="24" t="str">
        <f t="shared" si="3"/>
        <v/>
      </c>
      <c r="P202" s="20"/>
      <c r="Q202" s="22"/>
      <c r="R202" s="22"/>
      <c r="S202" s="24" t="str">
        <f>IF($A202="","",_EngineTrades!V202)</f>
        <v/>
      </c>
      <c r="T202" t="str">
        <f>IF($A202="","",IFERROR(INDEX(Cycles!$R$9:$R$208,MATCH(_EngineTrades!AU202,_EngineCycles!$A$9:$A$208,0)),""))</f>
        <v/>
      </c>
      <c r="Y202" t="str">
        <f>IF(OR($A202="",$D202&lt;&gt;Overview!$P$2),"",COUNTIFS($D$9:$D$508,$D202,$A$9:$A$508,"&gt;"&amp;$A202)+COUNTIFS($D$9:$D$508,$D202,$A$9:$A$508,$A202)-COUNTIFS($D$9:$D202,$D202,$A$9:$A202,$A202)+1)</f>
        <v/>
      </c>
    </row>
    <row r="203" spans="1:25" ht="23.1" customHeight="1" x14ac:dyDescent="0.25">
      <c r="A203" s="13"/>
      <c r="B203" s="14"/>
      <c r="C203" s="14"/>
      <c r="D203" s="14"/>
      <c r="E203" s="14"/>
      <c r="F203" s="15"/>
      <c r="G203" s="16"/>
      <c r="H203" s="13"/>
      <c r="I203" s="16"/>
      <c r="J203" s="16"/>
      <c r="K203" s="17" t="str">
        <f>IF($A203="","",_EngineTrades!S203)</f>
        <v/>
      </c>
      <c r="L203" s="15"/>
      <c r="M203" s="16"/>
      <c r="N203" s="14"/>
      <c r="O203" s="18" t="str">
        <f t="shared" si="3"/>
        <v/>
      </c>
      <c r="P203" s="14"/>
      <c r="Q203" s="16"/>
      <c r="R203" s="16"/>
      <c r="S203" s="18" t="str">
        <f>IF($A203="","",_EngineTrades!V203)</f>
        <v/>
      </c>
      <c r="T203" t="str">
        <f>IF($A203="","",IFERROR(INDEX(Cycles!$R$9:$R$208,MATCH(_EngineTrades!AU203,_EngineCycles!$A$9:$A$208,0)),""))</f>
        <v/>
      </c>
      <c r="Y203" t="str">
        <f>IF(OR($A203="",$D203&lt;&gt;Overview!$P$2),"",COUNTIFS($D$9:$D$508,$D203,$A$9:$A$508,"&gt;"&amp;$A203)+COUNTIFS($D$9:$D$508,$D203,$A$9:$A$508,$A203)-COUNTIFS($D$9:$D203,$D203,$A$9:$A203,$A203)+1)</f>
        <v/>
      </c>
    </row>
    <row r="204" spans="1:25" ht="23.1" customHeight="1" x14ac:dyDescent="0.25">
      <c r="A204" s="19"/>
      <c r="B204" s="20"/>
      <c r="C204" s="20"/>
      <c r="D204" s="20"/>
      <c r="E204" s="20"/>
      <c r="F204" s="21"/>
      <c r="G204" s="22"/>
      <c r="H204" s="19"/>
      <c r="I204" s="22"/>
      <c r="J204" s="22"/>
      <c r="K204" s="23" t="str">
        <f>IF($A204="","",_EngineTrades!S204)</f>
        <v/>
      </c>
      <c r="L204" s="21"/>
      <c r="M204" s="22"/>
      <c r="N204" s="20"/>
      <c r="O204" s="24" t="str">
        <f t="shared" si="3"/>
        <v/>
      </c>
      <c r="P204" s="20"/>
      <c r="Q204" s="22"/>
      <c r="R204" s="22"/>
      <c r="S204" s="24" t="str">
        <f>IF($A204="","",_EngineTrades!V204)</f>
        <v/>
      </c>
      <c r="T204" t="str">
        <f>IF($A204="","",IFERROR(INDEX(Cycles!$R$9:$R$208,MATCH(_EngineTrades!AU204,_EngineCycles!$A$9:$A$208,0)),""))</f>
        <v/>
      </c>
      <c r="Y204" t="str">
        <f>IF(OR($A204="",$D204&lt;&gt;Overview!$P$2),"",COUNTIFS($D$9:$D$508,$D204,$A$9:$A$508,"&gt;"&amp;$A204)+COUNTIFS($D$9:$D$508,$D204,$A$9:$A$508,$A204)-COUNTIFS($D$9:$D204,$D204,$A$9:$A204,$A204)+1)</f>
        <v/>
      </c>
    </row>
    <row r="205" spans="1:25" ht="23.1" customHeight="1" x14ac:dyDescent="0.25">
      <c r="A205" s="13"/>
      <c r="B205" s="14"/>
      <c r="C205" s="14"/>
      <c r="D205" s="14"/>
      <c r="E205" s="14"/>
      <c r="F205" s="15"/>
      <c r="G205" s="16"/>
      <c r="H205" s="13"/>
      <c r="I205" s="16"/>
      <c r="J205" s="16"/>
      <c r="K205" s="17" t="str">
        <f>IF($A205="","",_EngineTrades!S205)</f>
        <v/>
      </c>
      <c r="L205" s="15"/>
      <c r="M205" s="16"/>
      <c r="N205" s="14"/>
      <c r="O205" s="18" t="str">
        <f t="shared" si="3"/>
        <v/>
      </c>
      <c r="P205" s="14"/>
      <c r="Q205" s="16"/>
      <c r="R205" s="16"/>
      <c r="S205" s="18" t="str">
        <f>IF($A205="","",_EngineTrades!V205)</f>
        <v/>
      </c>
      <c r="T205" t="str">
        <f>IF($A205="","",IFERROR(INDEX(Cycles!$R$9:$R$208,MATCH(_EngineTrades!AU205,_EngineCycles!$A$9:$A$208,0)),""))</f>
        <v/>
      </c>
      <c r="Y205" t="str">
        <f>IF(OR($A205="",$D205&lt;&gt;Overview!$P$2),"",COUNTIFS($D$9:$D$508,$D205,$A$9:$A$508,"&gt;"&amp;$A205)+COUNTIFS($D$9:$D$508,$D205,$A$9:$A$508,$A205)-COUNTIFS($D$9:$D205,$D205,$A$9:$A205,$A205)+1)</f>
        <v/>
      </c>
    </row>
    <row r="206" spans="1:25" ht="23.1" customHeight="1" x14ac:dyDescent="0.25">
      <c r="A206" s="19"/>
      <c r="B206" s="20"/>
      <c r="C206" s="20"/>
      <c r="D206" s="20"/>
      <c r="E206" s="20"/>
      <c r="F206" s="21"/>
      <c r="G206" s="22"/>
      <c r="H206" s="19"/>
      <c r="I206" s="22"/>
      <c r="J206" s="22"/>
      <c r="K206" s="23" t="str">
        <f>IF($A206="","",_EngineTrades!S206)</f>
        <v/>
      </c>
      <c r="L206" s="21"/>
      <c r="M206" s="22"/>
      <c r="N206" s="20"/>
      <c r="O206" s="24" t="str">
        <f t="shared" si="3"/>
        <v/>
      </c>
      <c r="P206" s="20"/>
      <c r="Q206" s="22"/>
      <c r="R206" s="22"/>
      <c r="S206" s="24" t="str">
        <f>IF($A206="","",_EngineTrades!V206)</f>
        <v/>
      </c>
      <c r="T206" t="str">
        <f>IF($A206="","",IFERROR(INDEX(Cycles!$R$9:$R$208,MATCH(_EngineTrades!AU206,_EngineCycles!$A$9:$A$208,0)),""))</f>
        <v/>
      </c>
      <c r="Y206" t="str">
        <f>IF(OR($A206="",$D206&lt;&gt;Overview!$P$2),"",COUNTIFS($D$9:$D$508,$D206,$A$9:$A$508,"&gt;"&amp;$A206)+COUNTIFS($D$9:$D$508,$D206,$A$9:$A$508,$A206)-COUNTIFS($D$9:$D206,$D206,$A$9:$A206,$A206)+1)</f>
        <v/>
      </c>
    </row>
    <row r="207" spans="1:25" ht="23.1" customHeight="1" x14ac:dyDescent="0.25">
      <c r="A207" s="13"/>
      <c r="B207" s="14"/>
      <c r="C207" s="14"/>
      <c r="D207" s="14"/>
      <c r="E207" s="14"/>
      <c r="F207" s="15"/>
      <c r="G207" s="16"/>
      <c r="H207" s="13"/>
      <c r="I207" s="16"/>
      <c r="J207" s="16"/>
      <c r="K207" s="17" t="str">
        <f>IF($A207="","",_EngineTrades!S207)</f>
        <v/>
      </c>
      <c r="L207" s="15"/>
      <c r="M207" s="16"/>
      <c r="N207" s="14"/>
      <c r="O207" s="18" t="str">
        <f t="shared" si="3"/>
        <v/>
      </c>
      <c r="P207" s="14"/>
      <c r="Q207" s="16"/>
      <c r="R207" s="16"/>
      <c r="S207" s="18" t="str">
        <f>IF($A207="","",_EngineTrades!V207)</f>
        <v/>
      </c>
      <c r="T207" t="str">
        <f>IF($A207="","",IFERROR(INDEX(Cycles!$R$9:$R$208,MATCH(_EngineTrades!AU207,_EngineCycles!$A$9:$A$208,0)),""))</f>
        <v/>
      </c>
      <c r="Y207" t="str">
        <f>IF(OR($A207="",$D207&lt;&gt;Overview!$P$2),"",COUNTIFS($D$9:$D$508,$D207,$A$9:$A$508,"&gt;"&amp;$A207)+COUNTIFS($D$9:$D$508,$D207,$A$9:$A$508,$A207)-COUNTIFS($D$9:$D207,$D207,$A$9:$A207,$A207)+1)</f>
        <v/>
      </c>
    </row>
    <row r="208" spans="1:25" ht="23.1" customHeight="1" x14ac:dyDescent="0.25">
      <c r="A208" s="19"/>
      <c r="B208" s="20"/>
      <c r="C208" s="20"/>
      <c r="D208" s="20"/>
      <c r="E208" s="20"/>
      <c r="F208" s="21"/>
      <c r="G208" s="22"/>
      <c r="H208" s="19"/>
      <c r="I208" s="22"/>
      <c r="J208" s="22"/>
      <c r="K208" s="23" t="str">
        <f>IF($A208="","",_EngineTrades!S208)</f>
        <v/>
      </c>
      <c r="L208" s="21"/>
      <c r="M208" s="22"/>
      <c r="N208" s="20"/>
      <c r="O208" s="24" t="str">
        <f t="shared" si="3"/>
        <v/>
      </c>
      <c r="P208" s="20"/>
      <c r="Q208" s="22"/>
      <c r="R208" s="22"/>
      <c r="S208" s="24" t="str">
        <f>IF($A208="","",_EngineTrades!V208)</f>
        <v/>
      </c>
      <c r="T208" t="str">
        <f>IF($A208="","",IFERROR(INDEX(Cycles!$R$9:$R$208,MATCH(_EngineTrades!AU208,_EngineCycles!$A$9:$A$208,0)),""))</f>
        <v/>
      </c>
      <c r="Y208" t="str">
        <f>IF(OR($A208="",$D208&lt;&gt;Overview!$P$2),"",COUNTIFS($D$9:$D$508,$D208,$A$9:$A$508,"&gt;"&amp;$A208)+COUNTIFS($D$9:$D$508,$D208,$A$9:$A$508,$A208)-COUNTIFS($D$9:$D208,$D208,$A$9:$A208,$A208)+1)</f>
        <v/>
      </c>
    </row>
    <row r="209" spans="1:25" ht="23.1" customHeight="1" x14ac:dyDescent="0.25">
      <c r="A209" s="13"/>
      <c r="B209" s="14"/>
      <c r="C209" s="14"/>
      <c r="D209" s="14"/>
      <c r="E209" s="14"/>
      <c r="F209" s="15"/>
      <c r="G209" s="16"/>
      <c r="H209" s="13"/>
      <c r="I209" s="16"/>
      <c r="J209" s="16"/>
      <c r="K209" s="17" t="str">
        <f>IF($A209="","",_EngineTrades!S209)</f>
        <v/>
      </c>
      <c r="L209" s="15"/>
      <c r="M209" s="16"/>
      <c r="N209" s="14"/>
      <c r="O209" s="18" t="str">
        <f t="shared" si="3"/>
        <v/>
      </c>
      <c r="P209" s="14"/>
      <c r="Q209" s="16"/>
      <c r="R209" s="16"/>
      <c r="S209" s="18" t="str">
        <f>IF($A209="","",_EngineTrades!V209)</f>
        <v/>
      </c>
      <c r="T209" t="str">
        <f>IF($A209="","",IFERROR(INDEX(Cycles!$R$9:$R$208,MATCH(_EngineTrades!AU209,_EngineCycles!$A$9:$A$208,0)),""))</f>
        <v/>
      </c>
      <c r="Y209" t="str">
        <f>IF(OR($A209="",$D209&lt;&gt;Overview!$P$2),"",COUNTIFS($D$9:$D$508,$D209,$A$9:$A$508,"&gt;"&amp;$A209)+COUNTIFS($D$9:$D$508,$D209,$A$9:$A$508,$A209)-COUNTIFS($D$9:$D209,$D209,$A$9:$A209,$A209)+1)</f>
        <v/>
      </c>
    </row>
    <row r="210" spans="1:25" ht="23.1" customHeight="1" x14ac:dyDescent="0.25">
      <c r="A210" s="19"/>
      <c r="B210" s="20"/>
      <c r="C210" s="20"/>
      <c r="D210" s="20"/>
      <c r="E210" s="20"/>
      <c r="F210" s="21"/>
      <c r="G210" s="22"/>
      <c r="H210" s="19"/>
      <c r="I210" s="22"/>
      <c r="J210" s="22"/>
      <c r="K210" s="23" t="str">
        <f>IF($A210="","",_EngineTrades!S210)</f>
        <v/>
      </c>
      <c r="L210" s="21"/>
      <c r="M210" s="22"/>
      <c r="N210" s="20"/>
      <c r="O210" s="24" t="str">
        <f t="shared" si="3"/>
        <v/>
      </c>
      <c r="P210" s="20"/>
      <c r="Q210" s="22"/>
      <c r="R210" s="22"/>
      <c r="S210" s="24" t="str">
        <f>IF($A210="","",_EngineTrades!V210)</f>
        <v/>
      </c>
      <c r="T210" t="str">
        <f>IF($A210="","",IFERROR(INDEX(Cycles!$R$9:$R$208,MATCH(_EngineTrades!AU210,_EngineCycles!$A$9:$A$208,0)),""))</f>
        <v/>
      </c>
      <c r="Y210" t="str">
        <f>IF(OR($A210="",$D210&lt;&gt;Overview!$P$2),"",COUNTIFS($D$9:$D$508,$D210,$A$9:$A$508,"&gt;"&amp;$A210)+COUNTIFS($D$9:$D$508,$D210,$A$9:$A$508,$A210)-COUNTIFS($D$9:$D210,$D210,$A$9:$A210,$A210)+1)</f>
        <v/>
      </c>
    </row>
    <row r="211" spans="1:25" ht="23.1" customHeight="1" x14ac:dyDescent="0.25">
      <c r="A211" s="13"/>
      <c r="B211" s="14"/>
      <c r="C211" s="14"/>
      <c r="D211" s="14"/>
      <c r="E211" s="14"/>
      <c r="F211" s="15"/>
      <c r="G211" s="16"/>
      <c r="H211" s="13"/>
      <c r="I211" s="16"/>
      <c r="J211" s="16"/>
      <c r="K211" s="17" t="str">
        <f>IF($A211="","",_EngineTrades!S211)</f>
        <v/>
      </c>
      <c r="L211" s="15"/>
      <c r="M211" s="16"/>
      <c r="N211" s="14"/>
      <c r="O211" s="18" t="str">
        <f t="shared" si="3"/>
        <v/>
      </c>
      <c r="P211" s="14"/>
      <c r="Q211" s="16"/>
      <c r="R211" s="16"/>
      <c r="S211" s="18" t="str">
        <f>IF($A211="","",_EngineTrades!V211)</f>
        <v/>
      </c>
      <c r="T211" t="str">
        <f>IF($A211="","",IFERROR(INDEX(Cycles!$R$9:$R$208,MATCH(_EngineTrades!AU211,_EngineCycles!$A$9:$A$208,0)),""))</f>
        <v/>
      </c>
      <c r="Y211" t="str">
        <f>IF(OR($A211="",$D211&lt;&gt;Overview!$P$2),"",COUNTIFS($D$9:$D$508,$D211,$A$9:$A$508,"&gt;"&amp;$A211)+COUNTIFS($D$9:$D$508,$D211,$A$9:$A$508,$A211)-COUNTIFS($D$9:$D211,$D211,$A$9:$A211,$A211)+1)</f>
        <v/>
      </c>
    </row>
    <row r="212" spans="1:25" ht="23.1" customHeight="1" x14ac:dyDescent="0.25">
      <c r="A212" s="19"/>
      <c r="B212" s="20"/>
      <c r="C212" s="20"/>
      <c r="D212" s="20"/>
      <c r="E212" s="20"/>
      <c r="F212" s="21"/>
      <c r="G212" s="22"/>
      <c r="H212" s="19"/>
      <c r="I212" s="22"/>
      <c r="J212" s="22"/>
      <c r="K212" s="23" t="str">
        <f>IF($A212="","",_EngineTrades!S212)</f>
        <v/>
      </c>
      <c r="L212" s="21"/>
      <c r="M212" s="22"/>
      <c r="N212" s="20"/>
      <c r="O212" s="24" t="str">
        <f t="shared" si="3"/>
        <v/>
      </c>
      <c r="P212" s="20"/>
      <c r="Q212" s="22"/>
      <c r="R212" s="22"/>
      <c r="S212" s="24" t="str">
        <f>IF($A212="","",_EngineTrades!V212)</f>
        <v/>
      </c>
      <c r="T212" t="str">
        <f>IF($A212="","",IFERROR(INDEX(Cycles!$R$9:$R$208,MATCH(_EngineTrades!AU212,_EngineCycles!$A$9:$A$208,0)),""))</f>
        <v/>
      </c>
      <c r="Y212" t="str">
        <f>IF(OR($A212="",$D212&lt;&gt;Overview!$P$2),"",COUNTIFS($D$9:$D$508,$D212,$A$9:$A$508,"&gt;"&amp;$A212)+COUNTIFS($D$9:$D$508,$D212,$A$9:$A$508,$A212)-COUNTIFS($D$9:$D212,$D212,$A$9:$A212,$A212)+1)</f>
        <v/>
      </c>
    </row>
    <row r="213" spans="1:25" ht="23.1" customHeight="1" x14ac:dyDescent="0.25">
      <c r="A213" s="13"/>
      <c r="B213" s="14"/>
      <c r="C213" s="14"/>
      <c r="D213" s="14"/>
      <c r="E213" s="14"/>
      <c r="F213" s="15"/>
      <c r="G213" s="16"/>
      <c r="H213" s="13"/>
      <c r="I213" s="16"/>
      <c r="J213" s="16"/>
      <c r="K213" s="17" t="str">
        <f>IF($A213="","",_EngineTrades!S213)</f>
        <v/>
      </c>
      <c r="L213" s="15"/>
      <c r="M213" s="16"/>
      <c r="N213" s="14"/>
      <c r="O213" s="18" t="str">
        <f t="shared" si="3"/>
        <v/>
      </c>
      <c r="P213" s="14"/>
      <c r="Q213" s="16"/>
      <c r="R213" s="16"/>
      <c r="S213" s="18" t="str">
        <f>IF($A213="","",_EngineTrades!V213)</f>
        <v/>
      </c>
      <c r="T213" t="str">
        <f>IF($A213="","",IFERROR(INDEX(Cycles!$R$9:$R$208,MATCH(_EngineTrades!AU213,_EngineCycles!$A$9:$A$208,0)),""))</f>
        <v/>
      </c>
      <c r="Y213" t="str">
        <f>IF(OR($A213="",$D213&lt;&gt;Overview!$P$2),"",COUNTIFS($D$9:$D$508,$D213,$A$9:$A$508,"&gt;"&amp;$A213)+COUNTIFS($D$9:$D$508,$D213,$A$9:$A$508,$A213)-COUNTIFS($D$9:$D213,$D213,$A$9:$A213,$A213)+1)</f>
        <v/>
      </c>
    </row>
    <row r="214" spans="1:25" ht="23.1" customHeight="1" x14ac:dyDescent="0.25">
      <c r="A214" s="19"/>
      <c r="B214" s="20"/>
      <c r="C214" s="20"/>
      <c r="D214" s="20"/>
      <c r="E214" s="20"/>
      <c r="F214" s="21"/>
      <c r="G214" s="22"/>
      <c r="H214" s="19"/>
      <c r="I214" s="22"/>
      <c r="J214" s="22"/>
      <c r="K214" s="23" t="str">
        <f>IF($A214="","",_EngineTrades!S214)</f>
        <v/>
      </c>
      <c r="L214" s="21"/>
      <c r="M214" s="22"/>
      <c r="N214" s="20"/>
      <c r="O214" s="24" t="str">
        <f t="shared" si="3"/>
        <v/>
      </c>
      <c r="P214" s="20"/>
      <c r="Q214" s="22"/>
      <c r="R214" s="22"/>
      <c r="S214" s="24" t="str">
        <f>IF($A214="","",_EngineTrades!V214)</f>
        <v/>
      </c>
      <c r="T214" t="str">
        <f>IF($A214="","",IFERROR(INDEX(Cycles!$R$9:$R$208,MATCH(_EngineTrades!AU214,_EngineCycles!$A$9:$A$208,0)),""))</f>
        <v/>
      </c>
      <c r="Y214" t="str">
        <f>IF(OR($A214="",$D214&lt;&gt;Overview!$P$2),"",COUNTIFS($D$9:$D$508,$D214,$A$9:$A$508,"&gt;"&amp;$A214)+COUNTIFS($D$9:$D$508,$D214,$A$9:$A$508,$A214)-COUNTIFS($D$9:$D214,$D214,$A$9:$A214,$A214)+1)</f>
        <v/>
      </c>
    </row>
    <row r="215" spans="1:25" ht="23.1" customHeight="1" x14ac:dyDescent="0.25">
      <c r="A215" s="13"/>
      <c r="B215" s="14"/>
      <c r="C215" s="14"/>
      <c r="D215" s="14"/>
      <c r="E215" s="14"/>
      <c r="F215" s="15"/>
      <c r="G215" s="16"/>
      <c r="H215" s="13"/>
      <c r="I215" s="16"/>
      <c r="J215" s="16"/>
      <c r="K215" s="17" t="str">
        <f>IF($A215="","",_EngineTrades!S215)</f>
        <v/>
      </c>
      <c r="L215" s="15"/>
      <c r="M215" s="16"/>
      <c r="N215" s="14"/>
      <c r="O215" s="18" t="str">
        <f t="shared" si="3"/>
        <v/>
      </c>
      <c r="P215" s="14"/>
      <c r="Q215" s="16"/>
      <c r="R215" s="16"/>
      <c r="S215" s="18" t="str">
        <f>IF($A215="","",_EngineTrades!V215)</f>
        <v/>
      </c>
      <c r="T215" t="str">
        <f>IF($A215="","",IFERROR(INDEX(Cycles!$R$9:$R$208,MATCH(_EngineTrades!AU215,_EngineCycles!$A$9:$A$208,0)),""))</f>
        <v/>
      </c>
      <c r="Y215" t="str">
        <f>IF(OR($A215="",$D215&lt;&gt;Overview!$P$2),"",COUNTIFS($D$9:$D$508,$D215,$A$9:$A$508,"&gt;"&amp;$A215)+COUNTIFS($D$9:$D$508,$D215,$A$9:$A$508,$A215)-COUNTIFS($D$9:$D215,$D215,$A$9:$A215,$A215)+1)</f>
        <v/>
      </c>
    </row>
    <row r="216" spans="1:25" ht="23.1" customHeight="1" x14ac:dyDescent="0.25">
      <c r="A216" s="19"/>
      <c r="B216" s="20"/>
      <c r="C216" s="20"/>
      <c r="D216" s="20"/>
      <c r="E216" s="20"/>
      <c r="F216" s="21"/>
      <c r="G216" s="22"/>
      <c r="H216" s="19"/>
      <c r="I216" s="22"/>
      <c r="J216" s="22"/>
      <c r="K216" s="23" t="str">
        <f>IF($A216="","",_EngineTrades!S216)</f>
        <v/>
      </c>
      <c r="L216" s="21"/>
      <c r="M216" s="22"/>
      <c r="N216" s="20"/>
      <c r="O216" s="24" t="str">
        <f t="shared" si="3"/>
        <v/>
      </c>
      <c r="P216" s="20"/>
      <c r="Q216" s="22"/>
      <c r="R216" s="22"/>
      <c r="S216" s="24" t="str">
        <f>IF($A216="","",_EngineTrades!V216)</f>
        <v/>
      </c>
      <c r="T216" t="str">
        <f>IF($A216="","",IFERROR(INDEX(Cycles!$R$9:$R$208,MATCH(_EngineTrades!AU216,_EngineCycles!$A$9:$A$208,0)),""))</f>
        <v/>
      </c>
      <c r="Y216" t="str">
        <f>IF(OR($A216="",$D216&lt;&gt;Overview!$P$2),"",COUNTIFS($D$9:$D$508,$D216,$A$9:$A$508,"&gt;"&amp;$A216)+COUNTIFS($D$9:$D$508,$D216,$A$9:$A$508,$A216)-COUNTIFS($D$9:$D216,$D216,$A$9:$A216,$A216)+1)</f>
        <v/>
      </c>
    </row>
    <row r="217" spans="1:25" ht="23.1" customHeight="1" x14ac:dyDescent="0.25">
      <c r="A217" s="13"/>
      <c r="B217" s="14"/>
      <c r="C217" s="14"/>
      <c r="D217" s="14"/>
      <c r="E217" s="14"/>
      <c r="F217" s="15"/>
      <c r="G217" s="16"/>
      <c r="H217" s="13"/>
      <c r="I217" s="16"/>
      <c r="J217" s="16"/>
      <c r="K217" s="17" t="str">
        <f>IF($A217="","",_EngineTrades!S217)</f>
        <v/>
      </c>
      <c r="L217" s="15"/>
      <c r="M217" s="16"/>
      <c r="N217" s="14"/>
      <c r="O217" s="18" t="str">
        <f t="shared" si="3"/>
        <v/>
      </c>
      <c r="P217" s="14"/>
      <c r="Q217" s="16"/>
      <c r="R217" s="16"/>
      <c r="S217" s="18" t="str">
        <f>IF($A217="","",_EngineTrades!V217)</f>
        <v/>
      </c>
      <c r="T217" t="str">
        <f>IF($A217="","",IFERROR(INDEX(Cycles!$R$9:$R$208,MATCH(_EngineTrades!AU217,_EngineCycles!$A$9:$A$208,0)),""))</f>
        <v/>
      </c>
      <c r="Y217" t="str">
        <f>IF(OR($A217="",$D217&lt;&gt;Overview!$P$2),"",COUNTIFS($D$9:$D$508,$D217,$A$9:$A$508,"&gt;"&amp;$A217)+COUNTIFS($D$9:$D$508,$D217,$A$9:$A$508,$A217)-COUNTIFS($D$9:$D217,$D217,$A$9:$A217,$A217)+1)</f>
        <v/>
      </c>
    </row>
    <row r="218" spans="1:25" ht="23.1" customHeight="1" x14ac:dyDescent="0.25">
      <c r="A218" s="19"/>
      <c r="B218" s="20"/>
      <c r="C218" s="20"/>
      <c r="D218" s="20"/>
      <c r="E218" s="20"/>
      <c r="F218" s="21"/>
      <c r="G218" s="22"/>
      <c r="H218" s="19"/>
      <c r="I218" s="22"/>
      <c r="J218" s="22"/>
      <c r="K218" s="23" t="str">
        <f>IF($A218="","",_EngineTrades!S218)</f>
        <v/>
      </c>
      <c r="L218" s="21"/>
      <c r="M218" s="22"/>
      <c r="N218" s="20"/>
      <c r="O218" s="24" t="str">
        <f t="shared" si="3"/>
        <v/>
      </c>
      <c r="P218" s="20"/>
      <c r="Q218" s="22"/>
      <c r="R218" s="22"/>
      <c r="S218" s="24" t="str">
        <f>IF($A218="","",_EngineTrades!V218)</f>
        <v/>
      </c>
      <c r="T218" t="str">
        <f>IF($A218="","",IFERROR(INDEX(Cycles!$R$9:$R$208,MATCH(_EngineTrades!AU218,_EngineCycles!$A$9:$A$208,0)),""))</f>
        <v/>
      </c>
      <c r="Y218" t="str">
        <f>IF(OR($A218="",$D218&lt;&gt;Overview!$P$2),"",COUNTIFS($D$9:$D$508,$D218,$A$9:$A$508,"&gt;"&amp;$A218)+COUNTIFS($D$9:$D$508,$D218,$A$9:$A$508,$A218)-COUNTIFS($D$9:$D218,$D218,$A$9:$A218,$A218)+1)</f>
        <v/>
      </c>
    </row>
    <row r="219" spans="1:25" ht="23.1" customHeight="1" x14ac:dyDescent="0.25">
      <c r="A219" s="13"/>
      <c r="B219" s="14"/>
      <c r="C219" s="14"/>
      <c r="D219" s="14"/>
      <c r="E219" s="14"/>
      <c r="F219" s="15"/>
      <c r="G219" s="16"/>
      <c r="H219" s="13"/>
      <c r="I219" s="16"/>
      <c r="J219" s="16"/>
      <c r="K219" s="17" t="str">
        <f>IF($A219="","",_EngineTrades!S219)</f>
        <v/>
      </c>
      <c r="L219" s="15"/>
      <c r="M219" s="16"/>
      <c r="N219" s="14"/>
      <c r="O219" s="18" t="str">
        <f t="shared" si="3"/>
        <v/>
      </c>
      <c r="P219" s="14"/>
      <c r="Q219" s="16"/>
      <c r="R219" s="16"/>
      <c r="S219" s="18" t="str">
        <f>IF($A219="","",_EngineTrades!V219)</f>
        <v/>
      </c>
      <c r="T219" t="str">
        <f>IF($A219="","",IFERROR(INDEX(Cycles!$R$9:$R$208,MATCH(_EngineTrades!AU219,_EngineCycles!$A$9:$A$208,0)),""))</f>
        <v/>
      </c>
      <c r="Y219" t="str">
        <f>IF(OR($A219="",$D219&lt;&gt;Overview!$P$2),"",COUNTIFS($D$9:$D$508,$D219,$A$9:$A$508,"&gt;"&amp;$A219)+COUNTIFS($D$9:$D$508,$D219,$A$9:$A$508,$A219)-COUNTIFS($D$9:$D219,$D219,$A$9:$A219,$A219)+1)</f>
        <v/>
      </c>
    </row>
    <row r="220" spans="1:25" ht="23.1" customHeight="1" x14ac:dyDescent="0.25">
      <c r="A220" s="19"/>
      <c r="B220" s="20"/>
      <c r="C220" s="20"/>
      <c r="D220" s="20"/>
      <c r="E220" s="20"/>
      <c r="F220" s="21"/>
      <c r="G220" s="22"/>
      <c r="H220" s="19"/>
      <c r="I220" s="22"/>
      <c r="J220" s="22"/>
      <c r="K220" s="23" t="str">
        <f>IF($A220="","",_EngineTrades!S220)</f>
        <v/>
      </c>
      <c r="L220" s="21"/>
      <c r="M220" s="22"/>
      <c r="N220" s="20"/>
      <c r="O220" s="24" t="str">
        <f t="shared" si="3"/>
        <v/>
      </c>
      <c r="P220" s="20"/>
      <c r="Q220" s="22"/>
      <c r="R220" s="22"/>
      <c r="S220" s="24" t="str">
        <f>IF($A220="","",_EngineTrades!V220)</f>
        <v/>
      </c>
      <c r="T220" t="str">
        <f>IF($A220="","",IFERROR(INDEX(Cycles!$R$9:$R$208,MATCH(_EngineTrades!AU220,_EngineCycles!$A$9:$A$208,0)),""))</f>
        <v/>
      </c>
      <c r="Y220" t="str">
        <f>IF(OR($A220="",$D220&lt;&gt;Overview!$P$2),"",COUNTIFS($D$9:$D$508,$D220,$A$9:$A$508,"&gt;"&amp;$A220)+COUNTIFS($D$9:$D$508,$D220,$A$9:$A$508,$A220)-COUNTIFS($D$9:$D220,$D220,$A$9:$A220,$A220)+1)</f>
        <v/>
      </c>
    </row>
    <row r="221" spans="1:25" ht="23.1" customHeight="1" x14ac:dyDescent="0.25">
      <c r="A221" s="13"/>
      <c r="B221" s="14"/>
      <c r="C221" s="14"/>
      <c r="D221" s="14"/>
      <c r="E221" s="14"/>
      <c r="F221" s="15"/>
      <c r="G221" s="16"/>
      <c r="H221" s="13"/>
      <c r="I221" s="16"/>
      <c r="J221" s="16"/>
      <c r="K221" s="17" t="str">
        <f>IF($A221="","",_EngineTrades!S221)</f>
        <v/>
      </c>
      <c r="L221" s="15"/>
      <c r="M221" s="16"/>
      <c r="N221" s="14"/>
      <c r="O221" s="18" t="str">
        <f t="shared" si="3"/>
        <v/>
      </c>
      <c r="P221" s="14"/>
      <c r="Q221" s="16"/>
      <c r="R221" s="16"/>
      <c r="S221" s="18" t="str">
        <f>IF($A221="","",_EngineTrades!V221)</f>
        <v/>
      </c>
      <c r="T221" t="str">
        <f>IF($A221="","",IFERROR(INDEX(Cycles!$R$9:$R$208,MATCH(_EngineTrades!AU221,_EngineCycles!$A$9:$A$208,0)),""))</f>
        <v/>
      </c>
      <c r="Y221" t="str">
        <f>IF(OR($A221="",$D221&lt;&gt;Overview!$P$2),"",COUNTIFS($D$9:$D$508,$D221,$A$9:$A$508,"&gt;"&amp;$A221)+COUNTIFS($D$9:$D$508,$D221,$A$9:$A$508,$A221)-COUNTIFS($D$9:$D221,$D221,$A$9:$A221,$A221)+1)</f>
        <v/>
      </c>
    </row>
    <row r="222" spans="1:25" ht="23.1" customHeight="1" x14ac:dyDescent="0.25">
      <c r="A222" s="19"/>
      <c r="B222" s="20"/>
      <c r="C222" s="20"/>
      <c r="D222" s="20"/>
      <c r="E222" s="20"/>
      <c r="F222" s="21"/>
      <c r="G222" s="22"/>
      <c r="H222" s="19"/>
      <c r="I222" s="22"/>
      <c r="J222" s="22"/>
      <c r="K222" s="23" t="str">
        <f>IF($A222="","",_EngineTrades!S222)</f>
        <v/>
      </c>
      <c r="L222" s="21"/>
      <c r="M222" s="22"/>
      <c r="N222" s="20"/>
      <c r="O222" s="24" t="str">
        <f t="shared" si="3"/>
        <v/>
      </c>
      <c r="P222" s="20"/>
      <c r="Q222" s="22"/>
      <c r="R222" s="22"/>
      <c r="S222" s="24" t="str">
        <f>IF($A222="","",_EngineTrades!V222)</f>
        <v/>
      </c>
      <c r="T222" t="str">
        <f>IF($A222="","",IFERROR(INDEX(Cycles!$R$9:$R$208,MATCH(_EngineTrades!AU222,_EngineCycles!$A$9:$A$208,0)),""))</f>
        <v/>
      </c>
      <c r="Y222" t="str">
        <f>IF(OR($A222="",$D222&lt;&gt;Overview!$P$2),"",COUNTIFS($D$9:$D$508,$D222,$A$9:$A$508,"&gt;"&amp;$A222)+COUNTIFS($D$9:$D$508,$D222,$A$9:$A$508,$A222)-COUNTIFS($D$9:$D222,$D222,$A$9:$A222,$A222)+1)</f>
        <v/>
      </c>
    </row>
    <row r="223" spans="1:25" ht="23.1" customHeight="1" x14ac:dyDescent="0.25">
      <c r="A223" s="13"/>
      <c r="B223" s="14"/>
      <c r="C223" s="14"/>
      <c r="D223" s="14"/>
      <c r="E223" s="14"/>
      <c r="F223" s="15"/>
      <c r="G223" s="16"/>
      <c r="H223" s="13"/>
      <c r="I223" s="16"/>
      <c r="J223" s="16"/>
      <c r="K223" s="17" t="str">
        <f>IF($A223="","",_EngineTrades!S223)</f>
        <v/>
      </c>
      <c r="L223" s="15"/>
      <c r="M223" s="16"/>
      <c r="N223" s="14"/>
      <c r="O223" s="18" t="str">
        <f t="shared" si="3"/>
        <v/>
      </c>
      <c r="P223" s="14"/>
      <c r="Q223" s="16"/>
      <c r="R223" s="16"/>
      <c r="S223" s="18" t="str">
        <f>IF($A223="","",_EngineTrades!V223)</f>
        <v/>
      </c>
      <c r="T223" t="str">
        <f>IF($A223="","",IFERROR(INDEX(Cycles!$R$9:$R$208,MATCH(_EngineTrades!AU223,_EngineCycles!$A$9:$A$208,0)),""))</f>
        <v/>
      </c>
      <c r="Y223" t="str">
        <f>IF(OR($A223="",$D223&lt;&gt;Overview!$P$2),"",COUNTIFS($D$9:$D$508,$D223,$A$9:$A$508,"&gt;"&amp;$A223)+COUNTIFS($D$9:$D$508,$D223,$A$9:$A$508,$A223)-COUNTIFS($D$9:$D223,$D223,$A$9:$A223,$A223)+1)</f>
        <v/>
      </c>
    </row>
    <row r="224" spans="1:25" ht="23.1" customHeight="1" x14ac:dyDescent="0.25">
      <c r="A224" s="19"/>
      <c r="B224" s="20"/>
      <c r="C224" s="20"/>
      <c r="D224" s="20"/>
      <c r="E224" s="20"/>
      <c r="F224" s="21"/>
      <c r="G224" s="22"/>
      <c r="H224" s="19"/>
      <c r="I224" s="22"/>
      <c r="J224" s="22"/>
      <c r="K224" s="23" t="str">
        <f>IF($A224="","",_EngineTrades!S224)</f>
        <v/>
      </c>
      <c r="L224" s="21"/>
      <c r="M224" s="22"/>
      <c r="N224" s="20"/>
      <c r="O224" s="24" t="str">
        <f t="shared" si="3"/>
        <v/>
      </c>
      <c r="P224" s="20"/>
      <c r="Q224" s="22"/>
      <c r="R224" s="22"/>
      <c r="S224" s="24" t="str">
        <f>IF($A224="","",_EngineTrades!V224)</f>
        <v/>
      </c>
      <c r="T224" t="str">
        <f>IF($A224="","",IFERROR(INDEX(Cycles!$R$9:$R$208,MATCH(_EngineTrades!AU224,_EngineCycles!$A$9:$A$208,0)),""))</f>
        <v/>
      </c>
      <c r="Y224" t="str">
        <f>IF(OR($A224="",$D224&lt;&gt;Overview!$P$2),"",COUNTIFS($D$9:$D$508,$D224,$A$9:$A$508,"&gt;"&amp;$A224)+COUNTIFS($D$9:$D$508,$D224,$A$9:$A$508,$A224)-COUNTIFS($D$9:$D224,$D224,$A$9:$A224,$A224)+1)</f>
        <v/>
      </c>
    </row>
    <row r="225" spans="1:25" ht="23.1" customHeight="1" x14ac:dyDescent="0.25">
      <c r="A225" s="13"/>
      <c r="B225" s="14"/>
      <c r="C225" s="14"/>
      <c r="D225" s="14"/>
      <c r="E225" s="14"/>
      <c r="F225" s="15"/>
      <c r="G225" s="16"/>
      <c r="H225" s="13"/>
      <c r="I225" s="16"/>
      <c r="J225" s="16"/>
      <c r="K225" s="17" t="str">
        <f>IF($A225="","",_EngineTrades!S225)</f>
        <v/>
      </c>
      <c r="L225" s="15"/>
      <c r="M225" s="16"/>
      <c r="N225" s="14"/>
      <c r="O225" s="18" t="str">
        <f t="shared" si="3"/>
        <v/>
      </c>
      <c r="P225" s="14"/>
      <c r="Q225" s="16"/>
      <c r="R225" s="16"/>
      <c r="S225" s="18" t="str">
        <f>IF($A225="","",_EngineTrades!V225)</f>
        <v/>
      </c>
      <c r="T225" t="str">
        <f>IF($A225="","",IFERROR(INDEX(Cycles!$R$9:$R$208,MATCH(_EngineTrades!AU225,_EngineCycles!$A$9:$A$208,0)),""))</f>
        <v/>
      </c>
      <c r="Y225" t="str">
        <f>IF(OR($A225="",$D225&lt;&gt;Overview!$P$2),"",COUNTIFS($D$9:$D$508,$D225,$A$9:$A$508,"&gt;"&amp;$A225)+COUNTIFS($D$9:$D$508,$D225,$A$9:$A$508,$A225)-COUNTIFS($D$9:$D225,$D225,$A$9:$A225,$A225)+1)</f>
        <v/>
      </c>
    </row>
    <row r="226" spans="1:25" ht="23.1" customHeight="1" x14ac:dyDescent="0.25">
      <c r="A226" s="19"/>
      <c r="B226" s="20"/>
      <c r="C226" s="20"/>
      <c r="D226" s="20"/>
      <c r="E226" s="20"/>
      <c r="F226" s="21"/>
      <c r="G226" s="22"/>
      <c r="H226" s="19"/>
      <c r="I226" s="22"/>
      <c r="J226" s="22"/>
      <c r="K226" s="23" t="str">
        <f>IF($A226="","",_EngineTrades!S226)</f>
        <v/>
      </c>
      <c r="L226" s="21"/>
      <c r="M226" s="22"/>
      <c r="N226" s="20"/>
      <c r="O226" s="24" t="str">
        <f t="shared" si="3"/>
        <v/>
      </c>
      <c r="P226" s="20"/>
      <c r="Q226" s="22"/>
      <c r="R226" s="22"/>
      <c r="S226" s="24" t="str">
        <f>IF($A226="","",_EngineTrades!V226)</f>
        <v/>
      </c>
      <c r="T226" t="str">
        <f>IF($A226="","",IFERROR(INDEX(Cycles!$R$9:$R$208,MATCH(_EngineTrades!AU226,_EngineCycles!$A$9:$A$208,0)),""))</f>
        <v/>
      </c>
      <c r="Y226" t="str">
        <f>IF(OR($A226="",$D226&lt;&gt;Overview!$P$2),"",COUNTIFS($D$9:$D$508,$D226,$A$9:$A$508,"&gt;"&amp;$A226)+COUNTIFS($D$9:$D$508,$D226,$A$9:$A$508,$A226)-COUNTIFS($D$9:$D226,$D226,$A$9:$A226,$A226)+1)</f>
        <v/>
      </c>
    </row>
    <row r="227" spans="1:25" ht="23.1" customHeight="1" x14ac:dyDescent="0.25">
      <c r="A227" s="13"/>
      <c r="B227" s="14"/>
      <c r="C227" s="14"/>
      <c r="D227" s="14"/>
      <c r="E227" s="14"/>
      <c r="F227" s="15"/>
      <c r="G227" s="16"/>
      <c r="H227" s="13"/>
      <c r="I227" s="16"/>
      <c r="J227" s="16"/>
      <c r="K227" s="17" t="str">
        <f>IF($A227="","",_EngineTrades!S227)</f>
        <v/>
      </c>
      <c r="L227" s="15"/>
      <c r="M227" s="16"/>
      <c r="N227" s="14"/>
      <c r="O227" s="18" t="str">
        <f t="shared" si="3"/>
        <v/>
      </c>
      <c r="P227" s="14"/>
      <c r="Q227" s="16"/>
      <c r="R227" s="16"/>
      <c r="S227" s="18" t="str">
        <f>IF($A227="","",_EngineTrades!V227)</f>
        <v/>
      </c>
      <c r="T227" t="str">
        <f>IF($A227="","",IFERROR(INDEX(Cycles!$R$9:$R$208,MATCH(_EngineTrades!AU227,_EngineCycles!$A$9:$A$208,0)),""))</f>
        <v/>
      </c>
      <c r="Y227" t="str">
        <f>IF(OR($A227="",$D227&lt;&gt;Overview!$P$2),"",COUNTIFS($D$9:$D$508,$D227,$A$9:$A$508,"&gt;"&amp;$A227)+COUNTIFS($D$9:$D$508,$D227,$A$9:$A$508,$A227)-COUNTIFS($D$9:$D227,$D227,$A$9:$A227,$A227)+1)</f>
        <v/>
      </c>
    </row>
    <row r="228" spans="1:25" ht="23.1" customHeight="1" x14ac:dyDescent="0.25">
      <c r="A228" s="19"/>
      <c r="B228" s="20"/>
      <c r="C228" s="20"/>
      <c r="D228" s="20"/>
      <c r="E228" s="20"/>
      <c r="F228" s="21"/>
      <c r="G228" s="22"/>
      <c r="H228" s="19"/>
      <c r="I228" s="22"/>
      <c r="J228" s="22"/>
      <c r="K228" s="23" t="str">
        <f>IF($A228="","",_EngineTrades!S228)</f>
        <v/>
      </c>
      <c r="L228" s="21"/>
      <c r="M228" s="22"/>
      <c r="N228" s="20"/>
      <c r="O228" s="24" t="str">
        <f t="shared" si="3"/>
        <v/>
      </c>
      <c r="P228" s="20"/>
      <c r="Q228" s="22"/>
      <c r="R228" s="22"/>
      <c r="S228" s="24" t="str">
        <f>IF($A228="","",_EngineTrades!V228)</f>
        <v/>
      </c>
      <c r="T228" t="str">
        <f>IF($A228="","",IFERROR(INDEX(Cycles!$R$9:$R$208,MATCH(_EngineTrades!AU228,_EngineCycles!$A$9:$A$208,0)),""))</f>
        <v/>
      </c>
      <c r="Y228" t="str">
        <f>IF(OR($A228="",$D228&lt;&gt;Overview!$P$2),"",COUNTIFS($D$9:$D$508,$D228,$A$9:$A$508,"&gt;"&amp;$A228)+COUNTIFS($D$9:$D$508,$D228,$A$9:$A$508,$A228)-COUNTIFS($D$9:$D228,$D228,$A$9:$A228,$A228)+1)</f>
        <v/>
      </c>
    </row>
    <row r="229" spans="1:25" ht="23.1" customHeight="1" x14ac:dyDescent="0.25">
      <c r="A229" s="13"/>
      <c r="B229" s="14"/>
      <c r="C229" s="14"/>
      <c r="D229" s="14"/>
      <c r="E229" s="14"/>
      <c r="F229" s="15"/>
      <c r="G229" s="16"/>
      <c r="H229" s="13"/>
      <c r="I229" s="16"/>
      <c r="J229" s="16"/>
      <c r="K229" s="17" t="str">
        <f>IF($A229="","",_EngineTrades!S229)</f>
        <v/>
      </c>
      <c r="L229" s="15"/>
      <c r="M229" s="16"/>
      <c r="N229" s="14"/>
      <c r="O229" s="18" t="str">
        <f t="shared" si="3"/>
        <v/>
      </c>
      <c r="P229" s="14"/>
      <c r="Q229" s="16"/>
      <c r="R229" s="16"/>
      <c r="S229" s="18" t="str">
        <f>IF($A229="","",_EngineTrades!V229)</f>
        <v/>
      </c>
      <c r="T229" t="str">
        <f>IF($A229="","",IFERROR(INDEX(Cycles!$R$9:$R$208,MATCH(_EngineTrades!AU229,_EngineCycles!$A$9:$A$208,0)),""))</f>
        <v/>
      </c>
      <c r="Y229" t="str">
        <f>IF(OR($A229="",$D229&lt;&gt;Overview!$P$2),"",COUNTIFS($D$9:$D$508,$D229,$A$9:$A$508,"&gt;"&amp;$A229)+COUNTIFS($D$9:$D$508,$D229,$A$9:$A$508,$A229)-COUNTIFS($D$9:$D229,$D229,$A$9:$A229,$A229)+1)</f>
        <v/>
      </c>
    </row>
    <row r="230" spans="1:25" ht="23.1" customHeight="1" x14ac:dyDescent="0.25">
      <c r="A230" s="19"/>
      <c r="B230" s="20"/>
      <c r="C230" s="20"/>
      <c r="D230" s="20"/>
      <c r="E230" s="20"/>
      <c r="F230" s="21"/>
      <c r="G230" s="22"/>
      <c r="H230" s="19"/>
      <c r="I230" s="22"/>
      <c r="J230" s="22"/>
      <c r="K230" s="23" t="str">
        <f>IF($A230="","",_EngineTrades!S230)</f>
        <v/>
      </c>
      <c r="L230" s="21"/>
      <c r="M230" s="22"/>
      <c r="N230" s="20"/>
      <c r="O230" s="24" t="str">
        <f t="shared" si="3"/>
        <v/>
      </c>
      <c r="P230" s="20"/>
      <c r="Q230" s="22"/>
      <c r="R230" s="22"/>
      <c r="S230" s="24" t="str">
        <f>IF($A230="","",_EngineTrades!V230)</f>
        <v/>
      </c>
      <c r="T230" t="str">
        <f>IF($A230="","",IFERROR(INDEX(Cycles!$R$9:$R$208,MATCH(_EngineTrades!AU230,_EngineCycles!$A$9:$A$208,0)),""))</f>
        <v/>
      </c>
      <c r="Y230" t="str">
        <f>IF(OR($A230="",$D230&lt;&gt;Overview!$P$2),"",COUNTIFS($D$9:$D$508,$D230,$A$9:$A$508,"&gt;"&amp;$A230)+COUNTIFS($D$9:$D$508,$D230,$A$9:$A$508,$A230)-COUNTIFS($D$9:$D230,$D230,$A$9:$A230,$A230)+1)</f>
        <v/>
      </c>
    </row>
    <row r="231" spans="1:25" ht="23.1" customHeight="1" x14ac:dyDescent="0.25">
      <c r="A231" s="13"/>
      <c r="B231" s="14"/>
      <c r="C231" s="14"/>
      <c r="D231" s="14"/>
      <c r="E231" s="14"/>
      <c r="F231" s="15"/>
      <c r="G231" s="16"/>
      <c r="H231" s="13"/>
      <c r="I231" s="16"/>
      <c r="J231" s="16"/>
      <c r="K231" s="17" t="str">
        <f>IF($A231="","",_EngineTrades!S231)</f>
        <v/>
      </c>
      <c r="L231" s="15"/>
      <c r="M231" s="16"/>
      <c r="N231" s="14"/>
      <c r="O231" s="18" t="str">
        <f t="shared" si="3"/>
        <v/>
      </c>
      <c r="P231" s="14"/>
      <c r="Q231" s="16"/>
      <c r="R231" s="16"/>
      <c r="S231" s="18" t="str">
        <f>IF($A231="","",_EngineTrades!V231)</f>
        <v/>
      </c>
      <c r="T231" t="str">
        <f>IF($A231="","",IFERROR(INDEX(Cycles!$R$9:$R$208,MATCH(_EngineTrades!AU231,_EngineCycles!$A$9:$A$208,0)),""))</f>
        <v/>
      </c>
      <c r="Y231" t="str">
        <f>IF(OR($A231="",$D231&lt;&gt;Overview!$P$2),"",COUNTIFS($D$9:$D$508,$D231,$A$9:$A$508,"&gt;"&amp;$A231)+COUNTIFS($D$9:$D$508,$D231,$A$9:$A$508,$A231)-COUNTIFS($D$9:$D231,$D231,$A$9:$A231,$A231)+1)</f>
        <v/>
      </c>
    </row>
    <row r="232" spans="1:25" ht="23.1" customHeight="1" x14ac:dyDescent="0.25">
      <c r="A232" s="19"/>
      <c r="B232" s="20"/>
      <c r="C232" s="20"/>
      <c r="D232" s="20"/>
      <c r="E232" s="20"/>
      <c r="F232" s="21"/>
      <c r="G232" s="22"/>
      <c r="H232" s="19"/>
      <c r="I232" s="22"/>
      <c r="J232" s="22"/>
      <c r="K232" s="23" t="str">
        <f>IF($A232="","",_EngineTrades!S232)</f>
        <v/>
      </c>
      <c r="L232" s="21"/>
      <c r="M232" s="22"/>
      <c r="N232" s="20"/>
      <c r="O232" s="24" t="str">
        <f t="shared" si="3"/>
        <v/>
      </c>
      <c r="P232" s="20"/>
      <c r="Q232" s="22"/>
      <c r="R232" s="22"/>
      <c r="S232" s="24" t="str">
        <f>IF($A232="","",_EngineTrades!V232)</f>
        <v/>
      </c>
      <c r="T232" t="str">
        <f>IF($A232="","",IFERROR(INDEX(Cycles!$R$9:$R$208,MATCH(_EngineTrades!AU232,_EngineCycles!$A$9:$A$208,0)),""))</f>
        <v/>
      </c>
      <c r="Y232" t="str">
        <f>IF(OR($A232="",$D232&lt;&gt;Overview!$P$2),"",COUNTIFS($D$9:$D$508,$D232,$A$9:$A$508,"&gt;"&amp;$A232)+COUNTIFS($D$9:$D$508,$D232,$A$9:$A$508,$A232)-COUNTIFS($D$9:$D232,$D232,$A$9:$A232,$A232)+1)</f>
        <v/>
      </c>
    </row>
    <row r="233" spans="1:25" ht="23.1" customHeight="1" x14ac:dyDescent="0.25">
      <c r="A233" s="13"/>
      <c r="B233" s="14"/>
      <c r="C233" s="14"/>
      <c r="D233" s="14"/>
      <c r="E233" s="14"/>
      <c r="F233" s="15"/>
      <c r="G233" s="16"/>
      <c r="H233" s="13"/>
      <c r="I233" s="16"/>
      <c r="J233" s="16"/>
      <c r="K233" s="17" t="str">
        <f>IF($A233="","",_EngineTrades!S233)</f>
        <v/>
      </c>
      <c r="L233" s="15"/>
      <c r="M233" s="16"/>
      <c r="N233" s="14"/>
      <c r="O233" s="18" t="str">
        <f t="shared" si="3"/>
        <v/>
      </c>
      <c r="P233" s="14"/>
      <c r="Q233" s="16"/>
      <c r="R233" s="16"/>
      <c r="S233" s="18" t="str">
        <f>IF($A233="","",_EngineTrades!V233)</f>
        <v/>
      </c>
      <c r="T233" t="str">
        <f>IF($A233="","",IFERROR(INDEX(Cycles!$R$9:$R$208,MATCH(_EngineTrades!AU233,_EngineCycles!$A$9:$A$208,0)),""))</f>
        <v/>
      </c>
      <c r="Y233" t="str">
        <f>IF(OR($A233="",$D233&lt;&gt;Overview!$P$2),"",COUNTIFS($D$9:$D$508,$D233,$A$9:$A$508,"&gt;"&amp;$A233)+COUNTIFS($D$9:$D$508,$D233,$A$9:$A$508,$A233)-COUNTIFS($D$9:$D233,$D233,$A$9:$A233,$A233)+1)</f>
        <v/>
      </c>
    </row>
    <row r="234" spans="1:25" ht="23.1" customHeight="1" x14ac:dyDescent="0.25">
      <c r="A234" s="19"/>
      <c r="B234" s="20"/>
      <c r="C234" s="20"/>
      <c r="D234" s="20"/>
      <c r="E234" s="20"/>
      <c r="F234" s="21"/>
      <c r="G234" s="22"/>
      <c r="H234" s="19"/>
      <c r="I234" s="22"/>
      <c r="J234" s="22"/>
      <c r="K234" s="23" t="str">
        <f>IF($A234="","",_EngineTrades!S234)</f>
        <v/>
      </c>
      <c r="L234" s="21"/>
      <c r="M234" s="22"/>
      <c r="N234" s="20"/>
      <c r="O234" s="24" t="str">
        <f t="shared" si="3"/>
        <v/>
      </c>
      <c r="P234" s="20"/>
      <c r="Q234" s="22"/>
      <c r="R234" s="22"/>
      <c r="S234" s="24" t="str">
        <f>IF($A234="","",_EngineTrades!V234)</f>
        <v/>
      </c>
      <c r="T234" t="str">
        <f>IF($A234="","",IFERROR(INDEX(Cycles!$R$9:$R$208,MATCH(_EngineTrades!AU234,_EngineCycles!$A$9:$A$208,0)),""))</f>
        <v/>
      </c>
      <c r="Y234" t="str">
        <f>IF(OR($A234="",$D234&lt;&gt;Overview!$P$2),"",COUNTIFS($D$9:$D$508,$D234,$A$9:$A$508,"&gt;"&amp;$A234)+COUNTIFS($D$9:$D$508,$D234,$A$9:$A$508,$A234)-COUNTIFS($D$9:$D234,$D234,$A$9:$A234,$A234)+1)</f>
        <v/>
      </c>
    </row>
    <row r="235" spans="1:25" ht="23.1" customHeight="1" x14ac:dyDescent="0.25">
      <c r="A235" s="13"/>
      <c r="B235" s="14"/>
      <c r="C235" s="14"/>
      <c r="D235" s="14"/>
      <c r="E235" s="14"/>
      <c r="F235" s="15"/>
      <c r="G235" s="16"/>
      <c r="H235" s="13"/>
      <c r="I235" s="16"/>
      <c r="J235" s="16"/>
      <c r="K235" s="17" t="str">
        <f>IF($A235="","",_EngineTrades!S235)</f>
        <v/>
      </c>
      <c r="L235" s="15"/>
      <c r="M235" s="16"/>
      <c r="N235" s="14"/>
      <c r="O235" s="18" t="str">
        <f t="shared" si="3"/>
        <v/>
      </c>
      <c r="P235" s="14"/>
      <c r="Q235" s="16"/>
      <c r="R235" s="16"/>
      <c r="S235" s="18" t="str">
        <f>IF($A235="","",_EngineTrades!V235)</f>
        <v/>
      </c>
      <c r="T235" t="str">
        <f>IF($A235="","",IFERROR(INDEX(Cycles!$R$9:$R$208,MATCH(_EngineTrades!AU235,_EngineCycles!$A$9:$A$208,0)),""))</f>
        <v/>
      </c>
      <c r="Y235" t="str">
        <f>IF(OR($A235="",$D235&lt;&gt;Overview!$P$2),"",COUNTIFS($D$9:$D$508,$D235,$A$9:$A$508,"&gt;"&amp;$A235)+COUNTIFS($D$9:$D$508,$D235,$A$9:$A$508,$A235)-COUNTIFS($D$9:$D235,$D235,$A$9:$A235,$A235)+1)</f>
        <v/>
      </c>
    </row>
    <row r="236" spans="1:25" ht="23.1" customHeight="1" x14ac:dyDescent="0.25">
      <c r="A236" s="19"/>
      <c r="B236" s="20"/>
      <c r="C236" s="20"/>
      <c r="D236" s="20"/>
      <c r="E236" s="20"/>
      <c r="F236" s="21"/>
      <c r="G236" s="22"/>
      <c r="H236" s="19"/>
      <c r="I236" s="22"/>
      <c r="J236" s="22"/>
      <c r="K236" s="23" t="str">
        <f>IF($A236="","",_EngineTrades!S236)</f>
        <v/>
      </c>
      <c r="L236" s="21"/>
      <c r="M236" s="22"/>
      <c r="N236" s="20"/>
      <c r="O236" s="24" t="str">
        <f t="shared" si="3"/>
        <v/>
      </c>
      <c r="P236" s="20"/>
      <c r="Q236" s="22"/>
      <c r="R236" s="22"/>
      <c r="S236" s="24" t="str">
        <f>IF($A236="","",_EngineTrades!V236)</f>
        <v/>
      </c>
      <c r="T236" t="str">
        <f>IF($A236="","",IFERROR(INDEX(Cycles!$R$9:$R$208,MATCH(_EngineTrades!AU236,_EngineCycles!$A$9:$A$208,0)),""))</f>
        <v/>
      </c>
      <c r="Y236" t="str">
        <f>IF(OR($A236="",$D236&lt;&gt;Overview!$P$2),"",COUNTIFS($D$9:$D$508,$D236,$A$9:$A$508,"&gt;"&amp;$A236)+COUNTIFS($D$9:$D$508,$D236,$A$9:$A$508,$A236)-COUNTIFS($D$9:$D236,$D236,$A$9:$A236,$A236)+1)</f>
        <v/>
      </c>
    </row>
    <row r="237" spans="1:25" ht="23.1" customHeight="1" x14ac:dyDescent="0.25">
      <c r="A237" s="13"/>
      <c r="B237" s="14"/>
      <c r="C237" s="14"/>
      <c r="D237" s="14"/>
      <c r="E237" s="14"/>
      <c r="F237" s="15"/>
      <c r="G237" s="16"/>
      <c r="H237" s="13"/>
      <c r="I237" s="16"/>
      <c r="J237" s="16"/>
      <c r="K237" s="17" t="str">
        <f>IF($A237="","",_EngineTrades!S237)</f>
        <v/>
      </c>
      <c r="L237" s="15"/>
      <c r="M237" s="16"/>
      <c r="N237" s="14"/>
      <c r="O237" s="18" t="str">
        <f t="shared" si="3"/>
        <v/>
      </c>
      <c r="P237" s="14"/>
      <c r="Q237" s="16"/>
      <c r="R237" s="16"/>
      <c r="S237" s="18" t="str">
        <f>IF($A237="","",_EngineTrades!V237)</f>
        <v/>
      </c>
      <c r="T237" t="str">
        <f>IF($A237="","",IFERROR(INDEX(Cycles!$R$9:$R$208,MATCH(_EngineTrades!AU237,_EngineCycles!$A$9:$A$208,0)),""))</f>
        <v/>
      </c>
      <c r="Y237" t="str">
        <f>IF(OR($A237="",$D237&lt;&gt;Overview!$P$2),"",COUNTIFS($D$9:$D$508,$D237,$A$9:$A$508,"&gt;"&amp;$A237)+COUNTIFS($D$9:$D$508,$D237,$A$9:$A$508,$A237)-COUNTIFS($D$9:$D237,$D237,$A$9:$A237,$A237)+1)</f>
        <v/>
      </c>
    </row>
    <row r="238" spans="1:25" ht="23.1" customHeight="1" x14ac:dyDescent="0.25">
      <c r="A238" s="19"/>
      <c r="B238" s="20"/>
      <c r="C238" s="20"/>
      <c r="D238" s="20"/>
      <c r="E238" s="20"/>
      <c r="F238" s="21"/>
      <c r="G238" s="22"/>
      <c r="H238" s="19"/>
      <c r="I238" s="22"/>
      <c r="J238" s="22"/>
      <c r="K238" s="23" t="str">
        <f>IF($A238="","",_EngineTrades!S238)</f>
        <v/>
      </c>
      <c r="L238" s="21"/>
      <c r="M238" s="22"/>
      <c r="N238" s="20"/>
      <c r="O238" s="24" t="str">
        <f t="shared" si="3"/>
        <v/>
      </c>
      <c r="P238" s="20"/>
      <c r="Q238" s="22"/>
      <c r="R238" s="22"/>
      <c r="S238" s="24" t="str">
        <f>IF($A238="","",_EngineTrades!V238)</f>
        <v/>
      </c>
      <c r="T238" t="str">
        <f>IF($A238="","",IFERROR(INDEX(Cycles!$R$9:$R$208,MATCH(_EngineTrades!AU238,_EngineCycles!$A$9:$A$208,0)),""))</f>
        <v/>
      </c>
      <c r="Y238" t="str">
        <f>IF(OR($A238="",$D238&lt;&gt;Overview!$P$2),"",COUNTIFS($D$9:$D$508,$D238,$A$9:$A$508,"&gt;"&amp;$A238)+COUNTIFS($D$9:$D$508,$D238,$A$9:$A$508,$A238)-COUNTIFS($D$9:$D238,$D238,$A$9:$A238,$A238)+1)</f>
        <v/>
      </c>
    </row>
    <row r="239" spans="1:25" ht="23.1" customHeight="1" x14ac:dyDescent="0.25">
      <c r="A239" s="13"/>
      <c r="B239" s="14"/>
      <c r="C239" s="14"/>
      <c r="D239" s="14"/>
      <c r="E239" s="14"/>
      <c r="F239" s="15"/>
      <c r="G239" s="16"/>
      <c r="H239" s="13"/>
      <c r="I239" s="16"/>
      <c r="J239" s="16"/>
      <c r="K239" s="17" t="str">
        <f>IF($A239="","",_EngineTrades!S239)</f>
        <v/>
      </c>
      <c r="L239" s="15"/>
      <c r="M239" s="16"/>
      <c r="N239" s="14"/>
      <c r="O239" s="18" t="str">
        <f t="shared" si="3"/>
        <v/>
      </c>
      <c r="P239" s="14"/>
      <c r="Q239" s="16"/>
      <c r="R239" s="16"/>
      <c r="S239" s="18" t="str">
        <f>IF($A239="","",_EngineTrades!V239)</f>
        <v/>
      </c>
      <c r="T239" t="str">
        <f>IF($A239="","",IFERROR(INDEX(Cycles!$R$9:$R$208,MATCH(_EngineTrades!AU239,_EngineCycles!$A$9:$A$208,0)),""))</f>
        <v/>
      </c>
      <c r="Y239" t="str">
        <f>IF(OR($A239="",$D239&lt;&gt;Overview!$P$2),"",COUNTIFS($D$9:$D$508,$D239,$A$9:$A$508,"&gt;"&amp;$A239)+COUNTIFS($D$9:$D$508,$D239,$A$9:$A$508,$A239)-COUNTIFS($D$9:$D239,$D239,$A$9:$A239,$A239)+1)</f>
        <v/>
      </c>
    </row>
    <row r="240" spans="1:25" ht="23.1" customHeight="1" x14ac:dyDescent="0.25">
      <c r="A240" s="19"/>
      <c r="B240" s="20"/>
      <c r="C240" s="20"/>
      <c r="D240" s="20"/>
      <c r="E240" s="20"/>
      <c r="F240" s="21"/>
      <c r="G240" s="22"/>
      <c r="H240" s="19"/>
      <c r="I240" s="22"/>
      <c r="J240" s="22"/>
      <c r="K240" s="23" t="str">
        <f>IF($A240="","",_EngineTrades!S240)</f>
        <v/>
      </c>
      <c r="L240" s="21"/>
      <c r="M240" s="22"/>
      <c r="N240" s="20"/>
      <c r="O240" s="24" t="str">
        <f t="shared" si="3"/>
        <v/>
      </c>
      <c r="P240" s="20"/>
      <c r="Q240" s="22"/>
      <c r="R240" s="22"/>
      <c r="S240" s="24" t="str">
        <f>IF($A240="","",_EngineTrades!V240)</f>
        <v/>
      </c>
      <c r="T240" t="str">
        <f>IF($A240="","",IFERROR(INDEX(Cycles!$R$9:$R$208,MATCH(_EngineTrades!AU240,_EngineCycles!$A$9:$A$208,0)),""))</f>
        <v/>
      </c>
      <c r="Y240" t="str">
        <f>IF(OR($A240="",$D240&lt;&gt;Overview!$P$2),"",COUNTIFS($D$9:$D$508,$D240,$A$9:$A$508,"&gt;"&amp;$A240)+COUNTIFS($D$9:$D$508,$D240,$A$9:$A$508,$A240)-COUNTIFS($D$9:$D240,$D240,$A$9:$A240,$A240)+1)</f>
        <v/>
      </c>
    </row>
    <row r="241" spans="1:25" ht="23.1" customHeight="1" x14ac:dyDescent="0.25">
      <c r="A241" s="13"/>
      <c r="B241" s="14"/>
      <c r="C241" s="14"/>
      <c r="D241" s="14"/>
      <c r="E241" s="14"/>
      <c r="F241" s="15"/>
      <c r="G241" s="16"/>
      <c r="H241" s="13"/>
      <c r="I241" s="16"/>
      <c r="J241" s="16"/>
      <c r="K241" s="17" t="str">
        <f>IF($A241="","",_EngineTrades!S241)</f>
        <v/>
      </c>
      <c r="L241" s="15"/>
      <c r="M241" s="16"/>
      <c r="N241" s="14"/>
      <c r="O241" s="18" t="str">
        <f t="shared" si="3"/>
        <v/>
      </c>
      <c r="P241" s="14"/>
      <c r="Q241" s="16"/>
      <c r="R241" s="16"/>
      <c r="S241" s="18" t="str">
        <f>IF($A241="","",_EngineTrades!V241)</f>
        <v/>
      </c>
      <c r="T241" t="str">
        <f>IF($A241="","",IFERROR(INDEX(Cycles!$R$9:$R$208,MATCH(_EngineTrades!AU241,_EngineCycles!$A$9:$A$208,0)),""))</f>
        <v/>
      </c>
      <c r="Y241" t="str">
        <f>IF(OR($A241="",$D241&lt;&gt;Overview!$P$2),"",COUNTIFS($D$9:$D$508,$D241,$A$9:$A$508,"&gt;"&amp;$A241)+COUNTIFS($D$9:$D$508,$D241,$A$9:$A$508,$A241)-COUNTIFS($D$9:$D241,$D241,$A$9:$A241,$A241)+1)</f>
        <v/>
      </c>
    </row>
    <row r="242" spans="1:25" ht="23.1" customHeight="1" x14ac:dyDescent="0.25">
      <c r="A242" s="19"/>
      <c r="B242" s="20"/>
      <c r="C242" s="20"/>
      <c r="D242" s="20"/>
      <c r="E242" s="20"/>
      <c r="F242" s="21"/>
      <c r="G242" s="22"/>
      <c r="H242" s="19"/>
      <c r="I242" s="22"/>
      <c r="J242" s="22"/>
      <c r="K242" s="23" t="str">
        <f>IF($A242="","",_EngineTrades!S242)</f>
        <v/>
      </c>
      <c r="L242" s="21"/>
      <c r="M242" s="22"/>
      <c r="N242" s="20"/>
      <c r="O242" s="24" t="str">
        <f t="shared" si="3"/>
        <v/>
      </c>
      <c r="P242" s="20"/>
      <c r="Q242" s="22"/>
      <c r="R242" s="22"/>
      <c r="S242" s="24" t="str">
        <f>IF($A242="","",_EngineTrades!V242)</f>
        <v/>
      </c>
      <c r="T242" t="str">
        <f>IF($A242="","",IFERROR(INDEX(Cycles!$R$9:$R$208,MATCH(_EngineTrades!AU242,_EngineCycles!$A$9:$A$208,0)),""))</f>
        <v/>
      </c>
      <c r="Y242" t="str">
        <f>IF(OR($A242="",$D242&lt;&gt;Overview!$P$2),"",COUNTIFS($D$9:$D$508,$D242,$A$9:$A$508,"&gt;"&amp;$A242)+COUNTIFS($D$9:$D$508,$D242,$A$9:$A$508,$A242)-COUNTIFS($D$9:$D242,$D242,$A$9:$A242,$A242)+1)</f>
        <v/>
      </c>
    </row>
    <row r="243" spans="1:25" ht="23.1" customHeight="1" x14ac:dyDescent="0.25">
      <c r="A243" s="13"/>
      <c r="B243" s="14"/>
      <c r="C243" s="14"/>
      <c r="D243" s="14"/>
      <c r="E243" s="14"/>
      <c r="F243" s="15"/>
      <c r="G243" s="16"/>
      <c r="H243" s="13"/>
      <c r="I243" s="16"/>
      <c r="J243" s="16"/>
      <c r="K243" s="17" t="str">
        <f>IF($A243="","",_EngineTrades!S243)</f>
        <v/>
      </c>
      <c r="L243" s="15"/>
      <c r="M243" s="16"/>
      <c r="N243" s="14"/>
      <c r="O243" s="18" t="str">
        <f t="shared" si="3"/>
        <v/>
      </c>
      <c r="P243" s="14"/>
      <c r="Q243" s="16"/>
      <c r="R243" s="16"/>
      <c r="S243" s="18" t="str">
        <f>IF($A243="","",_EngineTrades!V243)</f>
        <v/>
      </c>
      <c r="T243" t="str">
        <f>IF($A243="","",IFERROR(INDEX(Cycles!$R$9:$R$208,MATCH(_EngineTrades!AU243,_EngineCycles!$A$9:$A$208,0)),""))</f>
        <v/>
      </c>
      <c r="Y243" t="str">
        <f>IF(OR($A243="",$D243&lt;&gt;Overview!$P$2),"",COUNTIFS($D$9:$D$508,$D243,$A$9:$A$508,"&gt;"&amp;$A243)+COUNTIFS($D$9:$D$508,$D243,$A$9:$A$508,$A243)-COUNTIFS($D$9:$D243,$D243,$A$9:$A243,$A243)+1)</f>
        <v/>
      </c>
    </row>
    <row r="244" spans="1:25" ht="23.1" customHeight="1" x14ac:dyDescent="0.25">
      <c r="A244" s="19"/>
      <c r="B244" s="20"/>
      <c r="C244" s="20"/>
      <c r="D244" s="20"/>
      <c r="E244" s="20"/>
      <c r="F244" s="21"/>
      <c r="G244" s="22"/>
      <c r="H244" s="19"/>
      <c r="I244" s="22"/>
      <c r="J244" s="22"/>
      <c r="K244" s="23" t="str">
        <f>IF($A244="","",_EngineTrades!S244)</f>
        <v/>
      </c>
      <c r="L244" s="21"/>
      <c r="M244" s="22"/>
      <c r="N244" s="20"/>
      <c r="O244" s="24" t="str">
        <f t="shared" si="3"/>
        <v/>
      </c>
      <c r="P244" s="20"/>
      <c r="Q244" s="22"/>
      <c r="R244" s="22"/>
      <c r="S244" s="24" t="str">
        <f>IF($A244="","",_EngineTrades!V244)</f>
        <v/>
      </c>
      <c r="T244" t="str">
        <f>IF($A244="","",IFERROR(INDEX(Cycles!$R$9:$R$208,MATCH(_EngineTrades!AU244,_EngineCycles!$A$9:$A$208,0)),""))</f>
        <v/>
      </c>
      <c r="Y244" t="str">
        <f>IF(OR($A244="",$D244&lt;&gt;Overview!$P$2),"",COUNTIFS($D$9:$D$508,$D244,$A$9:$A$508,"&gt;"&amp;$A244)+COUNTIFS($D$9:$D$508,$D244,$A$9:$A$508,$A244)-COUNTIFS($D$9:$D244,$D244,$A$9:$A244,$A244)+1)</f>
        <v/>
      </c>
    </row>
    <row r="245" spans="1:25" ht="23.1" customHeight="1" x14ac:dyDescent="0.25">
      <c r="A245" s="13"/>
      <c r="B245" s="14"/>
      <c r="C245" s="14"/>
      <c r="D245" s="14"/>
      <c r="E245" s="14"/>
      <c r="F245" s="15"/>
      <c r="G245" s="16"/>
      <c r="H245" s="13"/>
      <c r="I245" s="16"/>
      <c r="J245" s="16"/>
      <c r="K245" s="17" t="str">
        <f>IF($A245="","",_EngineTrades!S245)</f>
        <v/>
      </c>
      <c r="L245" s="15"/>
      <c r="M245" s="16"/>
      <c r="N245" s="14"/>
      <c r="O245" s="18" t="str">
        <f t="shared" si="3"/>
        <v/>
      </c>
      <c r="P245" s="14"/>
      <c r="Q245" s="16"/>
      <c r="R245" s="16"/>
      <c r="S245" s="18" t="str">
        <f>IF($A245="","",_EngineTrades!V245)</f>
        <v/>
      </c>
      <c r="T245" t="str">
        <f>IF($A245="","",IFERROR(INDEX(Cycles!$R$9:$R$208,MATCH(_EngineTrades!AU245,_EngineCycles!$A$9:$A$208,0)),""))</f>
        <v/>
      </c>
      <c r="Y245" t="str">
        <f>IF(OR($A245="",$D245&lt;&gt;Overview!$P$2),"",COUNTIFS($D$9:$D$508,$D245,$A$9:$A$508,"&gt;"&amp;$A245)+COUNTIFS($D$9:$D$508,$D245,$A$9:$A$508,$A245)-COUNTIFS($D$9:$D245,$D245,$A$9:$A245,$A245)+1)</f>
        <v/>
      </c>
    </row>
    <row r="246" spans="1:25" ht="23.1" customHeight="1" x14ac:dyDescent="0.25">
      <c r="A246" s="19"/>
      <c r="B246" s="20"/>
      <c r="C246" s="20"/>
      <c r="D246" s="20"/>
      <c r="E246" s="20"/>
      <c r="F246" s="21"/>
      <c r="G246" s="22"/>
      <c r="H246" s="19"/>
      <c r="I246" s="22"/>
      <c r="J246" s="22"/>
      <c r="K246" s="23" t="str">
        <f>IF($A246="","",_EngineTrades!S246)</f>
        <v/>
      </c>
      <c r="L246" s="21"/>
      <c r="M246" s="22"/>
      <c r="N246" s="20"/>
      <c r="O246" s="24" t="str">
        <f t="shared" si="3"/>
        <v/>
      </c>
      <c r="P246" s="20"/>
      <c r="Q246" s="22"/>
      <c r="R246" s="22"/>
      <c r="S246" s="24" t="str">
        <f>IF($A246="","",_EngineTrades!V246)</f>
        <v/>
      </c>
      <c r="T246" t="str">
        <f>IF($A246="","",IFERROR(INDEX(Cycles!$R$9:$R$208,MATCH(_EngineTrades!AU246,_EngineCycles!$A$9:$A$208,0)),""))</f>
        <v/>
      </c>
      <c r="Y246" t="str">
        <f>IF(OR($A246="",$D246&lt;&gt;Overview!$P$2),"",COUNTIFS($D$9:$D$508,$D246,$A$9:$A$508,"&gt;"&amp;$A246)+COUNTIFS($D$9:$D$508,$D246,$A$9:$A$508,$A246)-COUNTIFS($D$9:$D246,$D246,$A$9:$A246,$A246)+1)</f>
        <v/>
      </c>
    </row>
    <row r="247" spans="1:25" ht="23.1" customHeight="1" x14ac:dyDescent="0.25">
      <c r="A247" s="13"/>
      <c r="B247" s="14"/>
      <c r="C247" s="14"/>
      <c r="D247" s="14"/>
      <c r="E247" s="14"/>
      <c r="F247" s="15"/>
      <c r="G247" s="16"/>
      <c r="H247" s="13"/>
      <c r="I247" s="16"/>
      <c r="J247" s="16"/>
      <c r="K247" s="17" t="str">
        <f>IF($A247="","",_EngineTrades!S247)</f>
        <v/>
      </c>
      <c r="L247" s="15"/>
      <c r="M247" s="16"/>
      <c r="N247" s="14"/>
      <c r="O247" s="18" t="str">
        <f t="shared" si="3"/>
        <v/>
      </c>
      <c r="P247" s="14"/>
      <c r="Q247" s="16"/>
      <c r="R247" s="16"/>
      <c r="S247" s="18" t="str">
        <f>IF($A247="","",_EngineTrades!V247)</f>
        <v/>
      </c>
      <c r="T247" t="str">
        <f>IF($A247="","",IFERROR(INDEX(Cycles!$R$9:$R$208,MATCH(_EngineTrades!AU247,_EngineCycles!$A$9:$A$208,0)),""))</f>
        <v/>
      </c>
      <c r="Y247" t="str">
        <f>IF(OR($A247="",$D247&lt;&gt;Overview!$P$2),"",COUNTIFS($D$9:$D$508,$D247,$A$9:$A$508,"&gt;"&amp;$A247)+COUNTIFS($D$9:$D$508,$D247,$A$9:$A$508,$A247)-COUNTIFS($D$9:$D247,$D247,$A$9:$A247,$A247)+1)</f>
        <v/>
      </c>
    </row>
    <row r="248" spans="1:25" ht="23.1" customHeight="1" x14ac:dyDescent="0.25">
      <c r="A248" s="19"/>
      <c r="B248" s="20"/>
      <c r="C248" s="20"/>
      <c r="D248" s="20"/>
      <c r="E248" s="20"/>
      <c r="F248" s="21"/>
      <c r="G248" s="22"/>
      <c r="H248" s="19"/>
      <c r="I248" s="22"/>
      <c r="J248" s="22"/>
      <c r="K248" s="23" t="str">
        <f>IF($A248="","",_EngineTrades!S248)</f>
        <v/>
      </c>
      <c r="L248" s="21"/>
      <c r="M248" s="22"/>
      <c r="N248" s="20"/>
      <c r="O248" s="24" t="str">
        <f t="shared" si="3"/>
        <v/>
      </c>
      <c r="P248" s="20"/>
      <c r="Q248" s="22"/>
      <c r="R248" s="22"/>
      <c r="S248" s="24" t="str">
        <f>IF($A248="","",_EngineTrades!V248)</f>
        <v/>
      </c>
      <c r="T248" t="str">
        <f>IF($A248="","",IFERROR(INDEX(Cycles!$R$9:$R$208,MATCH(_EngineTrades!AU248,_EngineCycles!$A$9:$A$208,0)),""))</f>
        <v/>
      </c>
      <c r="Y248" t="str">
        <f>IF(OR($A248="",$D248&lt;&gt;Overview!$P$2),"",COUNTIFS($D$9:$D$508,$D248,$A$9:$A$508,"&gt;"&amp;$A248)+COUNTIFS($D$9:$D$508,$D248,$A$9:$A$508,$A248)-COUNTIFS($D$9:$D248,$D248,$A$9:$A248,$A248)+1)</f>
        <v/>
      </c>
    </row>
    <row r="249" spans="1:25" ht="23.1" customHeight="1" x14ac:dyDescent="0.25">
      <c r="A249" s="13"/>
      <c r="B249" s="14"/>
      <c r="C249" s="14"/>
      <c r="D249" s="14"/>
      <c r="E249" s="14"/>
      <c r="F249" s="15"/>
      <c r="G249" s="16"/>
      <c r="H249" s="13"/>
      <c r="I249" s="16"/>
      <c r="J249" s="16"/>
      <c r="K249" s="17" t="str">
        <f>IF($A249="","",_EngineTrades!S249)</f>
        <v/>
      </c>
      <c r="L249" s="15"/>
      <c r="M249" s="16"/>
      <c r="N249" s="14"/>
      <c r="O249" s="18" t="str">
        <f t="shared" si="3"/>
        <v/>
      </c>
      <c r="P249" s="14"/>
      <c r="Q249" s="16"/>
      <c r="R249" s="16"/>
      <c r="S249" s="18" t="str">
        <f>IF($A249="","",_EngineTrades!V249)</f>
        <v/>
      </c>
      <c r="T249" t="str">
        <f>IF($A249="","",IFERROR(INDEX(Cycles!$R$9:$R$208,MATCH(_EngineTrades!AU249,_EngineCycles!$A$9:$A$208,0)),""))</f>
        <v/>
      </c>
      <c r="Y249" t="str">
        <f>IF(OR($A249="",$D249&lt;&gt;Overview!$P$2),"",COUNTIFS($D$9:$D$508,$D249,$A$9:$A$508,"&gt;"&amp;$A249)+COUNTIFS($D$9:$D$508,$D249,$A$9:$A$508,$A249)-COUNTIFS($D$9:$D249,$D249,$A$9:$A249,$A249)+1)</f>
        <v/>
      </c>
    </row>
    <row r="250" spans="1:25" ht="23.1" customHeight="1" x14ac:dyDescent="0.25">
      <c r="A250" s="19"/>
      <c r="B250" s="20"/>
      <c r="C250" s="20"/>
      <c r="D250" s="20"/>
      <c r="E250" s="20"/>
      <c r="F250" s="21"/>
      <c r="G250" s="22"/>
      <c r="H250" s="19"/>
      <c r="I250" s="22"/>
      <c r="J250" s="22"/>
      <c r="K250" s="23" t="str">
        <f>IF($A250="","",_EngineTrades!S250)</f>
        <v/>
      </c>
      <c r="L250" s="21"/>
      <c r="M250" s="22"/>
      <c r="N250" s="20"/>
      <c r="O250" s="24" t="str">
        <f t="shared" si="3"/>
        <v/>
      </c>
      <c r="P250" s="20"/>
      <c r="Q250" s="22"/>
      <c r="R250" s="22"/>
      <c r="S250" s="24" t="str">
        <f>IF($A250="","",_EngineTrades!V250)</f>
        <v/>
      </c>
      <c r="T250" t="str">
        <f>IF($A250="","",IFERROR(INDEX(Cycles!$R$9:$R$208,MATCH(_EngineTrades!AU250,_EngineCycles!$A$9:$A$208,0)),""))</f>
        <v/>
      </c>
      <c r="Y250" t="str">
        <f>IF(OR($A250="",$D250&lt;&gt;Overview!$P$2),"",COUNTIFS($D$9:$D$508,$D250,$A$9:$A$508,"&gt;"&amp;$A250)+COUNTIFS($D$9:$D$508,$D250,$A$9:$A$508,$A250)-COUNTIFS($D$9:$D250,$D250,$A$9:$A250,$A250)+1)</f>
        <v/>
      </c>
    </row>
    <row r="251" spans="1:25" ht="23.1" customHeight="1" x14ac:dyDescent="0.25">
      <c r="A251" s="13"/>
      <c r="B251" s="14"/>
      <c r="C251" s="14"/>
      <c r="D251" s="14"/>
      <c r="E251" s="14"/>
      <c r="F251" s="15"/>
      <c r="G251" s="16"/>
      <c r="H251" s="13"/>
      <c r="I251" s="16"/>
      <c r="J251" s="16"/>
      <c r="K251" s="17" t="str">
        <f>IF($A251="","",_EngineTrades!S251)</f>
        <v/>
      </c>
      <c r="L251" s="15"/>
      <c r="M251" s="16"/>
      <c r="N251" s="14"/>
      <c r="O251" s="18" t="str">
        <f t="shared" si="3"/>
        <v/>
      </c>
      <c r="P251" s="14"/>
      <c r="Q251" s="16"/>
      <c r="R251" s="16"/>
      <c r="S251" s="18" t="str">
        <f>IF($A251="","",_EngineTrades!V251)</f>
        <v/>
      </c>
      <c r="T251" t="str">
        <f>IF($A251="","",IFERROR(INDEX(Cycles!$R$9:$R$208,MATCH(_EngineTrades!AU251,_EngineCycles!$A$9:$A$208,0)),""))</f>
        <v/>
      </c>
      <c r="Y251" t="str">
        <f>IF(OR($A251="",$D251&lt;&gt;Overview!$P$2),"",COUNTIFS($D$9:$D$508,$D251,$A$9:$A$508,"&gt;"&amp;$A251)+COUNTIFS($D$9:$D$508,$D251,$A$9:$A$508,$A251)-COUNTIFS($D$9:$D251,$D251,$A$9:$A251,$A251)+1)</f>
        <v/>
      </c>
    </row>
    <row r="252" spans="1:25" ht="23.1" customHeight="1" x14ac:dyDescent="0.25">
      <c r="A252" s="19"/>
      <c r="B252" s="20"/>
      <c r="C252" s="20"/>
      <c r="D252" s="20"/>
      <c r="E252" s="20"/>
      <c r="F252" s="21"/>
      <c r="G252" s="22"/>
      <c r="H252" s="19"/>
      <c r="I252" s="22"/>
      <c r="J252" s="22"/>
      <c r="K252" s="23" t="str">
        <f>IF($A252="","",_EngineTrades!S252)</f>
        <v/>
      </c>
      <c r="L252" s="21"/>
      <c r="M252" s="22"/>
      <c r="N252" s="20"/>
      <c r="O252" s="24" t="str">
        <f t="shared" si="3"/>
        <v/>
      </c>
      <c r="P252" s="20"/>
      <c r="Q252" s="22"/>
      <c r="R252" s="22"/>
      <c r="S252" s="24" t="str">
        <f>IF($A252="","",_EngineTrades!V252)</f>
        <v/>
      </c>
      <c r="T252" t="str">
        <f>IF($A252="","",IFERROR(INDEX(Cycles!$R$9:$R$208,MATCH(_EngineTrades!AU252,_EngineCycles!$A$9:$A$208,0)),""))</f>
        <v/>
      </c>
      <c r="Y252" t="str">
        <f>IF(OR($A252="",$D252&lt;&gt;Overview!$P$2),"",COUNTIFS($D$9:$D$508,$D252,$A$9:$A$508,"&gt;"&amp;$A252)+COUNTIFS($D$9:$D$508,$D252,$A$9:$A$508,$A252)-COUNTIFS($D$9:$D252,$D252,$A$9:$A252,$A252)+1)</f>
        <v/>
      </c>
    </row>
    <row r="253" spans="1:25" ht="23.1" customHeight="1" x14ac:dyDescent="0.25">
      <c r="A253" s="13"/>
      <c r="B253" s="14"/>
      <c r="C253" s="14"/>
      <c r="D253" s="14"/>
      <c r="E253" s="14"/>
      <c r="F253" s="15"/>
      <c r="G253" s="16"/>
      <c r="H253" s="13"/>
      <c r="I253" s="16"/>
      <c r="J253" s="16"/>
      <c r="K253" s="17" t="str">
        <f>IF($A253="","",_EngineTrades!S253)</f>
        <v/>
      </c>
      <c r="L253" s="15"/>
      <c r="M253" s="16"/>
      <c r="N253" s="14"/>
      <c r="O253" s="18" t="str">
        <f t="shared" si="3"/>
        <v/>
      </c>
      <c r="P253" s="14"/>
      <c r="Q253" s="16"/>
      <c r="R253" s="16"/>
      <c r="S253" s="18" t="str">
        <f>IF($A253="","",_EngineTrades!V253)</f>
        <v/>
      </c>
      <c r="T253" t="str">
        <f>IF($A253="","",IFERROR(INDEX(Cycles!$R$9:$R$208,MATCH(_EngineTrades!AU253,_EngineCycles!$A$9:$A$208,0)),""))</f>
        <v/>
      </c>
      <c r="Y253" t="str">
        <f>IF(OR($A253="",$D253&lt;&gt;Overview!$P$2),"",COUNTIFS($D$9:$D$508,$D253,$A$9:$A$508,"&gt;"&amp;$A253)+COUNTIFS($D$9:$D$508,$D253,$A$9:$A$508,$A253)-COUNTIFS($D$9:$D253,$D253,$A$9:$A253,$A253)+1)</f>
        <v/>
      </c>
    </row>
    <row r="254" spans="1:25" ht="23.1" customHeight="1" x14ac:dyDescent="0.25">
      <c r="A254" s="19"/>
      <c r="B254" s="20"/>
      <c r="C254" s="20"/>
      <c r="D254" s="20"/>
      <c r="E254" s="20"/>
      <c r="F254" s="21"/>
      <c r="G254" s="22"/>
      <c r="H254" s="19"/>
      <c r="I254" s="22"/>
      <c r="J254" s="22"/>
      <c r="K254" s="23" t="str">
        <f>IF($A254="","",_EngineTrades!S254)</f>
        <v/>
      </c>
      <c r="L254" s="21"/>
      <c r="M254" s="22"/>
      <c r="N254" s="20"/>
      <c r="O254" s="24" t="str">
        <f t="shared" si="3"/>
        <v/>
      </c>
      <c r="P254" s="20"/>
      <c r="Q254" s="22"/>
      <c r="R254" s="22"/>
      <c r="S254" s="24" t="str">
        <f>IF($A254="","",_EngineTrades!V254)</f>
        <v/>
      </c>
      <c r="T254" t="str">
        <f>IF($A254="","",IFERROR(INDEX(Cycles!$R$9:$R$208,MATCH(_EngineTrades!AU254,_EngineCycles!$A$9:$A$208,0)),""))</f>
        <v/>
      </c>
      <c r="Y254" t="str">
        <f>IF(OR($A254="",$D254&lt;&gt;Overview!$P$2),"",COUNTIFS($D$9:$D$508,$D254,$A$9:$A$508,"&gt;"&amp;$A254)+COUNTIFS($D$9:$D$508,$D254,$A$9:$A$508,$A254)-COUNTIFS($D$9:$D254,$D254,$A$9:$A254,$A254)+1)</f>
        <v/>
      </c>
    </row>
    <row r="255" spans="1:25" ht="23.1" customHeight="1" x14ac:dyDescent="0.25">
      <c r="A255" s="13"/>
      <c r="B255" s="14"/>
      <c r="C255" s="14"/>
      <c r="D255" s="14"/>
      <c r="E255" s="14"/>
      <c r="F255" s="15"/>
      <c r="G255" s="16"/>
      <c r="H255" s="13"/>
      <c r="I255" s="16"/>
      <c r="J255" s="16"/>
      <c r="K255" s="17" t="str">
        <f>IF($A255="","",_EngineTrades!S255)</f>
        <v/>
      </c>
      <c r="L255" s="15"/>
      <c r="M255" s="16"/>
      <c r="N255" s="14"/>
      <c r="O255" s="18" t="str">
        <f t="shared" si="3"/>
        <v/>
      </c>
      <c r="P255" s="14"/>
      <c r="Q255" s="16"/>
      <c r="R255" s="16"/>
      <c r="S255" s="18" t="str">
        <f>IF($A255="","",_EngineTrades!V255)</f>
        <v/>
      </c>
      <c r="T255" t="str">
        <f>IF($A255="","",IFERROR(INDEX(Cycles!$R$9:$R$208,MATCH(_EngineTrades!AU255,_EngineCycles!$A$9:$A$208,0)),""))</f>
        <v/>
      </c>
      <c r="Y255" t="str">
        <f>IF(OR($A255="",$D255&lt;&gt;Overview!$P$2),"",COUNTIFS($D$9:$D$508,$D255,$A$9:$A$508,"&gt;"&amp;$A255)+COUNTIFS($D$9:$D$508,$D255,$A$9:$A$508,$A255)-COUNTIFS($D$9:$D255,$D255,$A$9:$A255,$A255)+1)</f>
        <v/>
      </c>
    </row>
    <row r="256" spans="1:25" ht="23.1" customHeight="1" x14ac:dyDescent="0.25">
      <c r="A256" s="19"/>
      <c r="B256" s="20"/>
      <c r="C256" s="20"/>
      <c r="D256" s="20"/>
      <c r="E256" s="20"/>
      <c r="F256" s="21"/>
      <c r="G256" s="22"/>
      <c r="H256" s="19"/>
      <c r="I256" s="22"/>
      <c r="J256" s="22"/>
      <c r="K256" s="23" t="str">
        <f>IF($A256="","",_EngineTrades!S256)</f>
        <v/>
      </c>
      <c r="L256" s="21"/>
      <c r="M256" s="22"/>
      <c r="N256" s="20"/>
      <c r="O256" s="24" t="str">
        <f t="shared" si="3"/>
        <v/>
      </c>
      <c r="P256" s="20"/>
      <c r="Q256" s="22"/>
      <c r="R256" s="22"/>
      <c r="S256" s="24" t="str">
        <f>IF($A256="","",_EngineTrades!V256)</f>
        <v/>
      </c>
      <c r="T256" t="str">
        <f>IF($A256="","",IFERROR(INDEX(Cycles!$R$9:$R$208,MATCH(_EngineTrades!AU256,_EngineCycles!$A$9:$A$208,0)),""))</f>
        <v/>
      </c>
      <c r="Y256" t="str">
        <f>IF(OR($A256="",$D256&lt;&gt;Overview!$P$2),"",COUNTIFS($D$9:$D$508,$D256,$A$9:$A$508,"&gt;"&amp;$A256)+COUNTIFS($D$9:$D$508,$D256,$A$9:$A$508,$A256)-COUNTIFS($D$9:$D256,$D256,$A$9:$A256,$A256)+1)</f>
        <v/>
      </c>
    </row>
    <row r="257" spans="1:25" ht="23.1" customHeight="1" x14ac:dyDescent="0.25">
      <c r="A257" s="13"/>
      <c r="B257" s="14"/>
      <c r="C257" s="14"/>
      <c r="D257" s="14"/>
      <c r="E257" s="14"/>
      <c r="F257" s="15"/>
      <c r="G257" s="16"/>
      <c r="H257" s="13"/>
      <c r="I257" s="16"/>
      <c r="J257" s="16"/>
      <c r="K257" s="17" t="str">
        <f>IF($A257="","",_EngineTrades!S257)</f>
        <v/>
      </c>
      <c r="L257" s="15"/>
      <c r="M257" s="16"/>
      <c r="N257" s="14"/>
      <c r="O257" s="18" t="str">
        <f t="shared" si="3"/>
        <v/>
      </c>
      <c r="P257" s="14"/>
      <c r="Q257" s="16"/>
      <c r="R257" s="16"/>
      <c r="S257" s="18" t="str">
        <f>IF($A257="","",_EngineTrades!V257)</f>
        <v/>
      </c>
      <c r="T257" t="str">
        <f>IF($A257="","",IFERROR(INDEX(Cycles!$R$9:$R$208,MATCH(_EngineTrades!AU257,_EngineCycles!$A$9:$A$208,0)),""))</f>
        <v/>
      </c>
      <c r="Y257" t="str">
        <f>IF(OR($A257="",$D257&lt;&gt;Overview!$P$2),"",COUNTIFS($D$9:$D$508,$D257,$A$9:$A$508,"&gt;"&amp;$A257)+COUNTIFS($D$9:$D$508,$D257,$A$9:$A$508,$A257)-COUNTIFS($D$9:$D257,$D257,$A$9:$A257,$A257)+1)</f>
        <v/>
      </c>
    </row>
    <row r="258" spans="1:25" ht="23.1" customHeight="1" x14ac:dyDescent="0.25">
      <c r="A258" s="19"/>
      <c r="B258" s="20"/>
      <c r="C258" s="20"/>
      <c r="D258" s="20"/>
      <c r="E258" s="20"/>
      <c r="F258" s="21"/>
      <c r="G258" s="22"/>
      <c r="H258" s="19"/>
      <c r="I258" s="22"/>
      <c r="J258" s="22"/>
      <c r="K258" s="23" t="str">
        <f>IF($A258="","",_EngineTrades!S258)</f>
        <v/>
      </c>
      <c r="L258" s="21"/>
      <c r="M258" s="22"/>
      <c r="N258" s="20"/>
      <c r="O258" s="24" t="str">
        <f t="shared" si="3"/>
        <v/>
      </c>
      <c r="P258" s="20"/>
      <c r="Q258" s="22"/>
      <c r="R258" s="22"/>
      <c r="S258" s="24" t="str">
        <f>IF($A258="","",_EngineTrades!V258)</f>
        <v/>
      </c>
      <c r="T258" t="str">
        <f>IF($A258="","",IFERROR(INDEX(Cycles!$R$9:$R$208,MATCH(_EngineTrades!AU258,_EngineCycles!$A$9:$A$208,0)),""))</f>
        <v/>
      </c>
      <c r="Y258" t="str">
        <f>IF(OR($A258="",$D258&lt;&gt;Overview!$P$2),"",COUNTIFS($D$9:$D$508,$D258,$A$9:$A$508,"&gt;"&amp;$A258)+COUNTIFS($D$9:$D$508,$D258,$A$9:$A$508,$A258)-COUNTIFS($D$9:$D258,$D258,$A$9:$A258,$A258)+1)</f>
        <v/>
      </c>
    </row>
    <row r="259" spans="1:25" ht="23.1" customHeight="1" x14ac:dyDescent="0.25">
      <c r="A259" s="13"/>
      <c r="B259" s="14"/>
      <c r="C259" s="14"/>
      <c r="D259" s="14"/>
      <c r="E259" s="14"/>
      <c r="F259" s="15"/>
      <c r="G259" s="16"/>
      <c r="H259" s="13"/>
      <c r="I259" s="16"/>
      <c r="J259" s="16"/>
      <c r="K259" s="17" t="str">
        <f>IF($A259="","",_EngineTrades!S259)</f>
        <v/>
      </c>
      <c r="L259" s="15"/>
      <c r="M259" s="16"/>
      <c r="N259" s="14"/>
      <c r="O259" s="18" t="str">
        <f t="shared" si="3"/>
        <v/>
      </c>
      <c r="P259" s="14"/>
      <c r="Q259" s="16"/>
      <c r="R259" s="16"/>
      <c r="S259" s="18" t="str">
        <f>IF($A259="","",_EngineTrades!V259)</f>
        <v/>
      </c>
      <c r="T259" t="str">
        <f>IF($A259="","",IFERROR(INDEX(Cycles!$R$9:$R$208,MATCH(_EngineTrades!AU259,_EngineCycles!$A$9:$A$208,0)),""))</f>
        <v/>
      </c>
      <c r="Y259" t="str">
        <f>IF(OR($A259="",$D259&lt;&gt;Overview!$P$2),"",COUNTIFS($D$9:$D$508,$D259,$A$9:$A$508,"&gt;"&amp;$A259)+COUNTIFS($D$9:$D$508,$D259,$A$9:$A$508,$A259)-COUNTIFS($D$9:$D259,$D259,$A$9:$A259,$A259)+1)</f>
        <v/>
      </c>
    </row>
    <row r="260" spans="1:25" ht="23.1" customHeight="1" x14ac:dyDescent="0.25">
      <c r="A260" s="19"/>
      <c r="B260" s="20"/>
      <c r="C260" s="20"/>
      <c r="D260" s="20"/>
      <c r="E260" s="20"/>
      <c r="F260" s="21"/>
      <c r="G260" s="22"/>
      <c r="H260" s="19"/>
      <c r="I260" s="22"/>
      <c r="J260" s="22"/>
      <c r="K260" s="23" t="str">
        <f>IF($A260="","",_EngineTrades!S260)</f>
        <v/>
      </c>
      <c r="L260" s="21"/>
      <c r="M260" s="22"/>
      <c r="N260" s="20"/>
      <c r="O260" s="24" t="str">
        <f t="shared" si="3"/>
        <v/>
      </c>
      <c r="P260" s="20"/>
      <c r="Q260" s="22"/>
      <c r="R260" s="22"/>
      <c r="S260" s="24" t="str">
        <f>IF($A260="","",_EngineTrades!V260)</f>
        <v/>
      </c>
      <c r="T260" t="str">
        <f>IF($A260="","",IFERROR(INDEX(Cycles!$R$9:$R$208,MATCH(_EngineTrades!AU260,_EngineCycles!$A$9:$A$208,0)),""))</f>
        <v/>
      </c>
      <c r="Y260" t="str">
        <f>IF(OR($A260="",$D260&lt;&gt;Overview!$P$2),"",COUNTIFS($D$9:$D$508,$D260,$A$9:$A$508,"&gt;"&amp;$A260)+COUNTIFS($D$9:$D$508,$D260,$A$9:$A$508,$A260)-COUNTIFS($D$9:$D260,$D260,$A$9:$A260,$A260)+1)</f>
        <v/>
      </c>
    </row>
    <row r="261" spans="1:25" ht="23.1" customHeight="1" x14ac:dyDescent="0.25">
      <c r="A261" s="13"/>
      <c r="B261" s="14"/>
      <c r="C261" s="14"/>
      <c r="D261" s="14"/>
      <c r="E261" s="14"/>
      <c r="F261" s="15"/>
      <c r="G261" s="16"/>
      <c r="H261" s="13"/>
      <c r="I261" s="16"/>
      <c r="J261" s="16"/>
      <c r="K261" s="17" t="str">
        <f>IF($A261="","",_EngineTrades!S261)</f>
        <v/>
      </c>
      <c r="L261" s="15"/>
      <c r="M261" s="16"/>
      <c r="N261" s="14"/>
      <c r="O261" s="18" t="str">
        <f t="shared" si="3"/>
        <v/>
      </c>
      <c r="P261" s="14"/>
      <c r="Q261" s="16"/>
      <c r="R261" s="16"/>
      <c r="S261" s="18" t="str">
        <f>IF($A261="","",_EngineTrades!V261)</f>
        <v/>
      </c>
      <c r="T261" t="str">
        <f>IF($A261="","",IFERROR(INDEX(Cycles!$R$9:$R$208,MATCH(_EngineTrades!AU261,_EngineCycles!$A$9:$A$208,0)),""))</f>
        <v/>
      </c>
      <c r="Y261" t="str">
        <f>IF(OR($A261="",$D261&lt;&gt;Overview!$P$2),"",COUNTIFS($D$9:$D$508,$D261,$A$9:$A$508,"&gt;"&amp;$A261)+COUNTIFS($D$9:$D$508,$D261,$A$9:$A$508,$A261)-COUNTIFS($D$9:$D261,$D261,$A$9:$A261,$A261)+1)</f>
        <v/>
      </c>
    </row>
    <row r="262" spans="1:25" ht="23.1" customHeight="1" x14ac:dyDescent="0.25">
      <c r="A262" s="19"/>
      <c r="B262" s="20"/>
      <c r="C262" s="20"/>
      <c r="D262" s="20"/>
      <c r="E262" s="20"/>
      <c r="F262" s="21"/>
      <c r="G262" s="22"/>
      <c r="H262" s="19"/>
      <c r="I262" s="22"/>
      <c r="J262" s="22"/>
      <c r="K262" s="23" t="str">
        <f>IF($A262="","",_EngineTrades!S262)</f>
        <v/>
      </c>
      <c r="L262" s="21"/>
      <c r="M262" s="22"/>
      <c r="N262" s="20"/>
      <c r="O262" s="24" t="str">
        <f t="shared" si="3"/>
        <v/>
      </c>
      <c r="P262" s="20"/>
      <c r="Q262" s="22"/>
      <c r="R262" s="22"/>
      <c r="S262" s="24" t="str">
        <f>IF($A262="","",_EngineTrades!V262)</f>
        <v/>
      </c>
      <c r="T262" t="str">
        <f>IF($A262="","",IFERROR(INDEX(Cycles!$R$9:$R$208,MATCH(_EngineTrades!AU262,_EngineCycles!$A$9:$A$208,0)),""))</f>
        <v/>
      </c>
      <c r="Y262" t="str">
        <f>IF(OR($A262="",$D262&lt;&gt;Overview!$P$2),"",COUNTIFS($D$9:$D$508,$D262,$A$9:$A$508,"&gt;"&amp;$A262)+COUNTIFS($D$9:$D$508,$D262,$A$9:$A$508,$A262)-COUNTIFS($D$9:$D262,$D262,$A$9:$A262,$A262)+1)</f>
        <v/>
      </c>
    </row>
    <row r="263" spans="1:25" ht="23.1" customHeight="1" x14ac:dyDescent="0.25">
      <c r="A263" s="13"/>
      <c r="B263" s="14"/>
      <c r="C263" s="14"/>
      <c r="D263" s="14"/>
      <c r="E263" s="14"/>
      <c r="F263" s="15"/>
      <c r="G263" s="16"/>
      <c r="H263" s="13"/>
      <c r="I263" s="16"/>
      <c r="J263" s="16"/>
      <c r="K263" s="17" t="str">
        <f>IF($A263="","",_EngineTrades!S263)</f>
        <v/>
      </c>
      <c r="L263" s="15"/>
      <c r="M263" s="16"/>
      <c r="N263" s="14"/>
      <c r="O263" s="18" t="str">
        <f t="shared" si="3"/>
        <v/>
      </c>
      <c r="P263" s="14"/>
      <c r="Q263" s="16"/>
      <c r="R263" s="16"/>
      <c r="S263" s="18" t="str">
        <f>IF($A263="","",_EngineTrades!V263)</f>
        <v/>
      </c>
      <c r="T263" t="str">
        <f>IF($A263="","",IFERROR(INDEX(Cycles!$R$9:$R$208,MATCH(_EngineTrades!AU263,_EngineCycles!$A$9:$A$208,0)),""))</f>
        <v/>
      </c>
      <c r="Y263" t="str">
        <f>IF(OR($A263="",$D263&lt;&gt;Overview!$P$2),"",COUNTIFS($D$9:$D$508,$D263,$A$9:$A$508,"&gt;"&amp;$A263)+COUNTIFS($D$9:$D$508,$D263,$A$9:$A$508,$A263)-COUNTIFS($D$9:$D263,$D263,$A$9:$A263,$A263)+1)</f>
        <v/>
      </c>
    </row>
    <row r="264" spans="1:25" ht="23.1" customHeight="1" x14ac:dyDescent="0.25">
      <c r="A264" s="19"/>
      <c r="B264" s="20"/>
      <c r="C264" s="20"/>
      <c r="D264" s="20"/>
      <c r="E264" s="20"/>
      <c r="F264" s="21"/>
      <c r="G264" s="22"/>
      <c r="H264" s="19"/>
      <c r="I264" s="22"/>
      <c r="J264" s="22"/>
      <c r="K264" s="23" t="str">
        <f>IF($A264="","",_EngineTrades!S264)</f>
        <v/>
      </c>
      <c r="L264" s="21"/>
      <c r="M264" s="22"/>
      <c r="N264" s="20"/>
      <c r="O264" s="24" t="str">
        <f t="shared" si="3"/>
        <v/>
      </c>
      <c r="P264" s="20"/>
      <c r="Q264" s="22"/>
      <c r="R264" s="22"/>
      <c r="S264" s="24" t="str">
        <f>IF($A264="","",_EngineTrades!V264)</f>
        <v/>
      </c>
      <c r="T264" t="str">
        <f>IF($A264="","",IFERROR(INDEX(Cycles!$R$9:$R$208,MATCH(_EngineTrades!AU264,_EngineCycles!$A$9:$A$208,0)),""))</f>
        <v/>
      </c>
      <c r="Y264" t="str">
        <f>IF(OR($A264="",$D264&lt;&gt;Overview!$P$2),"",COUNTIFS($D$9:$D$508,$D264,$A$9:$A$508,"&gt;"&amp;$A264)+COUNTIFS($D$9:$D$508,$D264,$A$9:$A$508,$A264)-COUNTIFS($D$9:$D264,$D264,$A$9:$A264,$A264)+1)</f>
        <v/>
      </c>
    </row>
    <row r="265" spans="1:25" ht="23.1" customHeight="1" x14ac:dyDescent="0.25">
      <c r="A265" s="13"/>
      <c r="B265" s="14"/>
      <c r="C265" s="14"/>
      <c r="D265" s="14"/>
      <c r="E265" s="14"/>
      <c r="F265" s="15"/>
      <c r="G265" s="16"/>
      <c r="H265" s="13"/>
      <c r="I265" s="16"/>
      <c r="J265" s="16"/>
      <c r="K265" s="17" t="str">
        <f>IF($A265="","",_EngineTrades!S265)</f>
        <v/>
      </c>
      <c r="L265" s="15"/>
      <c r="M265" s="16"/>
      <c r="N265" s="14"/>
      <c r="O265" s="18" t="str">
        <f t="shared" ref="O265:O328" si="4">IF(OR($A265="",$B265=""),"","E"&amp;TEXT(ROW()-8,"0000"))</f>
        <v/>
      </c>
      <c r="P265" s="14"/>
      <c r="Q265" s="16"/>
      <c r="R265" s="16"/>
      <c r="S265" s="18" t="str">
        <f>IF($A265="","",_EngineTrades!V265)</f>
        <v/>
      </c>
      <c r="T265" t="str">
        <f>IF($A265="","",IFERROR(INDEX(Cycles!$R$9:$R$208,MATCH(_EngineTrades!AU265,_EngineCycles!$A$9:$A$208,0)),""))</f>
        <v/>
      </c>
      <c r="Y265" t="str">
        <f>IF(OR($A265="",$D265&lt;&gt;Overview!$P$2),"",COUNTIFS($D$9:$D$508,$D265,$A$9:$A$508,"&gt;"&amp;$A265)+COUNTIFS($D$9:$D$508,$D265,$A$9:$A$508,$A265)-COUNTIFS($D$9:$D265,$D265,$A$9:$A265,$A265)+1)</f>
        <v/>
      </c>
    </row>
    <row r="266" spans="1:25" ht="23.1" customHeight="1" x14ac:dyDescent="0.25">
      <c r="A266" s="19"/>
      <c r="B266" s="20"/>
      <c r="C266" s="20"/>
      <c r="D266" s="20"/>
      <c r="E266" s="20"/>
      <c r="F266" s="21"/>
      <c r="G266" s="22"/>
      <c r="H266" s="19"/>
      <c r="I266" s="22"/>
      <c r="J266" s="22"/>
      <c r="K266" s="23" t="str">
        <f>IF($A266="","",_EngineTrades!S266)</f>
        <v/>
      </c>
      <c r="L266" s="21"/>
      <c r="M266" s="22"/>
      <c r="N266" s="20"/>
      <c r="O266" s="24" t="str">
        <f t="shared" si="4"/>
        <v/>
      </c>
      <c r="P266" s="20"/>
      <c r="Q266" s="22"/>
      <c r="R266" s="22"/>
      <c r="S266" s="24" t="str">
        <f>IF($A266="","",_EngineTrades!V266)</f>
        <v/>
      </c>
      <c r="T266" t="str">
        <f>IF($A266="","",IFERROR(INDEX(Cycles!$R$9:$R$208,MATCH(_EngineTrades!AU266,_EngineCycles!$A$9:$A$208,0)),""))</f>
        <v/>
      </c>
      <c r="Y266" t="str">
        <f>IF(OR($A266="",$D266&lt;&gt;Overview!$P$2),"",COUNTIFS($D$9:$D$508,$D266,$A$9:$A$508,"&gt;"&amp;$A266)+COUNTIFS($D$9:$D$508,$D266,$A$9:$A$508,$A266)-COUNTIFS($D$9:$D266,$D266,$A$9:$A266,$A266)+1)</f>
        <v/>
      </c>
    </row>
    <row r="267" spans="1:25" ht="23.1" customHeight="1" x14ac:dyDescent="0.25">
      <c r="A267" s="13"/>
      <c r="B267" s="14"/>
      <c r="C267" s="14"/>
      <c r="D267" s="14"/>
      <c r="E267" s="14"/>
      <c r="F267" s="15"/>
      <c r="G267" s="16"/>
      <c r="H267" s="13"/>
      <c r="I267" s="16"/>
      <c r="J267" s="16"/>
      <c r="K267" s="17" t="str">
        <f>IF($A267="","",_EngineTrades!S267)</f>
        <v/>
      </c>
      <c r="L267" s="15"/>
      <c r="M267" s="16"/>
      <c r="N267" s="14"/>
      <c r="O267" s="18" t="str">
        <f t="shared" si="4"/>
        <v/>
      </c>
      <c r="P267" s="14"/>
      <c r="Q267" s="16"/>
      <c r="R267" s="16"/>
      <c r="S267" s="18" t="str">
        <f>IF($A267="","",_EngineTrades!V267)</f>
        <v/>
      </c>
      <c r="T267" t="str">
        <f>IF($A267="","",IFERROR(INDEX(Cycles!$R$9:$R$208,MATCH(_EngineTrades!AU267,_EngineCycles!$A$9:$A$208,0)),""))</f>
        <v/>
      </c>
      <c r="Y267" t="str">
        <f>IF(OR($A267="",$D267&lt;&gt;Overview!$P$2),"",COUNTIFS($D$9:$D$508,$D267,$A$9:$A$508,"&gt;"&amp;$A267)+COUNTIFS($D$9:$D$508,$D267,$A$9:$A$508,$A267)-COUNTIFS($D$9:$D267,$D267,$A$9:$A267,$A267)+1)</f>
        <v/>
      </c>
    </row>
    <row r="268" spans="1:25" ht="23.1" customHeight="1" x14ac:dyDescent="0.25">
      <c r="A268" s="19"/>
      <c r="B268" s="20"/>
      <c r="C268" s="20"/>
      <c r="D268" s="20"/>
      <c r="E268" s="20"/>
      <c r="F268" s="21"/>
      <c r="G268" s="22"/>
      <c r="H268" s="19"/>
      <c r="I268" s="22"/>
      <c r="J268" s="22"/>
      <c r="K268" s="23" t="str">
        <f>IF($A268="","",_EngineTrades!S268)</f>
        <v/>
      </c>
      <c r="L268" s="21"/>
      <c r="M268" s="22"/>
      <c r="N268" s="20"/>
      <c r="O268" s="24" t="str">
        <f t="shared" si="4"/>
        <v/>
      </c>
      <c r="P268" s="20"/>
      <c r="Q268" s="22"/>
      <c r="R268" s="22"/>
      <c r="S268" s="24" t="str">
        <f>IF($A268="","",_EngineTrades!V268)</f>
        <v/>
      </c>
      <c r="T268" t="str">
        <f>IF($A268="","",IFERROR(INDEX(Cycles!$R$9:$R$208,MATCH(_EngineTrades!AU268,_EngineCycles!$A$9:$A$208,0)),""))</f>
        <v/>
      </c>
      <c r="Y268" t="str">
        <f>IF(OR($A268="",$D268&lt;&gt;Overview!$P$2),"",COUNTIFS($D$9:$D$508,$D268,$A$9:$A$508,"&gt;"&amp;$A268)+COUNTIFS($D$9:$D$508,$D268,$A$9:$A$508,$A268)-COUNTIFS($D$9:$D268,$D268,$A$9:$A268,$A268)+1)</f>
        <v/>
      </c>
    </row>
    <row r="269" spans="1:25" ht="23.1" customHeight="1" x14ac:dyDescent="0.25">
      <c r="A269" s="13"/>
      <c r="B269" s="14"/>
      <c r="C269" s="14"/>
      <c r="D269" s="14"/>
      <c r="E269" s="14"/>
      <c r="F269" s="15"/>
      <c r="G269" s="16"/>
      <c r="H269" s="13"/>
      <c r="I269" s="16"/>
      <c r="J269" s="16"/>
      <c r="K269" s="17" t="str">
        <f>IF($A269="","",_EngineTrades!S269)</f>
        <v/>
      </c>
      <c r="L269" s="15"/>
      <c r="M269" s="16"/>
      <c r="N269" s="14"/>
      <c r="O269" s="18" t="str">
        <f t="shared" si="4"/>
        <v/>
      </c>
      <c r="P269" s="14"/>
      <c r="Q269" s="16"/>
      <c r="R269" s="16"/>
      <c r="S269" s="18" t="str">
        <f>IF($A269="","",_EngineTrades!V269)</f>
        <v/>
      </c>
      <c r="T269" t="str">
        <f>IF($A269="","",IFERROR(INDEX(Cycles!$R$9:$R$208,MATCH(_EngineTrades!AU269,_EngineCycles!$A$9:$A$208,0)),""))</f>
        <v/>
      </c>
      <c r="Y269" t="str">
        <f>IF(OR($A269="",$D269&lt;&gt;Overview!$P$2),"",COUNTIFS($D$9:$D$508,$D269,$A$9:$A$508,"&gt;"&amp;$A269)+COUNTIFS($D$9:$D$508,$D269,$A$9:$A$508,$A269)-COUNTIFS($D$9:$D269,$D269,$A$9:$A269,$A269)+1)</f>
        <v/>
      </c>
    </row>
    <row r="270" spans="1:25" ht="23.1" customHeight="1" x14ac:dyDescent="0.25">
      <c r="A270" s="19"/>
      <c r="B270" s="20"/>
      <c r="C270" s="20"/>
      <c r="D270" s="20"/>
      <c r="E270" s="20"/>
      <c r="F270" s="21"/>
      <c r="G270" s="22"/>
      <c r="H270" s="19"/>
      <c r="I270" s="22"/>
      <c r="J270" s="22"/>
      <c r="K270" s="23" t="str">
        <f>IF($A270="","",_EngineTrades!S270)</f>
        <v/>
      </c>
      <c r="L270" s="21"/>
      <c r="M270" s="22"/>
      <c r="N270" s="20"/>
      <c r="O270" s="24" t="str">
        <f t="shared" si="4"/>
        <v/>
      </c>
      <c r="P270" s="20"/>
      <c r="Q270" s="22"/>
      <c r="R270" s="22"/>
      <c r="S270" s="24" t="str">
        <f>IF($A270="","",_EngineTrades!V270)</f>
        <v/>
      </c>
      <c r="T270" t="str">
        <f>IF($A270="","",IFERROR(INDEX(Cycles!$R$9:$R$208,MATCH(_EngineTrades!AU270,_EngineCycles!$A$9:$A$208,0)),""))</f>
        <v/>
      </c>
      <c r="Y270" t="str">
        <f>IF(OR($A270="",$D270&lt;&gt;Overview!$P$2),"",COUNTIFS($D$9:$D$508,$D270,$A$9:$A$508,"&gt;"&amp;$A270)+COUNTIFS($D$9:$D$508,$D270,$A$9:$A$508,$A270)-COUNTIFS($D$9:$D270,$D270,$A$9:$A270,$A270)+1)</f>
        <v/>
      </c>
    </row>
    <row r="271" spans="1:25" ht="23.1" customHeight="1" x14ac:dyDescent="0.25">
      <c r="A271" s="13"/>
      <c r="B271" s="14"/>
      <c r="C271" s="14"/>
      <c r="D271" s="14"/>
      <c r="E271" s="14"/>
      <c r="F271" s="15"/>
      <c r="G271" s="16"/>
      <c r="H271" s="13"/>
      <c r="I271" s="16"/>
      <c r="J271" s="16"/>
      <c r="K271" s="17" t="str">
        <f>IF($A271="","",_EngineTrades!S271)</f>
        <v/>
      </c>
      <c r="L271" s="15"/>
      <c r="M271" s="16"/>
      <c r="N271" s="14"/>
      <c r="O271" s="18" t="str">
        <f t="shared" si="4"/>
        <v/>
      </c>
      <c r="P271" s="14"/>
      <c r="Q271" s="16"/>
      <c r="R271" s="16"/>
      <c r="S271" s="18" t="str">
        <f>IF($A271="","",_EngineTrades!V271)</f>
        <v/>
      </c>
      <c r="T271" t="str">
        <f>IF($A271="","",IFERROR(INDEX(Cycles!$R$9:$R$208,MATCH(_EngineTrades!AU271,_EngineCycles!$A$9:$A$208,0)),""))</f>
        <v/>
      </c>
      <c r="Y271" t="str">
        <f>IF(OR($A271="",$D271&lt;&gt;Overview!$P$2),"",COUNTIFS($D$9:$D$508,$D271,$A$9:$A$508,"&gt;"&amp;$A271)+COUNTIFS($D$9:$D$508,$D271,$A$9:$A$508,$A271)-COUNTIFS($D$9:$D271,$D271,$A$9:$A271,$A271)+1)</f>
        <v/>
      </c>
    </row>
    <row r="272" spans="1:25" ht="23.1" customHeight="1" x14ac:dyDescent="0.25">
      <c r="A272" s="19"/>
      <c r="B272" s="20"/>
      <c r="C272" s="20"/>
      <c r="D272" s="20"/>
      <c r="E272" s="20"/>
      <c r="F272" s="21"/>
      <c r="G272" s="22"/>
      <c r="H272" s="19"/>
      <c r="I272" s="22"/>
      <c r="J272" s="22"/>
      <c r="K272" s="23" t="str">
        <f>IF($A272="","",_EngineTrades!S272)</f>
        <v/>
      </c>
      <c r="L272" s="21"/>
      <c r="M272" s="22"/>
      <c r="N272" s="20"/>
      <c r="O272" s="24" t="str">
        <f t="shared" si="4"/>
        <v/>
      </c>
      <c r="P272" s="20"/>
      <c r="Q272" s="22"/>
      <c r="R272" s="22"/>
      <c r="S272" s="24" t="str">
        <f>IF($A272="","",_EngineTrades!V272)</f>
        <v/>
      </c>
      <c r="T272" t="str">
        <f>IF($A272="","",IFERROR(INDEX(Cycles!$R$9:$R$208,MATCH(_EngineTrades!AU272,_EngineCycles!$A$9:$A$208,0)),""))</f>
        <v/>
      </c>
      <c r="Y272" t="str">
        <f>IF(OR($A272="",$D272&lt;&gt;Overview!$P$2),"",COUNTIFS($D$9:$D$508,$D272,$A$9:$A$508,"&gt;"&amp;$A272)+COUNTIFS($D$9:$D$508,$D272,$A$9:$A$508,$A272)-COUNTIFS($D$9:$D272,$D272,$A$9:$A272,$A272)+1)</f>
        <v/>
      </c>
    </row>
    <row r="273" spans="1:25" ht="23.1" customHeight="1" x14ac:dyDescent="0.25">
      <c r="A273" s="13"/>
      <c r="B273" s="14"/>
      <c r="C273" s="14"/>
      <c r="D273" s="14"/>
      <c r="E273" s="14"/>
      <c r="F273" s="15"/>
      <c r="G273" s="16"/>
      <c r="H273" s="13"/>
      <c r="I273" s="16"/>
      <c r="J273" s="16"/>
      <c r="K273" s="17" t="str">
        <f>IF($A273="","",_EngineTrades!S273)</f>
        <v/>
      </c>
      <c r="L273" s="15"/>
      <c r="M273" s="16"/>
      <c r="N273" s="14"/>
      <c r="O273" s="18" t="str">
        <f t="shared" si="4"/>
        <v/>
      </c>
      <c r="P273" s="14"/>
      <c r="Q273" s="16"/>
      <c r="R273" s="16"/>
      <c r="S273" s="18" t="str">
        <f>IF($A273="","",_EngineTrades!V273)</f>
        <v/>
      </c>
      <c r="T273" t="str">
        <f>IF($A273="","",IFERROR(INDEX(Cycles!$R$9:$R$208,MATCH(_EngineTrades!AU273,_EngineCycles!$A$9:$A$208,0)),""))</f>
        <v/>
      </c>
      <c r="Y273" t="str">
        <f>IF(OR($A273="",$D273&lt;&gt;Overview!$P$2),"",COUNTIFS($D$9:$D$508,$D273,$A$9:$A$508,"&gt;"&amp;$A273)+COUNTIFS($D$9:$D$508,$D273,$A$9:$A$508,$A273)-COUNTIFS($D$9:$D273,$D273,$A$9:$A273,$A273)+1)</f>
        <v/>
      </c>
    </row>
    <row r="274" spans="1:25" ht="23.1" customHeight="1" x14ac:dyDescent="0.25">
      <c r="A274" s="19"/>
      <c r="B274" s="20"/>
      <c r="C274" s="20"/>
      <c r="D274" s="20"/>
      <c r="E274" s="20"/>
      <c r="F274" s="21"/>
      <c r="G274" s="22"/>
      <c r="H274" s="19"/>
      <c r="I274" s="22"/>
      <c r="J274" s="22"/>
      <c r="K274" s="23" t="str">
        <f>IF($A274="","",_EngineTrades!S274)</f>
        <v/>
      </c>
      <c r="L274" s="21"/>
      <c r="M274" s="22"/>
      <c r="N274" s="20"/>
      <c r="O274" s="24" t="str">
        <f t="shared" si="4"/>
        <v/>
      </c>
      <c r="P274" s="20"/>
      <c r="Q274" s="22"/>
      <c r="R274" s="22"/>
      <c r="S274" s="24" t="str">
        <f>IF($A274="","",_EngineTrades!V274)</f>
        <v/>
      </c>
      <c r="T274" t="str">
        <f>IF($A274="","",IFERROR(INDEX(Cycles!$R$9:$R$208,MATCH(_EngineTrades!AU274,_EngineCycles!$A$9:$A$208,0)),""))</f>
        <v/>
      </c>
      <c r="Y274" t="str">
        <f>IF(OR($A274="",$D274&lt;&gt;Overview!$P$2),"",COUNTIFS($D$9:$D$508,$D274,$A$9:$A$508,"&gt;"&amp;$A274)+COUNTIFS($D$9:$D$508,$D274,$A$9:$A$508,$A274)-COUNTIFS($D$9:$D274,$D274,$A$9:$A274,$A274)+1)</f>
        <v/>
      </c>
    </row>
    <row r="275" spans="1:25" ht="23.1" customHeight="1" x14ac:dyDescent="0.25">
      <c r="A275" s="13"/>
      <c r="B275" s="14"/>
      <c r="C275" s="14"/>
      <c r="D275" s="14"/>
      <c r="E275" s="14"/>
      <c r="F275" s="15"/>
      <c r="G275" s="16"/>
      <c r="H275" s="13"/>
      <c r="I275" s="16"/>
      <c r="J275" s="16"/>
      <c r="K275" s="17" t="str">
        <f>IF($A275="","",_EngineTrades!S275)</f>
        <v/>
      </c>
      <c r="L275" s="15"/>
      <c r="M275" s="16"/>
      <c r="N275" s="14"/>
      <c r="O275" s="18" t="str">
        <f t="shared" si="4"/>
        <v/>
      </c>
      <c r="P275" s="14"/>
      <c r="Q275" s="16"/>
      <c r="R275" s="16"/>
      <c r="S275" s="18" t="str">
        <f>IF($A275="","",_EngineTrades!V275)</f>
        <v/>
      </c>
      <c r="T275" t="str">
        <f>IF($A275="","",IFERROR(INDEX(Cycles!$R$9:$R$208,MATCH(_EngineTrades!AU275,_EngineCycles!$A$9:$A$208,0)),""))</f>
        <v/>
      </c>
      <c r="Y275" t="str">
        <f>IF(OR($A275="",$D275&lt;&gt;Overview!$P$2),"",COUNTIFS($D$9:$D$508,$D275,$A$9:$A$508,"&gt;"&amp;$A275)+COUNTIFS($D$9:$D$508,$D275,$A$9:$A$508,$A275)-COUNTIFS($D$9:$D275,$D275,$A$9:$A275,$A275)+1)</f>
        <v/>
      </c>
    </row>
    <row r="276" spans="1:25" ht="23.1" customHeight="1" x14ac:dyDescent="0.25">
      <c r="A276" s="19"/>
      <c r="B276" s="20"/>
      <c r="C276" s="20"/>
      <c r="D276" s="20"/>
      <c r="E276" s="20"/>
      <c r="F276" s="21"/>
      <c r="G276" s="22"/>
      <c r="H276" s="19"/>
      <c r="I276" s="22"/>
      <c r="J276" s="22"/>
      <c r="K276" s="23" t="str">
        <f>IF($A276="","",_EngineTrades!S276)</f>
        <v/>
      </c>
      <c r="L276" s="21"/>
      <c r="M276" s="22"/>
      <c r="N276" s="20"/>
      <c r="O276" s="24" t="str">
        <f t="shared" si="4"/>
        <v/>
      </c>
      <c r="P276" s="20"/>
      <c r="Q276" s="22"/>
      <c r="R276" s="22"/>
      <c r="S276" s="24" t="str">
        <f>IF($A276="","",_EngineTrades!V276)</f>
        <v/>
      </c>
      <c r="T276" t="str">
        <f>IF($A276="","",IFERROR(INDEX(Cycles!$R$9:$R$208,MATCH(_EngineTrades!AU276,_EngineCycles!$A$9:$A$208,0)),""))</f>
        <v/>
      </c>
      <c r="Y276" t="str">
        <f>IF(OR($A276="",$D276&lt;&gt;Overview!$P$2),"",COUNTIFS($D$9:$D$508,$D276,$A$9:$A$508,"&gt;"&amp;$A276)+COUNTIFS($D$9:$D$508,$D276,$A$9:$A$508,$A276)-COUNTIFS($D$9:$D276,$D276,$A$9:$A276,$A276)+1)</f>
        <v/>
      </c>
    </row>
    <row r="277" spans="1:25" ht="23.1" customHeight="1" x14ac:dyDescent="0.25">
      <c r="A277" s="13"/>
      <c r="B277" s="14"/>
      <c r="C277" s="14"/>
      <c r="D277" s="14"/>
      <c r="E277" s="14"/>
      <c r="F277" s="15"/>
      <c r="G277" s="16"/>
      <c r="H277" s="13"/>
      <c r="I277" s="16"/>
      <c r="J277" s="16"/>
      <c r="K277" s="17" t="str">
        <f>IF($A277="","",_EngineTrades!S277)</f>
        <v/>
      </c>
      <c r="L277" s="15"/>
      <c r="M277" s="16"/>
      <c r="N277" s="14"/>
      <c r="O277" s="18" t="str">
        <f t="shared" si="4"/>
        <v/>
      </c>
      <c r="P277" s="14"/>
      <c r="Q277" s="16"/>
      <c r="R277" s="16"/>
      <c r="S277" s="18" t="str">
        <f>IF($A277="","",_EngineTrades!V277)</f>
        <v/>
      </c>
      <c r="T277" t="str">
        <f>IF($A277="","",IFERROR(INDEX(Cycles!$R$9:$R$208,MATCH(_EngineTrades!AU277,_EngineCycles!$A$9:$A$208,0)),""))</f>
        <v/>
      </c>
      <c r="Y277" t="str">
        <f>IF(OR($A277="",$D277&lt;&gt;Overview!$P$2),"",COUNTIFS($D$9:$D$508,$D277,$A$9:$A$508,"&gt;"&amp;$A277)+COUNTIFS($D$9:$D$508,$D277,$A$9:$A$508,$A277)-COUNTIFS($D$9:$D277,$D277,$A$9:$A277,$A277)+1)</f>
        <v/>
      </c>
    </row>
    <row r="278" spans="1:25" ht="23.1" customHeight="1" x14ac:dyDescent="0.25">
      <c r="A278" s="19"/>
      <c r="B278" s="20"/>
      <c r="C278" s="20"/>
      <c r="D278" s="20"/>
      <c r="E278" s="20"/>
      <c r="F278" s="21"/>
      <c r="G278" s="22"/>
      <c r="H278" s="19"/>
      <c r="I278" s="22"/>
      <c r="J278" s="22"/>
      <c r="K278" s="23" t="str">
        <f>IF($A278="","",_EngineTrades!S278)</f>
        <v/>
      </c>
      <c r="L278" s="21"/>
      <c r="M278" s="22"/>
      <c r="N278" s="20"/>
      <c r="O278" s="24" t="str">
        <f t="shared" si="4"/>
        <v/>
      </c>
      <c r="P278" s="20"/>
      <c r="Q278" s="22"/>
      <c r="R278" s="22"/>
      <c r="S278" s="24" t="str">
        <f>IF($A278="","",_EngineTrades!V278)</f>
        <v/>
      </c>
      <c r="T278" t="str">
        <f>IF($A278="","",IFERROR(INDEX(Cycles!$R$9:$R$208,MATCH(_EngineTrades!AU278,_EngineCycles!$A$9:$A$208,0)),""))</f>
        <v/>
      </c>
      <c r="Y278" t="str">
        <f>IF(OR($A278="",$D278&lt;&gt;Overview!$P$2),"",COUNTIFS($D$9:$D$508,$D278,$A$9:$A$508,"&gt;"&amp;$A278)+COUNTIFS($D$9:$D$508,$D278,$A$9:$A$508,$A278)-COUNTIFS($D$9:$D278,$D278,$A$9:$A278,$A278)+1)</f>
        <v/>
      </c>
    </row>
    <row r="279" spans="1:25" ht="23.1" customHeight="1" x14ac:dyDescent="0.25">
      <c r="A279" s="13"/>
      <c r="B279" s="14"/>
      <c r="C279" s="14"/>
      <c r="D279" s="14"/>
      <c r="E279" s="14"/>
      <c r="F279" s="15"/>
      <c r="G279" s="16"/>
      <c r="H279" s="13"/>
      <c r="I279" s="16"/>
      <c r="J279" s="16"/>
      <c r="K279" s="17" t="str">
        <f>IF($A279="","",_EngineTrades!S279)</f>
        <v/>
      </c>
      <c r="L279" s="15"/>
      <c r="M279" s="16"/>
      <c r="N279" s="14"/>
      <c r="O279" s="18" t="str">
        <f t="shared" si="4"/>
        <v/>
      </c>
      <c r="P279" s="14"/>
      <c r="Q279" s="16"/>
      <c r="R279" s="16"/>
      <c r="S279" s="18" t="str">
        <f>IF($A279="","",_EngineTrades!V279)</f>
        <v/>
      </c>
      <c r="T279" t="str">
        <f>IF($A279="","",IFERROR(INDEX(Cycles!$R$9:$R$208,MATCH(_EngineTrades!AU279,_EngineCycles!$A$9:$A$208,0)),""))</f>
        <v/>
      </c>
      <c r="Y279" t="str">
        <f>IF(OR($A279="",$D279&lt;&gt;Overview!$P$2),"",COUNTIFS($D$9:$D$508,$D279,$A$9:$A$508,"&gt;"&amp;$A279)+COUNTIFS($D$9:$D$508,$D279,$A$9:$A$508,$A279)-COUNTIFS($D$9:$D279,$D279,$A$9:$A279,$A279)+1)</f>
        <v/>
      </c>
    </row>
    <row r="280" spans="1:25" ht="23.1" customHeight="1" x14ac:dyDescent="0.25">
      <c r="A280" s="19"/>
      <c r="B280" s="20"/>
      <c r="C280" s="20"/>
      <c r="D280" s="20"/>
      <c r="E280" s="20"/>
      <c r="F280" s="21"/>
      <c r="G280" s="22"/>
      <c r="H280" s="19"/>
      <c r="I280" s="22"/>
      <c r="J280" s="22"/>
      <c r="K280" s="23" t="str">
        <f>IF($A280="","",_EngineTrades!S280)</f>
        <v/>
      </c>
      <c r="L280" s="21"/>
      <c r="M280" s="22"/>
      <c r="N280" s="20"/>
      <c r="O280" s="24" t="str">
        <f t="shared" si="4"/>
        <v/>
      </c>
      <c r="P280" s="20"/>
      <c r="Q280" s="22"/>
      <c r="R280" s="22"/>
      <c r="S280" s="24" t="str">
        <f>IF($A280="","",_EngineTrades!V280)</f>
        <v/>
      </c>
      <c r="T280" t="str">
        <f>IF($A280="","",IFERROR(INDEX(Cycles!$R$9:$R$208,MATCH(_EngineTrades!AU280,_EngineCycles!$A$9:$A$208,0)),""))</f>
        <v/>
      </c>
      <c r="Y280" t="str">
        <f>IF(OR($A280="",$D280&lt;&gt;Overview!$P$2),"",COUNTIFS($D$9:$D$508,$D280,$A$9:$A$508,"&gt;"&amp;$A280)+COUNTIFS($D$9:$D$508,$D280,$A$9:$A$508,$A280)-COUNTIFS($D$9:$D280,$D280,$A$9:$A280,$A280)+1)</f>
        <v/>
      </c>
    </row>
    <row r="281" spans="1:25" ht="23.1" customHeight="1" x14ac:dyDescent="0.25">
      <c r="A281" s="13"/>
      <c r="B281" s="14"/>
      <c r="C281" s="14"/>
      <c r="D281" s="14"/>
      <c r="E281" s="14"/>
      <c r="F281" s="15"/>
      <c r="G281" s="16"/>
      <c r="H281" s="13"/>
      <c r="I281" s="16"/>
      <c r="J281" s="16"/>
      <c r="K281" s="17" t="str">
        <f>IF($A281="","",_EngineTrades!S281)</f>
        <v/>
      </c>
      <c r="L281" s="15"/>
      <c r="M281" s="16"/>
      <c r="N281" s="14"/>
      <c r="O281" s="18" t="str">
        <f t="shared" si="4"/>
        <v/>
      </c>
      <c r="P281" s="14"/>
      <c r="Q281" s="16"/>
      <c r="R281" s="16"/>
      <c r="S281" s="18" t="str">
        <f>IF($A281="","",_EngineTrades!V281)</f>
        <v/>
      </c>
      <c r="T281" t="str">
        <f>IF($A281="","",IFERROR(INDEX(Cycles!$R$9:$R$208,MATCH(_EngineTrades!AU281,_EngineCycles!$A$9:$A$208,0)),""))</f>
        <v/>
      </c>
      <c r="Y281" t="str">
        <f>IF(OR($A281="",$D281&lt;&gt;Overview!$P$2),"",COUNTIFS($D$9:$D$508,$D281,$A$9:$A$508,"&gt;"&amp;$A281)+COUNTIFS($D$9:$D$508,$D281,$A$9:$A$508,$A281)-COUNTIFS($D$9:$D281,$D281,$A$9:$A281,$A281)+1)</f>
        <v/>
      </c>
    </row>
    <row r="282" spans="1:25" ht="23.1" customHeight="1" x14ac:dyDescent="0.25">
      <c r="A282" s="19"/>
      <c r="B282" s="20"/>
      <c r="C282" s="20"/>
      <c r="D282" s="20"/>
      <c r="E282" s="20"/>
      <c r="F282" s="21"/>
      <c r="G282" s="22"/>
      <c r="H282" s="19"/>
      <c r="I282" s="22"/>
      <c r="J282" s="22"/>
      <c r="K282" s="23" t="str">
        <f>IF($A282="","",_EngineTrades!S282)</f>
        <v/>
      </c>
      <c r="L282" s="21"/>
      <c r="M282" s="22"/>
      <c r="N282" s="20"/>
      <c r="O282" s="24" t="str">
        <f t="shared" si="4"/>
        <v/>
      </c>
      <c r="P282" s="20"/>
      <c r="Q282" s="22"/>
      <c r="R282" s="22"/>
      <c r="S282" s="24" t="str">
        <f>IF($A282="","",_EngineTrades!V282)</f>
        <v/>
      </c>
      <c r="T282" t="str">
        <f>IF($A282="","",IFERROR(INDEX(Cycles!$R$9:$R$208,MATCH(_EngineTrades!AU282,_EngineCycles!$A$9:$A$208,0)),""))</f>
        <v/>
      </c>
      <c r="Y282" t="str">
        <f>IF(OR($A282="",$D282&lt;&gt;Overview!$P$2),"",COUNTIFS($D$9:$D$508,$D282,$A$9:$A$508,"&gt;"&amp;$A282)+COUNTIFS($D$9:$D$508,$D282,$A$9:$A$508,$A282)-COUNTIFS($D$9:$D282,$D282,$A$9:$A282,$A282)+1)</f>
        <v/>
      </c>
    </row>
    <row r="283" spans="1:25" ht="23.1" customHeight="1" x14ac:dyDescent="0.25">
      <c r="A283" s="13"/>
      <c r="B283" s="14"/>
      <c r="C283" s="14"/>
      <c r="D283" s="14"/>
      <c r="E283" s="14"/>
      <c r="F283" s="15"/>
      <c r="G283" s="16"/>
      <c r="H283" s="13"/>
      <c r="I283" s="16"/>
      <c r="J283" s="16"/>
      <c r="K283" s="17" t="str">
        <f>IF($A283="","",_EngineTrades!S283)</f>
        <v/>
      </c>
      <c r="L283" s="15"/>
      <c r="M283" s="16"/>
      <c r="N283" s="14"/>
      <c r="O283" s="18" t="str">
        <f t="shared" si="4"/>
        <v/>
      </c>
      <c r="P283" s="14"/>
      <c r="Q283" s="16"/>
      <c r="R283" s="16"/>
      <c r="S283" s="18" t="str">
        <f>IF($A283="","",_EngineTrades!V283)</f>
        <v/>
      </c>
      <c r="T283" t="str">
        <f>IF($A283="","",IFERROR(INDEX(Cycles!$R$9:$R$208,MATCH(_EngineTrades!AU283,_EngineCycles!$A$9:$A$208,0)),""))</f>
        <v/>
      </c>
      <c r="Y283" t="str">
        <f>IF(OR($A283="",$D283&lt;&gt;Overview!$P$2),"",COUNTIFS($D$9:$D$508,$D283,$A$9:$A$508,"&gt;"&amp;$A283)+COUNTIFS($D$9:$D$508,$D283,$A$9:$A$508,$A283)-COUNTIFS($D$9:$D283,$D283,$A$9:$A283,$A283)+1)</f>
        <v/>
      </c>
    </row>
    <row r="284" spans="1:25" ht="23.1" customHeight="1" x14ac:dyDescent="0.25">
      <c r="A284" s="19"/>
      <c r="B284" s="20"/>
      <c r="C284" s="20"/>
      <c r="D284" s="20"/>
      <c r="E284" s="20"/>
      <c r="F284" s="21"/>
      <c r="G284" s="22"/>
      <c r="H284" s="19"/>
      <c r="I284" s="22"/>
      <c r="J284" s="22"/>
      <c r="K284" s="23" t="str">
        <f>IF($A284="","",_EngineTrades!S284)</f>
        <v/>
      </c>
      <c r="L284" s="21"/>
      <c r="M284" s="22"/>
      <c r="N284" s="20"/>
      <c r="O284" s="24" t="str">
        <f t="shared" si="4"/>
        <v/>
      </c>
      <c r="P284" s="20"/>
      <c r="Q284" s="22"/>
      <c r="R284" s="22"/>
      <c r="S284" s="24" t="str">
        <f>IF($A284="","",_EngineTrades!V284)</f>
        <v/>
      </c>
      <c r="T284" t="str">
        <f>IF($A284="","",IFERROR(INDEX(Cycles!$R$9:$R$208,MATCH(_EngineTrades!AU284,_EngineCycles!$A$9:$A$208,0)),""))</f>
        <v/>
      </c>
      <c r="Y284" t="str">
        <f>IF(OR($A284="",$D284&lt;&gt;Overview!$P$2),"",COUNTIFS($D$9:$D$508,$D284,$A$9:$A$508,"&gt;"&amp;$A284)+COUNTIFS($D$9:$D$508,$D284,$A$9:$A$508,$A284)-COUNTIFS($D$9:$D284,$D284,$A$9:$A284,$A284)+1)</f>
        <v/>
      </c>
    </row>
    <row r="285" spans="1:25" ht="23.1" customHeight="1" x14ac:dyDescent="0.25">
      <c r="A285" s="13"/>
      <c r="B285" s="14"/>
      <c r="C285" s="14"/>
      <c r="D285" s="14"/>
      <c r="E285" s="14"/>
      <c r="F285" s="15"/>
      <c r="G285" s="16"/>
      <c r="H285" s="13"/>
      <c r="I285" s="16"/>
      <c r="J285" s="16"/>
      <c r="K285" s="17" t="str">
        <f>IF($A285="","",_EngineTrades!S285)</f>
        <v/>
      </c>
      <c r="L285" s="15"/>
      <c r="M285" s="16"/>
      <c r="N285" s="14"/>
      <c r="O285" s="18" t="str">
        <f t="shared" si="4"/>
        <v/>
      </c>
      <c r="P285" s="14"/>
      <c r="Q285" s="16"/>
      <c r="R285" s="16"/>
      <c r="S285" s="18" t="str">
        <f>IF($A285="","",_EngineTrades!V285)</f>
        <v/>
      </c>
      <c r="T285" t="str">
        <f>IF($A285="","",IFERROR(INDEX(Cycles!$R$9:$R$208,MATCH(_EngineTrades!AU285,_EngineCycles!$A$9:$A$208,0)),""))</f>
        <v/>
      </c>
      <c r="Y285" t="str">
        <f>IF(OR($A285="",$D285&lt;&gt;Overview!$P$2),"",COUNTIFS($D$9:$D$508,$D285,$A$9:$A$508,"&gt;"&amp;$A285)+COUNTIFS($D$9:$D$508,$D285,$A$9:$A$508,$A285)-COUNTIFS($D$9:$D285,$D285,$A$9:$A285,$A285)+1)</f>
        <v/>
      </c>
    </row>
    <row r="286" spans="1:25" ht="23.1" customHeight="1" x14ac:dyDescent="0.25">
      <c r="A286" s="19"/>
      <c r="B286" s="20"/>
      <c r="C286" s="20"/>
      <c r="D286" s="20"/>
      <c r="E286" s="20"/>
      <c r="F286" s="21"/>
      <c r="G286" s="22"/>
      <c r="H286" s="19"/>
      <c r="I286" s="22"/>
      <c r="J286" s="22"/>
      <c r="K286" s="23" t="str">
        <f>IF($A286="","",_EngineTrades!S286)</f>
        <v/>
      </c>
      <c r="L286" s="21"/>
      <c r="M286" s="22"/>
      <c r="N286" s="20"/>
      <c r="O286" s="24" t="str">
        <f t="shared" si="4"/>
        <v/>
      </c>
      <c r="P286" s="20"/>
      <c r="Q286" s="22"/>
      <c r="R286" s="22"/>
      <c r="S286" s="24" t="str">
        <f>IF($A286="","",_EngineTrades!V286)</f>
        <v/>
      </c>
      <c r="T286" t="str">
        <f>IF($A286="","",IFERROR(INDEX(Cycles!$R$9:$R$208,MATCH(_EngineTrades!AU286,_EngineCycles!$A$9:$A$208,0)),""))</f>
        <v/>
      </c>
      <c r="Y286" t="str">
        <f>IF(OR($A286="",$D286&lt;&gt;Overview!$P$2),"",COUNTIFS($D$9:$D$508,$D286,$A$9:$A$508,"&gt;"&amp;$A286)+COUNTIFS($D$9:$D$508,$D286,$A$9:$A$508,$A286)-COUNTIFS($D$9:$D286,$D286,$A$9:$A286,$A286)+1)</f>
        <v/>
      </c>
    </row>
    <row r="287" spans="1:25" ht="23.1" customHeight="1" x14ac:dyDescent="0.25">
      <c r="A287" s="13"/>
      <c r="B287" s="14"/>
      <c r="C287" s="14"/>
      <c r="D287" s="14"/>
      <c r="E287" s="14"/>
      <c r="F287" s="15"/>
      <c r="G287" s="16"/>
      <c r="H287" s="13"/>
      <c r="I287" s="16"/>
      <c r="J287" s="16"/>
      <c r="K287" s="17" t="str">
        <f>IF($A287="","",_EngineTrades!S287)</f>
        <v/>
      </c>
      <c r="L287" s="15"/>
      <c r="M287" s="16"/>
      <c r="N287" s="14"/>
      <c r="O287" s="18" t="str">
        <f t="shared" si="4"/>
        <v/>
      </c>
      <c r="P287" s="14"/>
      <c r="Q287" s="16"/>
      <c r="R287" s="16"/>
      <c r="S287" s="18" t="str">
        <f>IF($A287="","",_EngineTrades!V287)</f>
        <v/>
      </c>
      <c r="T287" t="str">
        <f>IF($A287="","",IFERROR(INDEX(Cycles!$R$9:$R$208,MATCH(_EngineTrades!AU287,_EngineCycles!$A$9:$A$208,0)),""))</f>
        <v/>
      </c>
      <c r="Y287" t="str">
        <f>IF(OR($A287="",$D287&lt;&gt;Overview!$P$2),"",COUNTIFS($D$9:$D$508,$D287,$A$9:$A$508,"&gt;"&amp;$A287)+COUNTIFS($D$9:$D$508,$D287,$A$9:$A$508,$A287)-COUNTIFS($D$9:$D287,$D287,$A$9:$A287,$A287)+1)</f>
        <v/>
      </c>
    </row>
    <row r="288" spans="1:25" ht="23.1" customHeight="1" x14ac:dyDescent="0.25">
      <c r="A288" s="19"/>
      <c r="B288" s="20"/>
      <c r="C288" s="20"/>
      <c r="D288" s="20"/>
      <c r="E288" s="20"/>
      <c r="F288" s="21"/>
      <c r="G288" s="22"/>
      <c r="H288" s="19"/>
      <c r="I288" s="22"/>
      <c r="J288" s="22"/>
      <c r="K288" s="23" t="str">
        <f>IF($A288="","",_EngineTrades!S288)</f>
        <v/>
      </c>
      <c r="L288" s="21"/>
      <c r="M288" s="22"/>
      <c r="N288" s="20"/>
      <c r="O288" s="24" t="str">
        <f t="shared" si="4"/>
        <v/>
      </c>
      <c r="P288" s="20"/>
      <c r="Q288" s="22"/>
      <c r="R288" s="22"/>
      <c r="S288" s="24" t="str">
        <f>IF($A288="","",_EngineTrades!V288)</f>
        <v/>
      </c>
      <c r="T288" t="str">
        <f>IF($A288="","",IFERROR(INDEX(Cycles!$R$9:$R$208,MATCH(_EngineTrades!AU288,_EngineCycles!$A$9:$A$208,0)),""))</f>
        <v/>
      </c>
      <c r="Y288" t="str">
        <f>IF(OR($A288="",$D288&lt;&gt;Overview!$P$2),"",COUNTIFS($D$9:$D$508,$D288,$A$9:$A$508,"&gt;"&amp;$A288)+COUNTIFS($D$9:$D$508,$D288,$A$9:$A$508,$A288)-COUNTIFS($D$9:$D288,$D288,$A$9:$A288,$A288)+1)</f>
        <v/>
      </c>
    </row>
    <row r="289" spans="1:25" ht="23.1" customHeight="1" x14ac:dyDescent="0.25">
      <c r="A289" s="13"/>
      <c r="B289" s="14"/>
      <c r="C289" s="14"/>
      <c r="D289" s="14"/>
      <c r="E289" s="14"/>
      <c r="F289" s="15"/>
      <c r="G289" s="16"/>
      <c r="H289" s="13"/>
      <c r="I289" s="16"/>
      <c r="J289" s="16"/>
      <c r="K289" s="17" t="str">
        <f>IF($A289="","",_EngineTrades!S289)</f>
        <v/>
      </c>
      <c r="L289" s="15"/>
      <c r="M289" s="16"/>
      <c r="N289" s="14"/>
      <c r="O289" s="18" t="str">
        <f t="shared" si="4"/>
        <v/>
      </c>
      <c r="P289" s="14"/>
      <c r="Q289" s="16"/>
      <c r="R289" s="16"/>
      <c r="S289" s="18" t="str">
        <f>IF($A289="","",_EngineTrades!V289)</f>
        <v/>
      </c>
      <c r="T289" t="str">
        <f>IF($A289="","",IFERROR(INDEX(Cycles!$R$9:$R$208,MATCH(_EngineTrades!AU289,_EngineCycles!$A$9:$A$208,0)),""))</f>
        <v/>
      </c>
      <c r="Y289" t="str">
        <f>IF(OR($A289="",$D289&lt;&gt;Overview!$P$2),"",COUNTIFS($D$9:$D$508,$D289,$A$9:$A$508,"&gt;"&amp;$A289)+COUNTIFS($D$9:$D$508,$D289,$A$9:$A$508,$A289)-COUNTIFS($D$9:$D289,$D289,$A$9:$A289,$A289)+1)</f>
        <v/>
      </c>
    </row>
    <row r="290" spans="1:25" ht="23.1" customHeight="1" x14ac:dyDescent="0.25">
      <c r="A290" s="19"/>
      <c r="B290" s="20"/>
      <c r="C290" s="20"/>
      <c r="D290" s="20"/>
      <c r="E290" s="20"/>
      <c r="F290" s="21"/>
      <c r="G290" s="22"/>
      <c r="H290" s="19"/>
      <c r="I290" s="22"/>
      <c r="J290" s="22"/>
      <c r="K290" s="23" t="str">
        <f>IF($A290="","",_EngineTrades!S290)</f>
        <v/>
      </c>
      <c r="L290" s="21"/>
      <c r="M290" s="22"/>
      <c r="N290" s="20"/>
      <c r="O290" s="24" t="str">
        <f t="shared" si="4"/>
        <v/>
      </c>
      <c r="P290" s="20"/>
      <c r="Q290" s="22"/>
      <c r="R290" s="22"/>
      <c r="S290" s="24" t="str">
        <f>IF($A290="","",_EngineTrades!V290)</f>
        <v/>
      </c>
      <c r="T290" t="str">
        <f>IF($A290="","",IFERROR(INDEX(Cycles!$R$9:$R$208,MATCH(_EngineTrades!AU290,_EngineCycles!$A$9:$A$208,0)),""))</f>
        <v/>
      </c>
      <c r="Y290" t="str">
        <f>IF(OR($A290="",$D290&lt;&gt;Overview!$P$2),"",COUNTIFS($D$9:$D$508,$D290,$A$9:$A$508,"&gt;"&amp;$A290)+COUNTIFS($D$9:$D$508,$D290,$A$9:$A$508,$A290)-COUNTIFS($D$9:$D290,$D290,$A$9:$A290,$A290)+1)</f>
        <v/>
      </c>
    </row>
    <row r="291" spans="1:25" ht="23.1" customHeight="1" x14ac:dyDescent="0.25">
      <c r="A291" s="13"/>
      <c r="B291" s="14"/>
      <c r="C291" s="14"/>
      <c r="D291" s="14"/>
      <c r="E291" s="14"/>
      <c r="F291" s="15"/>
      <c r="G291" s="16"/>
      <c r="H291" s="13"/>
      <c r="I291" s="16"/>
      <c r="J291" s="16"/>
      <c r="K291" s="17" t="str">
        <f>IF($A291="","",_EngineTrades!S291)</f>
        <v/>
      </c>
      <c r="L291" s="15"/>
      <c r="M291" s="16"/>
      <c r="N291" s="14"/>
      <c r="O291" s="18" t="str">
        <f t="shared" si="4"/>
        <v/>
      </c>
      <c r="P291" s="14"/>
      <c r="Q291" s="16"/>
      <c r="R291" s="16"/>
      <c r="S291" s="18" t="str">
        <f>IF($A291="","",_EngineTrades!V291)</f>
        <v/>
      </c>
      <c r="T291" t="str">
        <f>IF($A291="","",IFERROR(INDEX(Cycles!$R$9:$R$208,MATCH(_EngineTrades!AU291,_EngineCycles!$A$9:$A$208,0)),""))</f>
        <v/>
      </c>
      <c r="Y291" t="str">
        <f>IF(OR($A291="",$D291&lt;&gt;Overview!$P$2),"",COUNTIFS($D$9:$D$508,$D291,$A$9:$A$508,"&gt;"&amp;$A291)+COUNTIFS($D$9:$D$508,$D291,$A$9:$A$508,$A291)-COUNTIFS($D$9:$D291,$D291,$A$9:$A291,$A291)+1)</f>
        <v/>
      </c>
    </row>
    <row r="292" spans="1:25" ht="23.1" customHeight="1" x14ac:dyDescent="0.25">
      <c r="A292" s="19"/>
      <c r="B292" s="20"/>
      <c r="C292" s="20"/>
      <c r="D292" s="20"/>
      <c r="E292" s="20"/>
      <c r="F292" s="21"/>
      <c r="G292" s="22"/>
      <c r="H292" s="19"/>
      <c r="I292" s="22"/>
      <c r="J292" s="22"/>
      <c r="K292" s="23" t="str">
        <f>IF($A292="","",_EngineTrades!S292)</f>
        <v/>
      </c>
      <c r="L292" s="21"/>
      <c r="M292" s="22"/>
      <c r="N292" s="20"/>
      <c r="O292" s="24" t="str">
        <f t="shared" si="4"/>
        <v/>
      </c>
      <c r="P292" s="20"/>
      <c r="Q292" s="22"/>
      <c r="R292" s="22"/>
      <c r="S292" s="24" t="str">
        <f>IF($A292="","",_EngineTrades!V292)</f>
        <v/>
      </c>
      <c r="T292" t="str">
        <f>IF($A292="","",IFERROR(INDEX(Cycles!$R$9:$R$208,MATCH(_EngineTrades!AU292,_EngineCycles!$A$9:$A$208,0)),""))</f>
        <v/>
      </c>
      <c r="Y292" t="str">
        <f>IF(OR($A292="",$D292&lt;&gt;Overview!$P$2),"",COUNTIFS($D$9:$D$508,$D292,$A$9:$A$508,"&gt;"&amp;$A292)+COUNTIFS($D$9:$D$508,$D292,$A$9:$A$508,$A292)-COUNTIFS($D$9:$D292,$D292,$A$9:$A292,$A292)+1)</f>
        <v/>
      </c>
    </row>
    <row r="293" spans="1:25" ht="23.1" customHeight="1" x14ac:dyDescent="0.25">
      <c r="A293" s="13"/>
      <c r="B293" s="14"/>
      <c r="C293" s="14"/>
      <c r="D293" s="14"/>
      <c r="E293" s="14"/>
      <c r="F293" s="15"/>
      <c r="G293" s="16"/>
      <c r="H293" s="13"/>
      <c r="I293" s="16"/>
      <c r="J293" s="16"/>
      <c r="K293" s="17" t="str">
        <f>IF($A293="","",_EngineTrades!S293)</f>
        <v/>
      </c>
      <c r="L293" s="15"/>
      <c r="M293" s="16"/>
      <c r="N293" s="14"/>
      <c r="O293" s="18" t="str">
        <f t="shared" si="4"/>
        <v/>
      </c>
      <c r="P293" s="14"/>
      <c r="Q293" s="16"/>
      <c r="R293" s="16"/>
      <c r="S293" s="18" t="str">
        <f>IF($A293="","",_EngineTrades!V293)</f>
        <v/>
      </c>
      <c r="T293" t="str">
        <f>IF($A293="","",IFERROR(INDEX(Cycles!$R$9:$R$208,MATCH(_EngineTrades!AU293,_EngineCycles!$A$9:$A$208,0)),""))</f>
        <v/>
      </c>
      <c r="Y293" t="str">
        <f>IF(OR($A293="",$D293&lt;&gt;Overview!$P$2),"",COUNTIFS($D$9:$D$508,$D293,$A$9:$A$508,"&gt;"&amp;$A293)+COUNTIFS($D$9:$D$508,$D293,$A$9:$A$508,$A293)-COUNTIFS($D$9:$D293,$D293,$A$9:$A293,$A293)+1)</f>
        <v/>
      </c>
    </row>
    <row r="294" spans="1:25" ht="23.1" customHeight="1" x14ac:dyDescent="0.25">
      <c r="A294" s="19"/>
      <c r="B294" s="20"/>
      <c r="C294" s="20"/>
      <c r="D294" s="20"/>
      <c r="E294" s="20"/>
      <c r="F294" s="21"/>
      <c r="G294" s="22"/>
      <c r="H294" s="19"/>
      <c r="I294" s="22"/>
      <c r="J294" s="22"/>
      <c r="K294" s="23" t="str">
        <f>IF($A294="","",_EngineTrades!S294)</f>
        <v/>
      </c>
      <c r="L294" s="21"/>
      <c r="M294" s="22"/>
      <c r="N294" s="20"/>
      <c r="O294" s="24" t="str">
        <f t="shared" si="4"/>
        <v/>
      </c>
      <c r="P294" s="20"/>
      <c r="Q294" s="22"/>
      <c r="R294" s="22"/>
      <c r="S294" s="24" t="str">
        <f>IF($A294="","",_EngineTrades!V294)</f>
        <v/>
      </c>
      <c r="T294" t="str">
        <f>IF($A294="","",IFERROR(INDEX(Cycles!$R$9:$R$208,MATCH(_EngineTrades!AU294,_EngineCycles!$A$9:$A$208,0)),""))</f>
        <v/>
      </c>
      <c r="Y294" t="str">
        <f>IF(OR($A294="",$D294&lt;&gt;Overview!$P$2),"",COUNTIFS($D$9:$D$508,$D294,$A$9:$A$508,"&gt;"&amp;$A294)+COUNTIFS($D$9:$D$508,$D294,$A$9:$A$508,$A294)-COUNTIFS($D$9:$D294,$D294,$A$9:$A294,$A294)+1)</f>
        <v/>
      </c>
    </row>
    <row r="295" spans="1:25" ht="23.1" customHeight="1" x14ac:dyDescent="0.25">
      <c r="A295" s="13"/>
      <c r="B295" s="14"/>
      <c r="C295" s="14"/>
      <c r="D295" s="14"/>
      <c r="E295" s="14"/>
      <c r="F295" s="15"/>
      <c r="G295" s="16"/>
      <c r="H295" s="13"/>
      <c r="I295" s="16"/>
      <c r="J295" s="16"/>
      <c r="K295" s="17" t="str">
        <f>IF($A295="","",_EngineTrades!S295)</f>
        <v/>
      </c>
      <c r="L295" s="15"/>
      <c r="M295" s="16"/>
      <c r="N295" s="14"/>
      <c r="O295" s="18" t="str">
        <f t="shared" si="4"/>
        <v/>
      </c>
      <c r="P295" s="14"/>
      <c r="Q295" s="16"/>
      <c r="R295" s="16"/>
      <c r="S295" s="18" t="str">
        <f>IF($A295="","",_EngineTrades!V295)</f>
        <v/>
      </c>
      <c r="T295" t="str">
        <f>IF($A295="","",IFERROR(INDEX(Cycles!$R$9:$R$208,MATCH(_EngineTrades!AU295,_EngineCycles!$A$9:$A$208,0)),""))</f>
        <v/>
      </c>
      <c r="Y295" t="str">
        <f>IF(OR($A295="",$D295&lt;&gt;Overview!$P$2),"",COUNTIFS($D$9:$D$508,$D295,$A$9:$A$508,"&gt;"&amp;$A295)+COUNTIFS($D$9:$D$508,$D295,$A$9:$A$508,$A295)-COUNTIFS($D$9:$D295,$D295,$A$9:$A295,$A295)+1)</f>
        <v/>
      </c>
    </row>
    <row r="296" spans="1:25" ht="23.1" customHeight="1" x14ac:dyDescent="0.25">
      <c r="A296" s="19"/>
      <c r="B296" s="20"/>
      <c r="C296" s="20"/>
      <c r="D296" s="20"/>
      <c r="E296" s="20"/>
      <c r="F296" s="21"/>
      <c r="G296" s="22"/>
      <c r="H296" s="19"/>
      <c r="I296" s="22"/>
      <c r="J296" s="22"/>
      <c r="K296" s="23" t="str">
        <f>IF($A296="","",_EngineTrades!S296)</f>
        <v/>
      </c>
      <c r="L296" s="21"/>
      <c r="M296" s="22"/>
      <c r="N296" s="20"/>
      <c r="O296" s="24" t="str">
        <f t="shared" si="4"/>
        <v/>
      </c>
      <c r="P296" s="20"/>
      <c r="Q296" s="22"/>
      <c r="R296" s="22"/>
      <c r="S296" s="24" t="str">
        <f>IF($A296="","",_EngineTrades!V296)</f>
        <v/>
      </c>
      <c r="T296" t="str">
        <f>IF($A296="","",IFERROR(INDEX(Cycles!$R$9:$R$208,MATCH(_EngineTrades!AU296,_EngineCycles!$A$9:$A$208,0)),""))</f>
        <v/>
      </c>
      <c r="Y296" t="str">
        <f>IF(OR($A296="",$D296&lt;&gt;Overview!$P$2),"",COUNTIFS($D$9:$D$508,$D296,$A$9:$A$508,"&gt;"&amp;$A296)+COUNTIFS($D$9:$D$508,$D296,$A$9:$A$508,$A296)-COUNTIFS($D$9:$D296,$D296,$A$9:$A296,$A296)+1)</f>
        <v/>
      </c>
    </row>
    <row r="297" spans="1:25" ht="23.1" customHeight="1" x14ac:dyDescent="0.25">
      <c r="A297" s="13"/>
      <c r="B297" s="14"/>
      <c r="C297" s="14"/>
      <c r="D297" s="14"/>
      <c r="E297" s="14"/>
      <c r="F297" s="15"/>
      <c r="G297" s="16"/>
      <c r="H297" s="13"/>
      <c r="I297" s="16"/>
      <c r="J297" s="16"/>
      <c r="K297" s="17" t="str">
        <f>IF($A297="","",_EngineTrades!S297)</f>
        <v/>
      </c>
      <c r="L297" s="15"/>
      <c r="M297" s="16"/>
      <c r="N297" s="14"/>
      <c r="O297" s="18" t="str">
        <f t="shared" si="4"/>
        <v/>
      </c>
      <c r="P297" s="14"/>
      <c r="Q297" s="16"/>
      <c r="R297" s="16"/>
      <c r="S297" s="18" t="str">
        <f>IF($A297="","",_EngineTrades!V297)</f>
        <v/>
      </c>
      <c r="T297" t="str">
        <f>IF($A297="","",IFERROR(INDEX(Cycles!$R$9:$R$208,MATCH(_EngineTrades!AU297,_EngineCycles!$A$9:$A$208,0)),""))</f>
        <v/>
      </c>
      <c r="Y297" t="str">
        <f>IF(OR($A297="",$D297&lt;&gt;Overview!$P$2),"",COUNTIFS($D$9:$D$508,$D297,$A$9:$A$508,"&gt;"&amp;$A297)+COUNTIFS($D$9:$D$508,$D297,$A$9:$A$508,$A297)-COUNTIFS($D$9:$D297,$D297,$A$9:$A297,$A297)+1)</f>
        <v/>
      </c>
    </row>
    <row r="298" spans="1:25" ht="23.1" customHeight="1" x14ac:dyDescent="0.25">
      <c r="A298" s="19"/>
      <c r="B298" s="20"/>
      <c r="C298" s="20"/>
      <c r="D298" s="20"/>
      <c r="E298" s="20"/>
      <c r="F298" s="21"/>
      <c r="G298" s="22"/>
      <c r="H298" s="19"/>
      <c r="I298" s="22"/>
      <c r="J298" s="22"/>
      <c r="K298" s="23" t="str">
        <f>IF($A298="","",_EngineTrades!S298)</f>
        <v/>
      </c>
      <c r="L298" s="21"/>
      <c r="M298" s="22"/>
      <c r="N298" s="20"/>
      <c r="O298" s="24" t="str">
        <f t="shared" si="4"/>
        <v/>
      </c>
      <c r="P298" s="20"/>
      <c r="Q298" s="22"/>
      <c r="R298" s="22"/>
      <c r="S298" s="24" t="str">
        <f>IF($A298="","",_EngineTrades!V298)</f>
        <v/>
      </c>
      <c r="T298" t="str">
        <f>IF($A298="","",IFERROR(INDEX(Cycles!$R$9:$R$208,MATCH(_EngineTrades!AU298,_EngineCycles!$A$9:$A$208,0)),""))</f>
        <v/>
      </c>
      <c r="Y298" t="str">
        <f>IF(OR($A298="",$D298&lt;&gt;Overview!$P$2),"",COUNTIFS($D$9:$D$508,$D298,$A$9:$A$508,"&gt;"&amp;$A298)+COUNTIFS($D$9:$D$508,$D298,$A$9:$A$508,$A298)-COUNTIFS($D$9:$D298,$D298,$A$9:$A298,$A298)+1)</f>
        <v/>
      </c>
    </row>
    <row r="299" spans="1:25" ht="23.1" customHeight="1" x14ac:dyDescent="0.25">
      <c r="A299" s="13"/>
      <c r="B299" s="14"/>
      <c r="C299" s="14"/>
      <c r="D299" s="14"/>
      <c r="E299" s="14"/>
      <c r="F299" s="15"/>
      <c r="G299" s="16"/>
      <c r="H299" s="13"/>
      <c r="I299" s="16"/>
      <c r="J299" s="16"/>
      <c r="K299" s="17" t="str">
        <f>IF($A299="","",_EngineTrades!S299)</f>
        <v/>
      </c>
      <c r="L299" s="15"/>
      <c r="M299" s="16"/>
      <c r="N299" s="14"/>
      <c r="O299" s="18" t="str">
        <f t="shared" si="4"/>
        <v/>
      </c>
      <c r="P299" s="14"/>
      <c r="Q299" s="16"/>
      <c r="R299" s="16"/>
      <c r="S299" s="18" t="str">
        <f>IF($A299="","",_EngineTrades!V299)</f>
        <v/>
      </c>
      <c r="T299" t="str">
        <f>IF($A299="","",IFERROR(INDEX(Cycles!$R$9:$R$208,MATCH(_EngineTrades!AU299,_EngineCycles!$A$9:$A$208,0)),""))</f>
        <v/>
      </c>
      <c r="Y299" t="str">
        <f>IF(OR($A299="",$D299&lt;&gt;Overview!$P$2),"",COUNTIFS($D$9:$D$508,$D299,$A$9:$A$508,"&gt;"&amp;$A299)+COUNTIFS($D$9:$D$508,$D299,$A$9:$A$508,$A299)-COUNTIFS($D$9:$D299,$D299,$A$9:$A299,$A299)+1)</f>
        <v/>
      </c>
    </row>
    <row r="300" spans="1:25" ht="23.1" customHeight="1" x14ac:dyDescent="0.25">
      <c r="A300" s="19"/>
      <c r="B300" s="20"/>
      <c r="C300" s="20"/>
      <c r="D300" s="20"/>
      <c r="E300" s="20"/>
      <c r="F300" s="21"/>
      <c r="G300" s="22"/>
      <c r="H300" s="19"/>
      <c r="I300" s="22"/>
      <c r="J300" s="22"/>
      <c r="K300" s="23" t="str">
        <f>IF($A300="","",_EngineTrades!S300)</f>
        <v/>
      </c>
      <c r="L300" s="21"/>
      <c r="M300" s="22"/>
      <c r="N300" s="20"/>
      <c r="O300" s="24" t="str">
        <f t="shared" si="4"/>
        <v/>
      </c>
      <c r="P300" s="20"/>
      <c r="Q300" s="22"/>
      <c r="R300" s="22"/>
      <c r="S300" s="24" t="str">
        <f>IF($A300="","",_EngineTrades!V300)</f>
        <v/>
      </c>
      <c r="T300" t="str">
        <f>IF($A300="","",IFERROR(INDEX(Cycles!$R$9:$R$208,MATCH(_EngineTrades!AU300,_EngineCycles!$A$9:$A$208,0)),""))</f>
        <v/>
      </c>
      <c r="Y300" t="str">
        <f>IF(OR($A300="",$D300&lt;&gt;Overview!$P$2),"",COUNTIFS($D$9:$D$508,$D300,$A$9:$A$508,"&gt;"&amp;$A300)+COUNTIFS($D$9:$D$508,$D300,$A$9:$A$508,$A300)-COUNTIFS($D$9:$D300,$D300,$A$9:$A300,$A300)+1)</f>
        <v/>
      </c>
    </row>
    <row r="301" spans="1:25" ht="23.1" customHeight="1" x14ac:dyDescent="0.25">
      <c r="A301" s="13"/>
      <c r="B301" s="14"/>
      <c r="C301" s="14"/>
      <c r="D301" s="14"/>
      <c r="E301" s="14"/>
      <c r="F301" s="15"/>
      <c r="G301" s="16"/>
      <c r="H301" s="13"/>
      <c r="I301" s="16"/>
      <c r="J301" s="16"/>
      <c r="K301" s="17" t="str">
        <f>IF($A301="","",_EngineTrades!S301)</f>
        <v/>
      </c>
      <c r="L301" s="15"/>
      <c r="M301" s="16"/>
      <c r="N301" s="14"/>
      <c r="O301" s="18" t="str">
        <f t="shared" si="4"/>
        <v/>
      </c>
      <c r="P301" s="14"/>
      <c r="Q301" s="16"/>
      <c r="R301" s="16"/>
      <c r="S301" s="18" t="str">
        <f>IF($A301="","",_EngineTrades!V301)</f>
        <v/>
      </c>
      <c r="T301" t="str">
        <f>IF($A301="","",IFERROR(INDEX(Cycles!$R$9:$R$208,MATCH(_EngineTrades!AU301,_EngineCycles!$A$9:$A$208,0)),""))</f>
        <v/>
      </c>
      <c r="Y301" t="str">
        <f>IF(OR($A301="",$D301&lt;&gt;Overview!$P$2),"",COUNTIFS($D$9:$D$508,$D301,$A$9:$A$508,"&gt;"&amp;$A301)+COUNTIFS($D$9:$D$508,$D301,$A$9:$A$508,$A301)-COUNTIFS($D$9:$D301,$D301,$A$9:$A301,$A301)+1)</f>
        <v/>
      </c>
    </row>
    <row r="302" spans="1:25" ht="23.1" customHeight="1" x14ac:dyDescent="0.25">
      <c r="A302" s="19"/>
      <c r="B302" s="20"/>
      <c r="C302" s="20"/>
      <c r="D302" s="20"/>
      <c r="E302" s="20"/>
      <c r="F302" s="21"/>
      <c r="G302" s="22"/>
      <c r="H302" s="19"/>
      <c r="I302" s="22"/>
      <c r="J302" s="22"/>
      <c r="K302" s="23" t="str">
        <f>IF($A302="","",_EngineTrades!S302)</f>
        <v/>
      </c>
      <c r="L302" s="21"/>
      <c r="M302" s="22"/>
      <c r="N302" s="20"/>
      <c r="O302" s="24" t="str">
        <f t="shared" si="4"/>
        <v/>
      </c>
      <c r="P302" s="20"/>
      <c r="Q302" s="22"/>
      <c r="R302" s="22"/>
      <c r="S302" s="24" t="str">
        <f>IF($A302="","",_EngineTrades!V302)</f>
        <v/>
      </c>
      <c r="T302" t="str">
        <f>IF($A302="","",IFERROR(INDEX(Cycles!$R$9:$R$208,MATCH(_EngineTrades!AU302,_EngineCycles!$A$9:$A$208,0)),""))</f>
        <v/>
      </c>
      <c r="Y302" t="str">
        <f>IF(OR($A302="",$D302&lt;&gt;Overview!$P$2),"",COUNTIFS($D$9:$D$508,$D302,$A$9:$A$508,"&gt;"&amp;$A302)+COUNTIFS($D$9:$D$508,$D302,$A$9:$A$508,$A302)-COUNTIFS($D$9:$D302,$D302,$A$9:$A302,$A302)+1)</f>
        <v/>
      </c>
    </row>
    <row r="303" spans="1:25" ht="23.1" customHeight="1" x14ac:dyDescent="0.25">
      <c r="A303" s="13"/>
      <c r="B303" s="14"/>
      <c r="C303" s="14"/>
      <c r="D303" s="14"/>
      <c r="E303" s="14"/>
      <c r="F303" s="15"/>
      <c r="G303" s="16"/>
      <c r="H303" s="13"/>
      <c r="I303" s="16"/>
      <c r="J303" s="16"/>
      <c r="K303" s="17" t="str">
        <f>IF($A303="","",_EngineTrades!S303)</f>
        <v/>
      </c>
      <c r="L303" s="15"/>
      <c r="M303" s="16"/>
      <c r="N303" s="14"/>
      <c r="O303" s="18" t="str">
        <f t="shared" si="4"/>
        <v/>
      </c>
      <c r="P303" s="14"/>
      <c r="Q303" s="16"/>
      <c r="R303" s="16"/>
      <c r="S303" s="18" t="str">
        <f>IF($A303="","",_EngineTrades!V303)</f>
        <v/>
      </c>
      <c r="T303" t="str">
        <f>IF($A303="","",IFERROR(INDEX(Cycles!$R$9:$R$208,MATCH(_EngineTrades!AU303,_EngineCycles!$A$9:$A$208,0)),""))</f>
        <v/>
      </c>
      <c r="Y303" t="str">
        <f>IF(OR($A303="",$D303&lt;&gt;Overview!$P$2),"",COUNTIFS($D$9:$D$508,$D303,$A$9:$A$508,"&gt;"&amp;$A303)+COUNTIFS($D$9:$D$508,$D303,$A$9:$A$508,$A303)-COUNTIFS($D$9:$D303,$D303,$A$9:$A303,$A303)+1)</f>
        <v/>
      </c>
    </row>
    <row r="304" spans="1:25" ht="23.1" customHeight="1" x14ac:dyDescent="0.25">
      <c r="A304" s="19"/>
      <c r="B304" s="20"/>
      <c r="C304" s="20"/>
      <c r="D304" s="20"/>
      <c r="E304" s="20"/>
      <c r="F304" s="21"/>
      <c r="G304" s="22"/>
      <c r="H304" s="19"/>
      <c r="I304" s="22"/>
      <c r="J304" s="22"/>
      <c r="K304" s="23" t="str">
        <f>IF($A304="","",_EngineTrades!S304)</f>
        <v/>
      </c>
      <c r="L304" s="21"/>
      <c r="M304" s="22"/>
      <c r="N304" s="20"/>
      <c r="O304" s="24" t="str">
        <f t="shared" si="4"/>
        <v/>
      </c>
      <c r="P304" s="20"/>
      <c r="Q304" s="22"/>
      <c r="R304" s="22"/>
      <c r="S304" s="24" t="str">
        <f>IF($A304="","",_EngineTrades!V304)</f>
        <v/>
      </c>
      <c r="T304" t="str">
        <f>IF($A304="","",IFERROR(INDEX(Cycles!$R$9:$R$208,MATCH(_EngineTrades!AU304,_EngineCycles!$A$9:$A$208,0)),""))</f>
        <v/>
      </c>
      <c r="Y304" t="str">
        <f>IF(OR($A304="",$D304&lt;&gt;Overview!$P$2),"",COUNTIFS($D$9:$D$508,$D304,$A$9:$A$508,"&gt;"&amp;$A304)+COUNTIFS($D$9:$D$508,$D304,$A$9:$A$508,$A304)-COUNTIFS($D$9:$D304,$D304,$A$9:$A304,$A304)+1)</f>
        <v/>
      </c>
    </row>
    <row r="305" spans="1:25" ht="23.1" customHeight="1" x14ac:dyDescent="0.25">
      <c r="A305" s="13"/>
      <c r="B305" s="14"/>
      <c r="C305" s="14"/>
      <c r="D305" s="14"/>
      <c r="E305" s="14"/>
      <c r="F305" s="15"/>
      <c r="G305" s="16"/>
      <c r="H305" s="13"/>
      <c r="I305" s="16"/>
      <c r="J305" s="16"/>
      <c r="K305" s="17" t="str">
        <f>IF($A305="","",_EngineTrades!S305)</f>
        <v/>
      </c>
      <c r="L305" s="15"/>
      <c r="M305" s="16"/>
      <c r="N305" s="14"/>
      <c r="O305" s="18" t="str">
        <f t="shared" si="4"/>
        <v/>
      </c>
      <c r="P305" s="14"/>
      <c r="Q305" s="16"/>
      <c r="R305" s="16"/>
      <c r="S305" s="18" t="str">
        <f>IF($A305="","",_EngineTrades!V305)</f>
        <v/>
      </c>
      <c r="T305" t="str">
        <f>IF($A305="","",IFERROR(INDEX(Cycles!$R$9:$R$208,MATCH(_EngineTrades!AU305,_EngineCycles!$A$9:$A$208,0)),""))</f>
        <v/>
      </c>
      <c r="Y305" t="str">
        <f>IF(OR($A305="",$D305&lt;&gt;Overview!$P$2),"",COUNTIFS($D$9:$D$508,$D305,$A$9:$A$508,"&gt;"&amp;$A305)+COUNTIFS($D$9:$D$508,$D305,$A$9:$A$508,$A305)-COUNTIFS($D$9:$D305,$D305,$A$9:$A305,$A305)+1)</f>
        <v/>
      </c>
    </row>
    <row r="306" spans="1:25" ht="23.1" customHeight="1" x14ac:dyDescent="0.25">
      <c r="A306" s="19"/>
      <c r="B306" s="20"/>
      <c r="C306" s="20"/>
      <c r="D306" s="20"/>
      <c r="E306" s="20"/>
      <c r="F306" s="21"/>
      <c r="G306" s="22"/>
      <c r="H306" s="19"/>
      <c r="I306" s="22"/>
      <c r="J306" s="22"/>
      <c r="K306" s="23" t="str">
        <f>IF($A306="","",_EngineTrades!S306)</f>
        <v/>
      </c>
      <c r="L306" s="21"/>
      <c r="M306" s="22"/>
      <c r="N306" s="20"/>
      <c r="O306" s="24" t="str">
        <f t="shared" si="4"/>
        <v/>
      </c>
      <c r="P306" s="20"/>
      <c r="Q306" s="22"/>
      <c r="R306" s="22"/>
      <c r="S306" s="24" t="str">
        <f>IF($A306="","",_EngineTrades!V306)</f>
        <v/>
      </c>
      <c r="T306" t="str">
        <f>IF($A306="","",IFERROR(INDEX(Cycles!$R$9:$R$208,MATCH(_EngineTrades!AU306,_EngineCycles!$A$9:$A$208,0)),""))</f>
        <v/>
      </c>
      <c r="Y306" t="str">
        <f>IF(OR($A306="",$D306&lt;&gt;Overview!$P$2),"",COUNTIFS($D$9:$D$508,$D306,$A$9:$A$508,"&gt;"&amp;$A306)+COUNTIFS($D$9:$D$508,$D306,$A$9:$A$508,$A306)-COUNTIFS($D$9:$D306,$D306,$A$9:$A306,$A306)+1)</f>
        <v/>
      </c>
    </row>
    <row r="307" spans="1:25" ht="23.1" customHeight="1" x14ac:dyDescent="0.25">
      <c r="A307" s="13"/>
      <c r="B307" s="14"/>
      <c r="C307" s="14"/>
      <c r="D307" s="14"/>
      <c r="E307" s="14"/>
      <c r="F307" s="15"/>
      <c r="G307" s="16"/>
      <c r="H307" s="13"/>
      <c r="I307" s="16"/>
      <c r="J307" s="16"/>
      <c r="K307" s="17" t="str">
        <f>IF($A307="","",_EngineTrades!S307)</f>
        <v/>
      </c>
      <c r="L307" s="15"/>
      <c r="M307" s="16"/>
      <c r="N307" s="14"/>
      <c r="O307" s="18" t="str">
        <f t="shared" si="4"/>
        <v/>
      </c>
      <c r="P307" s="14"/>
      <c r="Q307" s="16"/>
      <c r="R307" s="16"/>
      <c r="S307" s="18" t="str">
        <f>IF($A307="","",_EngineTrades!V307)</f>
        <v/>
      </c>
      <c r="T307" t="str">
        <f>IF($A307="","",IFERROR(INDEX(Cycles!$R$9:$R$208,MATCH(_EngineTrades!AU307,_EngineCycles!$A$9:$A$208,0)),""))</f>
        <v/>
      </c>
      <c r="Y307" t="str">
        <f>IF(OR($A307="",$D307&lt;&gt;Overview!$P$2),"",COUNTIFS($D$9:$D$508,$D307,$A$9:$A$508,"&gt;"&amp;$A307)+COUNTIFS($D$9:$D$508,$D307,$A$9:$A$508,$A307)-COUNTIFS($D$9:$D307,$D307,$A$9:$A307,$A307)+1)</f>
        <v/>
      </c>
    </row>
    <row r="308" spans="1:25" ht="23.1" customHeight="1" x14ac:dyDescent="0.25">
      <c r="A308" s="19"/>
      <c r="B308" s="20"/>
      <c r="C308" s="20"/>
      <c r="D308" s="20"/>
      <c r="E308" s="20"/>
      <c r="F308" s="21"/>
      <c r="G308" s="22"/>
      <c r="H308" s="19"/>
      <c r="I308" s="22"/>
      <c r="J308" s="22"/>
      <c r="K308" s="23" t="str">
        <f>IF($A308="","",_EngineTrades!S308)</f>
        <v/>
      </c>
      <c r="L308" s="21"/>
      <c r="M308" s="22"/>
      <c r="N308" s="20"/>
      <c r="O308" s="24" t="str">
        <f t="shared" si="4"/>
        <v/>
      </c>
      <c r="P308" s="20"/>
      <c r="Q308" s="22"/>
      <c r="R308" s="22"/>
      <c r="S308" s="24" t="str">
        <f>IF($A308="","",_EngineTrades!V308)</f>
        <v/>
      </c>
      <c r="T308" t="str">
        <f>IF($A308="","",IFERROR(INDEX(Cycles!$R$9:$R$208,MATCH(_EngineTrades!AU308,_EngineCycles!$A$9:$A$208,0)),""))</f>
        <v/>
      </c>
      <c r="Y308" t="str">
        <f>IF(OR($A308="",$D308&lt;&gt;Overview!$P$2),"",COUNTIFS($D$9:$D$508,$D308,$A$9:$A$508,"&gt;"&amp;$A308)+COUNTIFS($D$9:$D$508,$D308,$A$9:$A$508,$A308)-COUNTIFS($D$9:$D308,$D308,$A$9:$A308,$A308)+1)</f>
        <v/>
      </c>
    </row>
    <row r="309" spans="1:25" ht="23.1" customHeight="1" x14ac:dyDescent="0.25">
      <c r="A309" s="13"/>
      <c r="B309" s="14"/>
      <c r="C309" s="14"/>
      <c r="D309" s="14"/>
      <c r="E309" s="14"/>
      <c r="F309" s="15"/>
      <c r="G309" s="16"/>
      <c r="H309" s="13"/>
      <c r="I309" s="16"/>
      <c r="J309" s="16"/>
      <c r="K309" s="17" t="str">
        <f>IF($A309="","",_EngineTrades!S309)</f>
        <v/>
      </c>
      <c r="L309" s="15"/>
      <c r="M309" s="16"/>
      <c r="N309" s="14"/>
      <c r="O309" s="18" t="str">
        <f t="shared" si="4"/>
        <v/>
      </c>
      <c r="P309" s="14"/>
      <c r="Q309" s="16"/>
      <c r="R309" s="16"/>
      <c r="S309" s="18" t="str">
        <f>IF($A309="","",_EngineTrades!V309)</f>
        <v/>
      </c>
      <c r="T309" t="str">
        <f>IF($A309="","",IFERROR(INDEX(Cycles!$R$9:$R$208,MATCH(_EngineTrades!AU309,_EngineCycles!$A$9:$A$208,0)),""))</f>
        <v/>
      </c>
      <c r="Y309" t="str">
        <f>IF(OR($A309="",$D309&lt;&gt;Overview!$P$2),"",COUNTIFS($D$9:$D$508,$D309,$A$9:$A$508,"&gt;"&amp;$A309)+COUNTIFS($D$9:$D$508,$D309,$A$9:$A$508,$A309)-COUNTIFS($D$9:$D309,$D309,$A$9:$A309,$A309)+1)</f>
        <v/>
      </c>
    </row>
    <row r="310" spans="1:25" ht="23.1" customHeight="1" x14ac:dyDescent="0.25">
      <c r="A310" s="19"/>
      <c r="B310" s="20"/>
      <c r="C310" s="20"/>
      <c r="D310" s="20"/>
      <c r="E310" s="20"/>
      <c r="F310" s="21"/>
      <c r="G310" s="22"/>
      <c r="H310" s="19"/>
      <c r="I310" s="22"/>
      <c r="J310" s="22"/>
      <c r="K310" s="23" t="str">
        <f>IF($A310="","",_EngineTrades!S310)</f>
        <v/>
      </c>
      <c r="L310" s="21"/>
      <c r="M310" s="22"/>
      <c r="N310" s="20"/>
      <c r="O310" s="24" t="str">
        <f t="shared" si="4"/>
        <v/>
      </c>
      <c r="P310" s="20"/>
      <c r="Q310" s="22"/>
      <c r="R310" s="22"/>
      <c r="S310" s="24" t="str">
        <f>IF($A310="","",_EngineTrades!V310)</f>
        <v/>
      </c>
      <c r="T310" t="str">
        <f>IF($A310="","",IFERROR(INDEX(Cycles!$R$9:$R$208,MATCH(_EngineTrades!AU310,_EngineCycles!$A$9:$A$208,0)),""))</f>
        <v/>
      </c>
      <c r="Y310" t="str">
        <f>IF(OR($A310="",$D310&lt;&gt;Overview!$P$2),"",COUNTIFS($D$9:$D$508,$D310,$A$9:$A$508,"&gt;"&amp;$A310)+COUNTIFS($D$9:$D$508,$D310,$A$9:$A$508,$A310)-COUNTIFS($D$9:$D310,$D310,$A$9:$A310,$A310)+1)</f>
        <v/>
      </c>
    </row>
    <row r="311" spans="1:25" ht="23.1" customHeight="1" x14ac:dyDescent="0.25">
      <c r="A311" s="13"/>
      <c r="B311" s="14"/>
      <c r="C311" s="14"/>
      <c r="D311" s="14"/>
      <c r="E311" s="14"/>
      <c r="F311" s="15"/>
      <c r="G311" s="16"/>
      <c r="H311" s="13"/>
      <c r="I311" s="16"/>
      <c r="J311" s="16"/>
      <c r="K311" s="17" t="str">
        <f>IF($A311="","",_EngineTrades!S311)</f>
        <v/>
      </c>
      <c r="L311" s="15"/>
      <c r="M311" s="16"/>
      <c r="N311" s="14"/>
      <c r="O311" s="18" t="str">
        <f t="shared" si="4"/>
        <v/>
      </c>
      <c r="P311" s="14"/>
      <c r="Q311" s="16"/>
      <c r="R311" s="16"/>
      <c r="S311" s="18" t="str">
        <f>IF($A311="","",_EngineTrades!V311)</f>
        <v/>
      </c>
      <c r="T311" t="str">
        <f>IF($A311="","",IFERROR(INDEX(Cycles!$R$9:$R$208,MATCH(_EngineTrades!AU311,_EngineCycles!$A$9:$A$208,0)),""))</f>
        <v/>
      </c>
      <c r="Y311" t="str">
        <f>IF(OR($A311="",$D311&lt;&gt;Overview!$P$2),"",COUNTIFS($D$9:$D$508,$D311,$A$9:$A$508,"&gt;"&amp;$A311)+COUNTIFS($D$9:$D$508,$D311,$A$9:$A$508,$A311)-COUNTIFS($D$9:$D311,$D311,$A$9:$A311,$A311)+1)</f>
        <v/>
      </c>
    </row>
    <row r="312" spans="1:25" ht="23.1" customHeight="1" x14ac:dyDescent="0.25">
      <c r="A312" s="19"/>
      <c r="B312" s="20"/>
      <c r="C312" s="20"/>
      <c r="D312" s="20"/>
      <c r="E312" s="20"/>
      <c r="F312" s="21"/>
      <c r="G312" s="22"/>
      <c r="H312" s="19"/>
      <c r="I312" s="22"/>
      <c r="J312" s="22"/>
      <c r="K312" s="23" t="str">
        <f>IF($A312="","",_EngineTrades!S312)</f>
        <v/>
      </c>
      <c r="L312" s="21"/>
      <c r="M312" s="22"/>
      <c r="N312" s="20"/>
      <c r="O312" s="24" t="str">
        <f t="shared" si="4"/>
        <v/>
      </c>
      <c r="P312" s="20"/>
      <c r="Q312" s="22"/>
      <c r="R312" s="22"/>
      <c r="S312" s="24" t="str">
        <f>IF($A312="","",_EngineTrades!V312)</f>
        <v/>
      </c>
      <c r="T312" t="str">
        <f>IF($A312="","",IFERROR(INDEX(Cycles!$R$9:$R$208,MATCH(_EngineTrades!AU312,_EngineCycles!$A$9:$A$208,0)),""))</f>
        <v/>
      </c>
      <c r="Y312" t="str">
        <f>IF(OR($A312="",$D312&lt;&gt;Overview!$P$2),"",COUNTIFS($D$9:$D$508,$D312,$A$9:$A$508,"&gt;"&amp;$A312)+COUNTIFS($D$9:$D$508,$D312,$A$9:$A$508,$A312)-COUNTIFS($D$9:$D312,$D312,$A$9:$A312,$A312)+1)</f>
        <v/>
      </c>
    </row>
    <row r="313" spans="1:25" ht="23.1" customHeight="1" x14ac:dyDescent="0.25">
      <c r="A313" s="13"/>
      <c r="B313" s="14"/>
      <c r="C313" s="14"/>
      <c r="D313" s="14"/>
      <c r="E313" s="14"/>
      <c r="F313" s="15"/>
      <c r="G313" s="16"/>
      <c r="H313" s="13"/>
      <c r="I313" s="16"/>
      <c r="J313" s="16"/>
      <c r="K313" s="17" t="str">
        <f>IF($A313="","",_EngineTrades!S313)</f>
        <v/>
      </c>
      <c r="L313" s="15"/>
      <c r="M313" s="16"/>
      <c r="N313" s="14"/>
      <c r="O313" s="18" t="str">
        <f t="shared" si="4"/>
        <v/>
      </c>
      <c r="P313" s="14"/>
      <c r="Q313" s="16"/>
      <c r="R313" s="16"/>
      <c r="S313" s="18" t="str">
        <f>IF($A313="","",_EngineTrades!V313)</f>
        <v/>
      </c>
      <c r="T313" t="str">
        <f>IF($A313="","",IFERROR(INDEX(Cycles!$R$9:$R$208,MATCH(_EngineTrades!AU313,_EngineCycles!$A$9:$A$208,0)),""))</f>
        <v/>
      </c>
      <c r="Y313" t="str">
        <f>IF(OR($A313="",$D313&lt;&gt;Overview!$P$2),"",COUNTIFS($D$9:$D$508,$D313,$A$9:$A$508,"&gt;"&amp;$A313)+COUNTIFS($D$9:$D$508,$D313,$A$9:$A$508,$A313)-COUNTIFS($D$9:$D313,$D313,$A$9:$A313,$A313)+1)</f>
        <v/>
      </c>
    </row>
    <row r="314" spans="1:25" ht="23.1" customHeight="1" x14ac:dyDescent="0.25">
      <c r="A314" s="19"/>
      <c r="B314" s="20"/>
      <c r="C314" s="20"/>
      <c r="D314" s="20"/>
      <c r="E314" s="20"/>
      <c r="F314" s="21"/>
      <c r="G314" s="22"/>
      <c r="H314" s="19"/>
      <c r="I314" s="22"/>
      <c r="J314" s="22"/>
      <c r="K314" s="23" t="str">
        <f>IF($A314="","",_EngineTrades!S314)</f>
        <v/>
      </c>
      <c r="L314" s="21"/>
      <c r="M314" s="22"/>
      <c r="N314" s="20"/>
      <c r="O314" s="24" t="str">
        <f t="shared" si="4"/>
        <v/>
      </c>
      <c r="P314" s="20"/>
      <c r="Q314" s="22"/>
      <c r="R314" s="22"/>
      <c r="S314" s="24" t="str">
        <f>IF($A314="","",_EngineTrades!V314)</f>
        <v/>
      </c>
      <c r="T314" t="str">
        <f>IF($A314="","",IFERROR(INDEX(Cycles!$R$9:$R$208,MATCH(_EngineTrades!AU314,_EngineCycles!$A$9:$A$208,0)),""))</f>
        <v/>
      </c>
      <c r="Y314" t="str">
        <f>IF(OR($A314="",$D314&lt;&gt;Overview!$P$2),"",COUNTIFS($D$9:$D$508,$D314,$A$9:$A$508,"&gt;"&amp;$A314)+COUNTIFS($D$9:$D$508,$D314,$A$9:$A$508,$A314)-COUNTIFS($D$9:$D314,$D314,$A$9:$A314,$A314)+1)</f>
        <v/>
      </c>
    </row>
    <row r="315" spans="1:25" ht="23.1" customHeight="1" x14ac:dyDescent="0.25">
      <c r="A315" s="13"/>
      <c r="B315" s="14"/>
      <c r="C315" s="14"/>
      <c r="D315" s="14"/>
      <c r="E315" s="14"/>
      <c r="F315" s="15"/>
      <c r="G315" s="16"/>
      <c r="H315" s="13"/>
      <c r="I315" s="16"/>
      <c r="J315" s="16"/>
      <c r="K315" s="17" t="str">
        <f>IF($A315="","",_EngineTrades!S315)</f>
        <v/>
      </c>
      <c r="L315" s="15"/>
      <c r="M315" s="16"/>
      <c r="N315" s="14"/>
      <c r="O315" s="18" t="str">
        <f t="shared" si="4"/>
        <v/>
      </c>
      <c r="P315" s="14"/>
      <c r="Q315" s="16"/>
      <c r="R315" s="16"/>
      <c r="S315" s="18" t="str">
        <f>IF($A315="","",_EngineTrades!V315)</f>
        <v/>
      </c>
      <c r="T315" t="str">
        <f>IF($A315="","",IFERROR(INDEX(Cycles!$R$9:$R$208,MATCH(_EngineTrades!AU315,_EngineCycles!$A$9:$A$208,0)),""))</f>
        <v/>
      </c>
      <c r="Y315" t="str">
        <f>IF(OR($A315="",$D315&lt;&gt;Overview!$P$2),"",COUNTIFS($D$9:$D$508,$D315,$A$9:$A$508,"&gt;"&amp;$A315)+COUNTIFS($D$9:$D$508,$D315,$A$9:$A$508,$A315)-COUNTIFS($D$9:$D315,$D315,$A$9:$A315,$A315)+1)</f>
        <v/>
      </c>
    </row>
    <row r="316" spans="1:25" ht="23.1" customHeight="1" x14ac:dyDescent="0.25">
      <c r="A316" s="19"/>
      <c r="B316" s="20"/>
      <c r="C316" s="20"/>
      <c r="D316" s="20"/>
      <c r="E316" s="20"/>
      <c r="F316" s="21"/>
      <c r="G316" s="22"/>
      <c r="H316" s="19"/>
      <c r="I316" s="22"/>
      <c r="J316" s="22"/>
      <c r="K316" s="23" t="str">
        <f>IF($A316="","",_EngineTrades!S316)</f>
        <v/>
      </c>
      <c r="L316" s="21"/>
      <c r="M316" s="22"/>
      <c r="N316" s="20"/>
      <c r="O316" s="24" t="str">
        <f t="shared" si="4"/>
        <v/>
      </c>
      <c r="P316" s="20"/>
      <c r="Q316" s="22"/>
      <c r="R316" s="22"/>
      <c r="S316" s="24" t="str">
        <f>IF($A316="","",_EngineTrades!V316)</f>
        <v/>
      </c>
      <c r="T316" t="str">
        <f>IF($A316="","",IFERROR(INDEX(Cycles!$R$9:$R$208,MATCH(_EngineTrades!AU316,_EngineCycles!$A$9:$A$208,0)),""))</f>
        <v/>
      </c>
      <c r="Y316" t="str">
        <f>IF(OR($A316="",$D316&lt;&gt;Overview!$P$2),"",COUNTIFS($D$9:$D$508,$D316,$A$9:$A$508,"&gt;"&amp;$A316)+COUNTIFS($D$9:$D$508,$D316,$A$9:$A$508,$A316)-COUNTIFS($D$9:$D316,$D316,$A$9:$A316,$A316)+1)</f>
        <v/>
      </c>
    </row>
    <row r="317" spans="1:25" ht="23.1" customHeight="1" x14ac:dyDescent="0.25">
      <c r="A317" s="13"/>
      <c r="B317" s="14"/>
      <c r="C317" s="14"/>
      <c r="D317" s="14"/>
      <c r="E317" s="14"/>
      <c r="F317" s="15"/>
      <c r="G317" s="16"/>
      <c r="H317" s="13"/>
      <c r="I317" s="16"/>
      <c r="J317" s="16"/>
      <c r="K317" s="17" t="str">
        <f>IF($A317="","",_EngineTrades!S317)</f>
        <v/>
      </c>
      <c r="L317" s="15"/>
      <c r="M317" s="16"/>
      <c r="N317" s="14"/>
      <c r="O317" s="18" t="str">
        <f t="shared" si="4"/>
        <v/>
      </c>
      <c r="P317" s="14"/>
      <c r="Q317" s="16"/>
      <c r="R317" s="16"/>
      <c r="S317" s="18" t="str">
        <f>IF($A317="","",_EngineTrades!V317)</f>
        <v/>
      </c>
      <c r="T317" t="str">
        <f>IF($A317="","",IFERROR(INDEX(Cycles!$R$9:$R$208,MATCH(_EngineTrades!AU317,_EngineCycles!$A$9:$A$208,0)),""))</f>
        <v/>
      </c>
      <c r="Y317" t="str">
        <f>IF(OR($A317="",$D317&lt;&gt;Overview!$P$2),"",COUNTIFS($D$9:$D$508,$D317,$A$9:$A$508,"&gt;"&amp;$A317)+COUNTIFS($D$9:$D$508,$D317,$A$9:$A$508,$A317)-COUNTIFS($D$9:$D317,$D317,$A$9:$A317,$A317)+1)</f>
        <v/>
      </c>
    </row>
    <row r="318" spans="1:25" ht="23.1" customHeight="1" x14ac:dyDescent="0.25">
      <c r="A318" s="19"/>
      <c r="B318" s="20"/>
      <c r="C318" s="20"/>
      <c r="D318" s="20"/>
      <c r="E318" s="20"/>
      <c r="F318" s="21"/>
      <c r="G318" s="22"/>
      <c r="H318" s="19"/>
      <c r="I318" s="22"/>
      <c r="J318" s="22"/>
      <c r="K318" s="23" t="str">
        <f>IF($A318="","",_EngineTrades!S318)</f>
        <v/>
      </c>
      <c r="L318" s="21"/>
      <c r="M318" s="22"/>
      <c r="N318" s="20"/>
      <c r="O318" s="24" t="str">
        <f t="shared" si="4"/>
        <v/>
      </c>
      <c r="P318" s="20"/>
      <c r="Q318" s="22"/>
      <c r="R318" s="22"/>
      <c r="S318" s="24" t="str">
        <f>IF($A318="","",_EngineTrades!V318)</f>
        <v/>
      </c>
      <c r="T318" t="str">
        <f>IF($A318="","",IFERROR(INDEX(Cycles!$R$9:$R$208,MATCH(_EngineTrades!AU318,_EngineCycles!$A$9:$A$208,0)),""))</f>
        <v/>
      </c>
      <c r="Y318" t="str">
        <f>IF(OR($A318="",$D318&lt;&gt;Overview!$P$2),"",COUNTIFS($D$9:$D$508,$D318,$A$9:$A$508,"&gt;"&amp;$A318)+COUNTIFS($D$9:$D$508,$D318,$A$9:$A$508,$A318)-COUNTIFS($D$9:$D318,$D318,$A$9:$A318,$A318)+1)</f>
        <v/>
      </c>
    </row>
    <row r="319" spans="1:25" ht="23.1" customHeight="1" x14ac:dyDescent="0.25">
      <c r="A319" s="13"/>
      <c r="B319" s="14"/>
      <c r="C319" s="14"/>
      <c r="D319" s="14"/>
      <c r="E319" s="14"/>
      <c r="F319" s="15"/>
      <c r="G319" s="16"/>
      <c r="H319" s="13"/>
      <c r="I319" s="16"/>
      <c r="J319" s="16"/>
      <c r="K319" s="17" t="str">
        <f>IF($A319="","",_EngineTrades!S319)</f>
        <v/>
      </c>
      <c r="L319" s="15"/>
      <c r="M319" s="16"/>
      <c r="N319" s="14"/>
      <c r="O319" s="18" t="str">
        <f t="shared" si="4"/>
        <v/>
      </c>
      <c r="P319" s="14"/>
      <c r="Q319" s="16"/>
      <c r="R319" s="16"/>
      <c r="S319" s="18" t="str">
        <f>IF($A319="","",_EngineTrades!V319)</f>
        <v/>
      </c>
      <c r="T319" t="str">
        <f>IF($A319="","",IFERROR(INDEX(Cycles!$R$9:$R$208,MATCH(_EngineTrades!AU319,_EngineCycles!$A$9:$A$208,0)),""))</f>
        <v/>
      </c>
      <c r="Y319" t="str">
        <f>IF(OR($A319="",$D319&lt;&gt;Overview!$P$2),"",COUNTIFS($D$9:$D$508,$D319,$A$9:$A$508,"&gt;"&amp;$A319)+COUNTIFS($D$9:$D$508,$D319,$A$9:$A$508,$A319)-COUNTIFS($D$9:$D319,$D319,$A$9:$A319,$A319)+1)</f>
        <v/>
      </c>
    </row>
    <row r="320" spans="1:25" ht="23.1" customHeight="1" x14ac:dyDescent="0.25">
      <c r="A320" s="19"/>
      <c r="B320" s="20"/>
      <c r="C320" s="20"/>
      <c r="D320" s="20"/>
      <c r="E320" s="20"/>
      <c r="F320" s="21"/>
      <c r="G320" s="22"/>
      <c r="H320" s="19"/>
      <c r="I320" s="22"/>
      <c r="J320" s="22"/>
      <c r="K320" s="23" t="str">
        <f>IF($A320="","",_EngineTrades!S320)</f>
        <v/>
      </c>
      <c r="L320" s="21"/>
      <c r="M320" s="22"/>
      <c r="N320" s="20"/>
      <c r="O320" s="24" t="str">
        <f t="shared" si="4"/>
        <v/>
      </c>
      <c r="P320" s="20"/>
      <c r="Q320" s="22"/>
      <c r="R320" s="22"/>
      <c r="S320" s="24" t="str">
        <f>IF($A320="","",_EngineTrades!V320)</f>
        <v/>
      </c>
      <c r="T320" t="str">
        <f>IF($A320="","",IFERROR(INDEX(Cycles!$R$9:$R$208,MATCH(_EngineTrades!AU320,_EngineCycles!$A$9:$A$208,0)),""))</f>
        <v/>
      </c>
      <c r="Y320" t="str">
        <f>IF(OR($A320="",$D320&lt;&gt;Overview!$P$2),"",COUNTIFS($D$9:$D$508,$D320,$A$9:$A$508,"&gt;"&amp;$A320)+COUNTIFS($D$9:$D$508,$D320,$A$9:$A$508,$A320)-COUNTIFS($D$9:$D320,$D320,$A$9:$A320,$A320)+1)</f>
        <v/>
      </c>
    </row>
    <row r="321" spans="1:25" ht="23.1" customHeight="1" x14ac:dyDescent="0.25">
      <c r="A321" s="13"/>
      <c r="B321" s="14"/>
      <c r="C321" s="14"/>
      <c r="D321" s="14"/>
      <c r="E321" s="14"/>
      <c r="F321" s="15"/>
      <c r="G321" s="16"/>
      <c r="H321" s="13"/>
      <c r="I321" s="16"/>
      <c r="J321" s="16"/>
      <c r="K321" s="17" t="str">
        <f>IF($A321="","",_EngineTrades!S321)</f>
        <v/>
      </c>
      <c r="L321" s="15"/>
      <c r="M321" s="16"/>
      <c r="N321" s="14"/>
      <c r="O321" s="18" t="str">
        <f t="shared" si="4"/>
        <v/>
      </c>
      <c r="P321" s="14"/>
      <c r="Q321" s="16"/>
      <c r="R321" s="16"/>
      <c r="S321" s="18" t="str">
        <f>IF($A321="","",_EngineTrades!V321)</f>
        <v/>
      </c>
      <c r="T321" t="str">
        <f>IF($A321="","",IFERROR(INDEX(Cycles!$R$9:$R$208,MATCH(_EngineTrades!AU321,_EngineCycles!$A$9:$A$208,0)),""))</f>
        <v/>
      </c>
      <c r="Y321" t="str">
        <f>IF(OR($A321="",$D321&lt;&gt;Overview!$P$2),"",COUNTIFS($D$9:$D$508,$D321,$A$9:$A$508,"&gt;"&amp;$A321)+COUNTIFS($D$9:$D$508,$D321,$A$9:$A$508,$A321)-COUNTIFS($D$9:$D321,$D321,$A$9:$A321,$A321)+1)</f>
        <v/>
      </c>
    </row>
    <row r="322" spans="1:25" ht="23.1" customHeight="1" x14ac:dyDescent="0.25">
      <c r="A322" s="19"/>
      <c r="B322" s="20"/>
      <c r="C322" s="20"/>
      <c r="D322" s="20"/>
      <c r="E322" s="20"/>
      <c r="F322" s="21"/>
      <c r="G322" s="22"/>
      <c r="H322" s="19"/>
      <c r="I322" s="22"/>
      <c r="J322" s="22"/>
      <c r="K322" s="23" t="str">
        <f>IF($A322="","",_EngineTrades!S322)</f>
        <v/>
      </c>
      <c r="L322" s="21"/>
      <c r="M322" s="22"/>
      <c r="N322" s="20"/>
      <c r="O322" s="24" t="str">
        <f t="shared" si="4"/>
        <v/>
      </c>
      <c r="P322" s="20"/>
      <c r="Q322" s="22"/>
      <c r="R322" s="22"/>
      <c r="S322" s="24" t="str">
        <f>IF($A322="","",_EngineTrades!V322)</f>
        <v/>
      </c>
      <c r="T322" t="str">
        <f>IF($A322="","",IFERROR(INDEX(Cycles!$R$9:$R$208,MATCH(_EngineTrades!AU322,_EngineCycles!$A$9:$A$208,0)),""))</f>
        <v/>
      </c>
      <c r="Y322" t="str">
        <f>IF(OR($A322="",$D322&lt;&gt;Overview!$P$2),"",COUNTIFS($D$9:$D$508,$D322,$A$9:$A$508,"&gt;"&amp;$A322)+COUNTIFS($D$9:$D$508,$D322,$A$9:$A$508,$A322)-COUNTIFS($D$9:$D322,$D322,$A$9:$A322,$A322)+1)</f>
        <v/>
      </c>
    </row>
    <row r="323" spans="1:25" ht="23.1" customHeight="1" x14ac:dyDescent="0.25">
      <c r="A323" s="13"/>
      <c r="B323" s="14"/>
      <c r="C323" s="14"/>
      <c r="D323" s="14"/>
      <c r="E323" s="14"/>
      <c r="F323" s="15"/>
      <c r="G323" s="16"/>
      <c r="H323" s="13"/>
      <c r="I323" s="16"/>
      <c r="J323" s="16"/>
      <c r="K323" s="17" t="str">
        <f>IF($A323="","",_EngineTrades!S323)</f>
        <v/>
      </c>
      <c r="L323" s="15"/>
      <c r="M323" s="16"/>
      <c r="N323" s="14"/>
      <c r="O323" s="18" t="str">
        <f t="shared" si="4"/>
        <v/>
      </c>
      <c r="P323" s="14"/>
      <c r="Q323" s="16"/>
      <c r="R323" s="16"/>
      <c r="S323" s="18" t="str">
        <f>IF($A323="","",_EngineTrades!V323)</f>
        <v/>
      </c>
      <c r="T323" t="str">
        <f>IF($A323="","",IFERROR(INDEX(Cycles!$R$9:$R$208,MATCH(_EngineTrades!AU323,_EngineCycles!$A$9:$A$208,0)),""))</f>
        <v/>
      </c>
      <c r="Y323" t="str">
        <f>IF(OR($A323="",$D323&lt;&gt;Overview!$P$2),"",COUNTIFS($D$9:$D$508,$D323,$A$9:$A$508,"&gt;"&amp;$A323)+COUNTIFS($D$9:$D$508,$D323,$A$9:$A$508,$A323)-COUNTIFS($D$9:$D323,$D323,$A$9:$A323,$A323)+1)</f>
        <v/>
      </c>
    </row>
    <row r="324" spans="1:25" ht="23.1" customHeight="1" x14ac:dyDescent="0.25">
      <c r="A324" s="19"/>
      <c r="B324" s="20"/>
      <c r="C324" s="20"/>
      <c r="D324" s="20"/>
      <c r="E324" s="20"/>
      <c r="F324" s="21"/>
      <c r="G324" s="22"/>
      <c r="H324" s="19"/>
      <c r="I324" s="22"/>
      <c r="J324" s="22"/>
      <c r="K324" s="23" t="str">
        <f>IF($A324="","",_EngineTrades!S324)</f>
        <v/>
      </c>
      <c r="L324" s="21"/>
      <c r="M324" s="22"/>
      <c r="N324" s="20"/>
      <c r="O324" s="24" t="str">
        <f t="shared" si="4"/>
        <v/>
      </c>
      <c r="P324" s="20"/>
      <c r="Q324" s="22"/>
      <c r="R324" s="22"/>
      <c r="S324" s="24" t="str">
        <f>IF($A324="","",_EngineTrades!V324)</f>
        <v/>
      </c>
      <c r="T324" t="str">
        <f>IF($A324="","",IFERROR(INDEX(Cycles!$R$9:$R$208,MATCH(_EngineTrades!AU324,_EngineCycles!$A$9:$A$208,0)),""))</f>
        <v/>
      </c>
      <c r="Y324" t="str">
        <f>IF(OR($A324="",$D324&lt;&gt;Overview!$P$2),"",COUNTIFS($D$9:$D$508,$D324,$A$9:$A$508,"&gt;"&amp;$A324)+COUNTIFS($D$9:$D$508,$D324,$A$9:$A$508,$A324)-COUNTIFS($D$9:$D324,$D324,$A$9:$A324,$A324)+1)</f>
        <v/>
      </c>
    </row>
    <row r="325" spans="1:25" ht="23.1" customHeight="1" x14ac:dyDescent="0.25">
      <c r="A325" s="13"/>
      <c r="B325" s="14"/>
      <c r="C325" s="14"/>
      <c r="D325" s="14"/>
      <c r="E325" s="14"/>
      <c r="F325" s="15"/>
      <c r="G325" s="16"/>
      <c r="H325" s="13"/>
      <c r="I325" s="16"/>
      <c r="J325" s="16"/>
      <c r="K325" s="17" t="str">
        <f>IF($A325="","",_EngineTrades!S325)</f>
        <v/>
      </c>
      <c r="L325" s="15"/>
      <c r="M325" s="16"/>
      <c r="N325" s="14"/>
      <c r="O325" s="18" t="str">
        <f t="shared" si="4"/>
        <v/>
      </c>
      <c r="P325" s="14"/>
      <c r="Q325" s="16"/>
      <c r="R325" s="16"/>
      <c r="S325" s="18" t="str">
        <f>IF($A325="","",_EngineTrades!V325)</f>
        <v/>
      </c>
      <c r="T325" t="str">
        <f>IF($A325="","",IFERROR(INDEX(Cycles!$R$9:$R$208,MATCH(_EngineTrades!AU325,_EngineCycles!$A$9:$A$208,0)),""))</f>
        <v/>
      </c>
      <c r="Y325" t="str">
        <f>IF(OR($A325="",$D325&lt;&gt;Overview!$P$2),"",COUNTIFS($D$9:$D$508,$D325,$A$9:$A$508,"&gt;"&amp;$A325)+COUNTIFS($D$9:$D$508,$D325,$A$9:$A$508,$A325)-COUNTIFS($D$9:$D325,$D325,$A$9:$A325,$A325)+1)</f>
        <v/>
      </c>
    </row>
    <row r="326" spans="1:25" ht="23.1" customHeight="1" x14ac:dyDescent="0.25">
      <c r="A326" s="19"/>
      <c r="B326" s="20"/>
      <c r="C326" s="20"/>
      <c r="D326" s="20"/>
      <c r="E326" s="20"/>
      <c r="F326" s="21"/>
      <c r="G326" s="22"/>
      <c r="H326" s="19"/>
      <c r="I326" s="22"/>
      <c r="J326" s="22"/>
      <c r="K326" s="23" t="str">
        <f>IF($A326="","",_EngineTrades!S326)</f>
        <v/>
      </c>
      <c r="L326" s="21"/>
      <c r="M326" s="22"/>
      <c r="N326" s="20"/>
      <c r="O326" s="24" t="str">
        <f t="shared" si="4"/>
        <v/>
      </c>
      <c r="P326" s="20"/>
      <c r="Q326" s="22"/>
      <c r="R326" s="22"/>
      <c r="S326" s="24" t="str">
        <f>IF($A326="","",_EngineTrades!V326)</f>
        <v/>
      </c>
      <c r="T326" t="str">
        <f>IF($A326="","",IFERROR(INDEX(Cycles!$R$9:$R$208,MATCH(_EngineTrades!AU326,_EngineCycles!$A$9:$A$208,0)),""))</f>
        <v/>
      </c>
      <c r="Y326" t="str">
        <f>IF(OR($A326="",$D326&lt;&gt;Overview!$P$2),"",COUNTIFS($D$9:$D$508,$D326,$A$9:$A$508,"&gt;"&amp;$A326)+COUNTIFS($D$9:$D$508,$D326,$A$9:$A$508,$A326)-COUNTIFS($D$9:$D326,$D326,$A$9:$A326,$A326)+1)</f>
        <v/>
      </c>
    </row>
    <row r="327" spans="1:25" ht="23.1" customHeight="1" x14ac:dyDescent="0.25">
      <c r="A327" s="13"/>
      <c r="B327" s="14"/>
      <c r="C327" s="14"/>
      <c r="D327" s="14"/>
      <c r="E327" s="14"/>
      <c r="F327" s="15"/>
      <c r="G327" s="16"/>
      <c r="H327" s="13"/>
      <c r="I327" s="16"/>
      <c r="J327" s="16"/>
      <c r="K327" s="17" t="str">
        <f>IF($A327="","",_EngineTrades!S327)</f>
        <v/>
      </c>
      <c r="L327" s="15"/>
      <c r="M327" s="16"/>
      <c r="N327" s="14"/>
      <c r="O327" s="18" t="str">
        <f t="shared" si="4"/>
        <v/>
      </c>
      <c r="P327" s="14"/>
      <c r="Q327" s="16"/>
      <c r="R327" s="16"/>
      <c r="S327" s="18" t="str">
        <f>IF($A327="","",_EngineTrades!V327)</f>
        <v/>
      </c>
      <c r="T327" t="str">
        <f>IF($A327="","",IFERROR(INDEX(Cycles!$R$9:$R$208,MATCH(_EngineTrades!AU327,_EngineCycles!$A$9:$A$208,0)),""))</f>
        <v/>
      </c>
      <c r="Y327" t="str">
        <f>IF(OR($A327="",$D327&lt;&gt;Overview!$P$2),"",COUNTIFS($D$9:$D$508,$D327,$A$9:$A$508,"&gt;"&amp;$A327)+COUNTIFS($D$9:$D$508,$D327,$A$9:$A$508,$A327)-COUNTIFS($D$9:$D327,$D327,$A$9:$A327,$A327)+1)</f>
        <v/>
      </c>
    </row>
    <row r="328" spans="1:25" ht="23.1" customHeight="1" x14ac:dyDescent="0.25">
      <c r="A328" s="19"/>
      <c r="B328" s="20"/>
      <c r="C328" s="20"/>
      <c r="D328" s="20"/>
      <c r="E328" s="20"/>
      <c r="F328" s="21"/>
      <c r="G328" s="22"/>
      <c r="H328" s="19"/>
      <c r="I328" s="22"/>
      <c r="J328" s="22"/>
      <c r="K328" s="23" t="str">
        <f>IF($A328="","",_EngineTrades!S328)</f>
        <v/>
      </c>
      <c r="L328" s="21"/>
      <c r="M328" s="22"/>
      <c r="N328" s="20"/>
      <c r="O328" s="24" t="str">
        <f t="shared" si="4"/>
        <v/>
      </c>
      <c r="P328" s="20"/>
      <c r="Q328" s="22"/>
      <c r="R328" s="22"/>
      <c r="S328" s="24" t="str">
        <f>IF($A328="","",_EngineTrades!V328)</f>
        <v/>
      </c>
      <c r="T328" t="str">
        <f>IF($A328="","",IFERROR(INDEX(Cycles!$R$9:$R$208,MATCH(_EngineTrades!AU328,_EngineCycles!$A$9:$A$208,0)),""))</f>
        <v/>
      </c>
      <c r="Y328" t="str">
        <f>IF(OR($A328="",$D328&lt;&gt;Overview!$P$2),"",COUNTIFS($D$9:$D$508,$D328,$A$9:$A$508,"&gt;"&amp;$A328)+COUNTIFS($D$9:$D$508,$D328,$A$9:$A$508,$A328)-COUNTIFS($D$9:$D328,$D328,$A$9:$A328,$A328)+1)</f>
        <v/>
      </c>
    </row>
    <row r="329" spans="1:25" ht="23.1" customHeight="1" x14ac:dyDescent="0.25">
      <c r="A329" s="13"/>
      <c r="B329" s="14"/>
      <c r="C329" s="14"/>
      <c r="D329" s="14"/>
      <c r="E329" s="14"/>
      <c r="F329" s="15"/>
      <c r="G329" s="16"/>
      <c r="H329" s="13"/>
      <c r="I329" s="16"/>
      <c r="J329" s="16"/>
      <c r="K329" s="17" t="str">
        <f>IF($A329="","",_EngineTrades!S329)</f>
        <v/>
      </c>
      <c r="L329" s="15"/>
      <c r="M329" s="16"/>
      <c r="N329" s="14"/>
      <c r="O329" s="18" t="str">
        <f t="shared" ref="O329:O392" si="5">IF(OR($A329="",$B329=""),"","E"&amp;TEXT(ROW()-8,"0000"))</f>
        <v/>
      </c>
      <c r="P329" s="14"/>
      <c r="Q329" s="16"/>
      <c r="R329" s="16"/>
      <c r="S329" s="18" t="str">
        <f>IF($A329="","",_EngineTrades!V329)</f>
        <v/>
      </c>
      <c r="T329" t="str">
        <f>IF($A329="","",IFERROR(INDEX(Cycles!$R$9:$R$208,MATCH(_EngineTrades!AU329,_EngineCycles!$A$9:$A$208,0)),""))</f>
        <v/>
      </c>
      <c r="Y329" t="str">
        <f>IF(OR($A329="",$D329&lt;&gt;Overview!$P$2),"",COUNTIFS($D$9:$D$508,$D329,$A$9:$A$508,"&gt;"&amp;$A329)+COUNTIFS($D$9:$D$508,$D329,$A$9:$A$508,$A329)-COUNTIFS($D$9:$D329,$D329,$A$9:$A329,$A329)+1)</f>
        <v/>
      </c>
    </row>
    <row r="330" spans="1:25" ht="23.1" customHeight="1" x14ac:dyDescent="0.25">
      <c r="A330" s="19"/>
      <c r="B330" s="20"/>
      <c r="C330" s="20"/>
      <c r="D330" s="20"/>
      <c r="E330" s="20"/>
      <c r="F330" s="21"/>
      <c r="G330" s="22"/>
      <c r="H330" s="19"/>
      <c r="I330" s="22"/>
      <c r="J330" s="22"/>
      <c r="K330" s="23" t="str">
        <f>IF($A330="","",_EngineTrades!S330)</f>
        <v/>
      </c>
      <c r="L330" s="21"/>
      <c r="M330" s="22"/>
      <c r="N330" s="20"/>
      <c r="O330" s="24" t="str">
        <f t="shared" si="5"/>
        <v/>
      </c>
      <c r="P330" s="20"/>
      <c r="Q330" s="22"/>
      <c r="R330" s="22"/>
      <c r="S330" s="24" t="str">
        <f>IF($A330="","",_EngineTrades!V330)</f>
        <v/>
      </c>
      <c r="T330" t="str">
        <f>IF($A330="","",IFERROR(INDEX(Cycles!$R$9:$R$208,MATCH(_EngineTrades!AU330,_EngineCycles!$A$9:$A$208,0)),""))</f>
        <v/>
      </c>
      <c r="Y330" t="str">
        <f>IF(OR($A330="",$D330&lt;&gt;Overview!$P$2),"",COUNTIFS($D$9:$D$508,$D330,$A$9:$A$508,"&gt;"&amp;$A330)+COUNTIFS($D$9:$D$508,$D330,$A$9:$A$508,$A330)-COUNTIFS($D$9:$D330,$D330,$A$9:$A330,$A330)+1)</f>
        <v/>
      </c>
    </row>
    <row r="331" spans="1:25" ht="23.1" customHeight="1" x14ac:dyDescent="0.25">
      <c r="A331" s="13"/>
      <c r="B331" s="14"/>
      <c r="C331" s="14"/>
      <c r="D331" s="14"/>
      <c r="E331" s="14"/>
      <c r="F331" s="15"/>
      <c r="G331" s="16"/>
      <c r="H331" s="13"/>
      <c r="I331" s="16"/>
      <c r="J331" s="16"/>
      <c r="K331" s="17" t="str">
        <f>IF($A331="","",_EngineTrades!S331)</f>
        <v/>
      </c>
      <c r="L331" s="15"/>
      <c r="M331" s="16"/>
      <c r="N331" s="14"/>
      <c r="O331" s="18" t="str">
        <f t="shared" si="5"/>
        <v/>
      </c>
      <c r="P331" s="14"/>
      <c r="Q331" s="16"/>
      <c r="R331" s="16"/>
      <c r="S331" s="18" t="str">
        <f>IF($A331="","",_EngineTrades!V331)</f>
        <v/>
      </c>
      <c r="T331" t="str">
        <f>IF($A331="","",IFERROR(INDEX(Cycles!$R$9:$R$208,MATCH(_EngineTrades!AU331,_EngineCycles!$A$9:$A$208,0)),""))</f>
        <v/>
      </c>
      <c r="Y331" t="str">
        <f>IF(OR($A331="",$D331&lt;&gt;Overview!$P$2),"",COUNTIFS($D$9:$D$508,$D331,$A$9:$A$508,"&gt;"&amp;$A331)+COUNTIFS($D$9:$D$508,$D331,$A$9:$A$508,$A331)-COUNTIFS($D$9:$D331,$D331,$A$9:$A331,$A331)+1)</f>
        <v/>
      </c>
    </row>
    <row r="332" spans="1:25" ht="23.1" customHeight="1" x14ac:dyDescent="0.25">
      <c r="A332" s="19"/>
      <c r="B332" s="20"/>
      <c r="C332" s="20"/>
      <c r="D332" s="20"/>
      <c r="E332" s="20"/>
      <c r="F332" s="21"/>
      <c r="G332" s="22"/>
      <c r="H332" s="19"/>
      <c r="I332" s="22"/>
      <c r="J332" s="22"/>
      <c r="K332" s="23" t="str">
        <f>IF($A332="","",_EngineTrades!S332)</f>
        <v/>
      </c>
      <c r="L332" s="21"/>
      <c r="M332" s="22"/>
      <c r="N332" s="20"/>
      <c r="O332" s="24" t="str">
        <f t="shared" si="5"/>
        <v/>
      </c>
      <c r="P332" s="20"/>
      <c r="Q332" s="22"/>
      <c r="R332" s="22"/>
      <c r="S332" s="24" t="str">
        <f>IF($A332="","",_EngineTrades!V332)</f>
        <v/>
      </c>
      <c r="T332" t="str">
        <f>IF($A332="","",IFERROR(INDEX(Cycles!$R$9:$R$208,MATCH(_EngineTrades!AU332,_EngineCycles!$A$9:$A$208,0)),""))</f>
        <v/>
      </c>
      <c r="Y332" t="str">
        <f>IF(OR($A332="",$D332&lt;&gt;Overview!$P$2),"",COUNTIFS($D$9:$D$508,$D332,$A$9:$A$508,"&gt;"&amp;$A332)+COUNTIFS($D$9:$D$508,$D332,$A$9:$A$508,$A332)-COUNTIFS($D$9:$D332,$D332,$A$9:$A332,$A332)+1)</f>
        <v/>
      </c>
    </row>
    <row r="333" spans="1:25" ht="23.1" customHeight="1" x14ac:dyDescent="0.25">
      <c r="A333" s="13"/>
      <c r="B333" s="14"/>
      <c r="C333" s="14"/>
      <c r="D333" s="14"/>
      <c r="E333" s="14"/>
      <c r="F333" s="15"/>
      <c r="G333" s="16"/>
      <c r="H333" s="13"/>
      <c r="I333" s="16"/>
      <c r="J333" s="16"/>
      <c r="K333" s="17" t="str">
        <f>IF($A333="","",_EngineTrades!S333)</f>
        <v/>
      </c>
      <c r="L333" s="15"/>
      <c r="M333" s="16"/>
      <c r="N333" s="14"/>
      <c r="O333" s="18" t="str">
        <f t="shared" si="5"/>
        <v/>
      </c>
      <c r="P333" s="14"/>
      <c r="Q333" s="16"/>
      <c r="R333" s="16"/>
      <c r="S333" s="18" t="str">
        <f>IF($A333="","",_EngineTrades!V333)</f>
        <v/>
      </c>
      <c r="T333" t="str">
        <f>IF($A333="","",IFERROR(INDEX(Cycles!$R$9:$R$208,MATCH(_EngineTrades!AU333,_EngineCycles!$A$9:$A$208,0)),""))</f>
        <v/>
      </c>
      <c r="Y333" t="str">
        <f>IF(OR($A333="",$D333&lt;&gt;Overview!$P$2),"",COUNTIFS($D$9:$D$508,$D333,$A$9:$A$508,"&gt;"&amp;$A333)+COUNTIFS($D$9:$D$508,$D333,$A$9:$A$508,$A333)-COUNTIFS($D$9:$D333,$D333,$A$9:$A333,$A333)+1)</f>
        <v/>
      </c>
    </row>
    <row r="334" spans="1:25" ht="23.1" customHeight="1" x14ac:dyDescent="0.25">
      <c r="A334" s="19"/>
      <c r="B334" s="20"/>
      <c r="C334" s="20"/>
      <c r="D334" s="20"/>
      <c r="E334" s="20"/>
      <c r="F334" s="21"/>
      <c r="G334" s="22"/>
      <c r="H334" s="19"/>
      <c r="I334" s="22"/>
      <c r="J334" s="22"/>
      <c r="K334" s="23" t="str">
        <f>IF($A334="","",_EngineTrades!S334)</f>
        <v/>
      </c>
      <c r="L334" s="21"/>
      <c r="M334" s="22"/>
      <c r="N334" s="20"/>
      <c r="O334" s="24" t="str">
        <f t="shared" si="5"/>
        <v/>
      </c>
      <c r="P334" s="20"/>
      <c r="Q334" s="22"/>
      <c r="R334" s="22"/>
      <c r="S334" s="24" t="str">
        <f>IF($A334="","",_EngineTrades!V334)</f>
        <v/>
      </c>
      <c r="T334" t="str">
        <f>IF($A334="","",IFERROR(INDEX(Cycles!$R$9:$R$208,MATCH(_EngineTrades!AU334,_EngineCycles!$A$9:$A$208,0)),""))</f>
        <v/>
      </c>
      <c r="Y334" t="str">
        <f>IF(OR($A334="",$D334&lt;&gt;Overview!$P$2),"",COUNTIFS($D$9:$D$508,$D334,$A$9:$A$508,"&gt;"&amp;$A334)+COUNTIFS($D$9:$D$508,$D334,$A$9:$A$508,$A334)-COUNTIFS($D$9:$D334,$D334,$A$9:$A334,$A334)+1)</f>
        <v/>
      </c>
    </row>
    <row r="335" spans="1:25" ht="23.1" customHeight="1" x14ac:dyDescent="0.25">
      <c r="A335" s="13"/>
      <c r="B335" s="14"/>
      <c r="C335" s="14"/>
      <c r="D335" s="14"/>
      <c r="E335" s="14"/>
      <c r="F335" s="15"/>
      <c r="G335" s="16"/>
      <c r="H335" s="13"/>
      <c r="I335" s="16"/>
      <c r="J335" s="16"/>
      <c r="K335" s="17" t="str">
        <f>IF($A335="","",_EngineTrades!S335)</f>
        <v/>
      </c>
      <c r="L335" s="15"/>
      <c r="M335" s="16"/>
      <c r="N335" s="14"/>
      <c r="O335" s="18" t="str">
        <f t="shared" si="5"/>
        <v/>
      </c>
      <c r="P335" s="14"/>
      <c r="Q335" s="16"/>
      <c r="R335" s="16"/>
      <c r="S335" s="18" t="str">
        <f>IF($A335="","",_EngineTrades!V335)</f>
        <v/>
      </c>
      <c r="T335" t="str">
        <f>IF($A335="","",IFERROR(INDEX(Cycles!$R$9:$R$208,MATCH(_EngineTrades!AU335,_EngineCycles!$A$9:$A$208,0)),""))</f>
        <v/>
      </c>
      <c r="Y335" t="str">
        <f>IF(OR($A335="",$D335&lt;&gt;Overview!$P$2),"",COUNTIFS($D$9:$D$508,$D335,$A$9:$A$508,"&gt;"&amp;$A335)+COUNTIFS($D$9:$D$508,$D335,$A$9:$A$508,$A335)-COUNTIFS($D$9:$D335,$D335,$A$9:$A335,$A335)+1)</f>
        <v/>
      </c>
    </row>
    <row r="336" spans="1:25" ht="23.1" customHeight="1" x14ac:dyDescent="0.25">
      <c r="A336" s="19"/>
      <c r="B336" s="20"/>
      <c r="C336" s="20"/>
      <c r="D336" s="20"/>
      <c r="E336" s="20"/>
      <c r="F336" s="21"/>
      <c r="G336" s="22"/>
      <c r="H336" s="19"/>
      <c r="I336" s="22"/>
      <c r="J336" s="22"/>
      <c r="K336" s="23" t="str">
        <f>IF($A336="","",_EngineTrades!S336)</f>
        <v/>
      </c>
      <c r="L336" s="21"/>
      <c r="M336" s="22"/>
      <c r="N336" s="20"/>
      <c r="O336" s="24" t="str">
        <f t="shared" si="5"/>
        <v/>
      </c>
      <c r="P336" s="20"/>
      <c r="Q336" s="22"/>
      <c r="R336" s="22"/>
      <c r="S336" s="24" t="str">
        <f>IF($A336="","",_EngineTrades!V336)</f>
        <v/>
      </c>
      <c r="T336" t="str">
        <f>IF($A336="","",IFERROR(INDEX(Cycles!$R$9:$R$208,MATCH(_EngineTrades!AU336,_EngineCycles!$A$9:$A$208,0)),""))</f>
        <v/>
      </c>
      <c r="Y336" t="str">
        <f>IF(OR($A336="",$D336&lt;&gt;Overview!$P$2),"",COUNTIFS($D$9:$D$508,$D336,$A$9:$A$508,"&gt;"&amp;$A336)+COUNTIFS($D$9:$D$508,$D336,$A$9:$A$508,$A336)-COUNTIFS($D$9:$D336,$D336,$A$9:$A336,$A336)+1)</f>
        <v/>
      </c>
    </row>
    <row r="337" spans="1:25" ht="23.1" customHeight="1" x14ac:dyDescent="0.25">
      <c r="A337" s="13"/>
      <c r="B337" s="14"/>
      <c r="C337" s="14"/>
      <c r="D337" s="14"/>
      <c r="E337" s="14"/>
      <c r="F337" s="15"/>
      <c r="G337" s="16"/>
      <c r="H337" s="13"/>
      <c r="I337" s="16"/>
      <c r="J337" s="16"/>
      <c r="K337" s="17" t="str">
        <f>IF($A337="","",_EngineTrades!S337)</f>
        <v/>
      </c>
      <c r="L337" s="15"/>
      <c r="M337" s="16"/>
      <c r="N337" s="14"/>
      <c r="O337" s="18" t="str">
        <f t="shared" si="5"/>
        <v/>
      </c>
      <c r="P337" s="14"/>
      <c r="Q337" s="16"/>
      <c r="R337" s="16"/>
      <c r="S337" s="18" t="str">
        <f>IF($A337="","",_EngineTrades!V337)</f>
        <v/>
      </c>
      <c r="T337" t="str">
        <f>IF($A337="","",IFERROR(INDEX(Cycles!$R$9:$R$208,MATCH(_EngineTrades!AU337,_EngineCycles!$A$9:$A$208,0)),""))</f>
        <v/>
      </c>
      <c r="Y337" t="str">
        <f>IF(OR($A337="",$D337&lt;&gt;Overview!$P$2),"",COUNTIFS($D$9:$D$508,$D337,$A$9:$A$508,"&gt;"&amp;$A337)+COUNTIFS($D$9:$D$508,$D337,$A$9:$A$508,$A337)-COUNTIFS($D$9:$D337,$D337,$A$9:$A337,$A337)+1)</f>
        <v/>
      </c>
    </row>
    <row r="338" spans="1:25" ht="23.1" customHeight="1" x14ac:dyDescent="0.25">
      <c r="A338" s="19"/>
      <c r="B338" s="20"/>
      <c r="C338" s="20"/>
      <c r="D338" s="20"/>
      <c r="E338" s="20"/>
      <c r="F338" s="21"/>
      <c r="G338" s="22"/>
      <c r="H338" s="19"/>
      <c r="I338" s="22"/>
      <c r="J338" s="22"/>
      <c r="K338" s="23" t="str">
        <f>IF($A338="","",_EngineTrades!S338)</f>
        <v/>
      </c>
      <c r="L338" s="21"/>
      <c r="M338" s="22"/>
      <c r="N338" s="20"/>
      <c r="O338" s="24" t="str">
        <f t="shared" si="5"/>
        <v/>
      </c>
      <c r="P338" s="20"/>
      <c r="Q338" s="22"/>
      <c r="R338" s="22"/>
      <c r="S338" s="24" t="str">
        <f>IF($A338="","",_EngineTrades!V338)</f>
        <v/>
      </c>
      <c r="T338" t="str">
        <f>IF($A338="","",IFERROR(INDEX(Cycles!$R$9:$R$208,MATCH(_EngineTrades!AU338,_EngineCycles!$A$9:$A$208,0)),""))</f>
        <v/>
      </c>
      <c r="Y338" t="str">
        <f>IF(OR($A338="",$D338&lt;&gt;Overview!$P$2),"",COUNTIFS($D$9:$D$508,$D338,$A$9:$A$508,"&gt;"&amp;$A338)+COUNTIFS($D$9:$D$508,$D338,$A$9:$A$508,$A338)-COUNTIFS($D$9:$D338,$D338,$A$9:$A338,$A338)+1)</f>
        <v/>
      </c>
    </row>
    <row r="339" spans="1:25" ht="23.1" customHeight="1" x14ac:dyDescent="0.25">
      <c r="A339" s="13"/>
      <c r="B339" s="14"/>
      <c r="C339" s="14"/>
      <c r="D339" s="14"/>
      <c r="E339" s="14"/>
      <c r="F339" s="15"/>
      <c r="G339" s="16"/>
      <c r="H339" s="13"/>
      <c r="I339" s="16"/>
      <c r="J339" s="16"/>
      <c r="K339" s="17" t="str">
        <f>IF($A339="","",_EngineTrades!S339)</f>
        <v/>
      </c>
      <c r="L339" s="15"/>
      <c r="M339" s="16"/>
      <c r="N339" s="14"/>
      <c r="O339" s="18" t="str">
        <f t="shared" si="5"/>
        <v/>
      </c>
      <c r="P339" s="14"/>
      <c r="Q339" s="16"/>
      <c r="R339" s="16"/>
      <c r="S339" s="18" t="str">
        <f>IF($A339="","",_EngineTrades!V339)</f>
        <v/>
      </c>
      <c r="T339" t="str">
        <f>IF($A339="","",IFERROR(INDEX(Cycles!$R$9:$R$208,MATCH(_EngineTrades!AU339,_EngineCycles!$A$9:$A$208,0)),""))</f>
        <v/>
      </c>
      <c r="Y339" t="str">
        <f>IF(OR($A339="",$D339&lt;&gt;Overview!$P$2),"",COUNTIFS($D$9:$D$508,$D339,$A$9:$A$508,"&gt;"&amp;$A339)+COUNTIFS($D$9:$D$508,$D339,$A$9:$A$508,$A339)-COUNTIFS($D$9:$D339,$D339,$A$9:$A339,$A339)+1)</f>
        <v/>
      </c>
    </row>
    <row r="340" spans="1:25" ht="23.1" customHeight="1" x14ac:dyDescent="0.25">
      <c r="A340" s="19"/>
      <c r="B340" s="20"/>
      <c r="C340" s="20"/>
      <c r="D340" s="20"/>
      <c r="E340" s="20"/>
      <c r="F340" s="21"/>
      <c r="G340" s="22"/>
      <c r="H340" s="19"/>
      <c r="I340" s="22"/>
      <c r="J340" s="22"/>
      <c r="K340" s="23" t="str">
        <f>IF($A340="","",_EngineTrades!S340)</f>
        <v/>
      </c>
      <c r="L340" s="21"/>
      <c r="M340" s="22"/>
      <c r="N340" s="20"/>
      <c r="O340" s="24" t="str">
        <f t="shared" si="5"/>
        <v/>
      </c>
      <c r="P340" s="20"/>
      <c r="Q340" s="22"/>
      <c r="R340" s="22"/>
      <c r="S340" s="24" t="str">
        <f>IF($A340="","",_EngineTrades!V340)</f>
        <v/>
      </c>
      <c r="T340" t="str">
        <f>IF($A340="","",IFERROR(INDEX(Cycles!$R$9:$R$208,MATCH(_EngineTrades!AU340,_EngineCycles!$A$9:$A$208,0)),""))</f>
        <v/>
      </c>
      <c r="Y340" t="str">
        <f>IF(OR($A340="",$D340&lt;&gt;Overview!$P$2),"",COUNTIFS($D$9:$D$508,$D340,$A$9:$A$508,"&gt;"&amp;$A340)+COUNTIFS($D$9:$D$508,$D340,$A$9:$A$508,$A340)-COUNTIFS($D$9:$D340,$D340,$A$9:$A340,$A340)+1)</f>
        <v/>
      </c>
    </row>
    <row r="341" spans="1:25" ht="23.1" customHeight="1" x14ac:dyDescent="0.25">
      <c r="A341" s="13"/>
      <c r="B341" s="14"/>
      <c r="C341" s="14"/>
      <c r="D341" s="14"/>
      <c r="E341" s="14"/>
      <c r="F341" s="15"/>
      <c r="G341" s="16"/>
      <c r="H341" s="13"/>
      <c r="I341" s="16"/>
      <c r="J341" s="16"/>
      <c r="K341" s="17" t="str">
        <f>IF($A341="","",_EngineTrades!S341)</f>
        <v/>
      </c>
      <c r="L341" s="15"/>
      <c r="M341" s="16"/>
      <c r="N341" s="14"/>
      <c r="O341" s="18" t="str">
        <f t="shared" si="5"/>
        <v/>
      </c>
      <c r="P341" s="14"/>
      <c r="Q341" s="16"/>
      <c r="R341" s="16"/>
      <c r="S341" s="18" t="str">
        <f>IF($A341="","",_EngineTrades!V341)</f>
        <v/>
      </c>
      <c r="T341" t="str">
        <f>IF($A341="","",IFERROR(INDEX(Cycles!$R$9:$R$208,MATCH(_EngineTrades!AU341,_EngineCycles!$A$9:$A$208,0)),""))</f>
        <v/>
      </c>
      <c r="Y341" t="str">
        <f>IF(OR($A341="",$D341&lt;&gt;Overview!$P$2),"",COUNTIFS($D$9:$D$508,$D341,$A$9:$A$508,"&gt;"&amp;$A341)+COUNTIFS($D$9:$D$508,$D341,$A$9:$A$508,$A341)-COUNTIFS($D$9:$D341,$D341,$A$9:$A341,$A341)+1)</f>
        <v/>
      </c>
    </row>
    <row r="342" spans="1:25" ht="23.1" customHeight="1" x14ac:dyDescent="0.25">
      <c r="A342" s="19"/>
      <c r="B342" s="20"/>
      <c r="C342" s="20"/>
      <c r="D342" s="20"/>
      <c r="E342" s="20"/>
      <c r="F342" s="21"/>
      <c r="G342" s="22"/>
      <c r="H342" s="19"/>
      <c r="I342" s="22"/>
      <c r="J342" s="22"/>
      <c r="K342" s="23" t="str">
        <f>IF($A342="","",_EngineTrades!S342)</f>
        <v/>
      </c>
      <c r="L342" s="21"/>
      <c r="M342" s="22"/>
      <c r="N342" s="20"/>
      <c r="O342" s="24" t="str">
        <f t="shared" si="5"/>
        <v/>
      </c>
      <c r="P342" s="20"/>
      <c r="Q342" s="22"/>
      <c r="R342" s="22"/>
      <c r="S342" s="24" t="str">
        <f>IF($A342="","",_EngineTrades!V342)</f>
        <v/>
      </c>
      <c r="T342" t="str">
        <f>IF($A342="","",IFERROR(INDEX(Cycles!$R$9:$R$208,MATCH(_EngineTrades!AU342,_EngineCycles!$A$9:$A$208,0)),""))</f>
        <v/>
      </c>
      <c r="Y342" t="str">
        <f>IF(OR($A342="",$D342&lt;&gt;Overview!$P$2),"",COUNTIFS($D$9:$D$508,$D342,$A$9:$A$508,"&gt;"&amp;$A342)+COUNTIFS($D$9:$D$508,$D342,$A$9:$A$508,$A342)-COUNTIFS($D$9:$D342,$D342,$A$9:$A342,$A342)+1)</f>
        <v/>
      </c>
    </row>
    <row r="343" spans="1:25" ht="23.1" customHeight="1" x14ac:dyDescent="0.25">
      <c r="A343" s="13"/>
      <c r="B343" s="14"/>
      <c r="C343" s="14"/>
      <c r="D343" s="14"/>
      <c r="E343" s="14"/>
      <c r="F343" s="15"/>
      <c r="G343" s="16"/>
      <c r="H343" s="13"/>
      <c r="I343" s="16"/>
      <c r="J343" s="16"/>
      <c r="K343" s="17" t="str">
        <f>IF($A343="","",_EngineTrades!S343)</f>
        <v/>
      </c>
      <c r="L343" s="15"/>
      <c r="M343" s="16"/>
      <c r="N343" s="14"/>
      <c r="O343" s="18" t="str">
        <f t="shared" si="5"/>
        <v/>
      </c>
      <c r="P343" s="14"/>
      <c r="Q343" s="16"/>
      <c r="R343" s="16"/>
      <c r="S343" s="18" t="str">
        <f>IF($A343="","",_EngineTrades!V343)</f>
        <v/>
      </c>
      <c r="T343" t="str">
        <f>IF($A343="","",IFERROR(INDEX(Cycles!$R$9:$R$208,MATCH(_EngineTrades!AU343,_EngineCycles!$A$9:$A$208,0)),""))</f>
        <v/>
      </c>
      <c r="Y343" t="str">
        <f>IF(OR($A343="",$D343&lt;&gt;Overview!$P$2),"",COUNTIFS($D$9:$D$508,$D343,$A$9:$A$508,"&gt;"&amp;$A343)+COUNTIFS($D$9:$D$508,$D343,$A$9:$A$508,$A343)-COUNTIFS($D$9:$D343,$D343,$A$9:$A343,$A343)+1)</f>
        <v/>
      </c>
    </row>
    <row r="344" spans="1:25" ht="23.1" customHeight="1" x14ac:dyDescent="0.25">
      <c r="A344" s="19"/>
      <c r="B344" s="20"/>
      <c r="C344" s="20"/>
      <c r="D344" s="20"/>
      <c r="E344" s="20"/>
      <c r="F344" s="21"/>
      <c r="G344" s="22"/>
      <c r="H344" s="19"/>
      <c r="I344" s="22"/>
      <c r="J344" s="22"/>
      <c r="K344" s="23" t="str">
        <f>IF($A344="","",_EngineTrades!S344)</f>
        <v/>
      </c>
      <c r="L344" s="21"/>
      <c r="M344" s="22"/>
      <c r="N344" s="20"/>
      <c r="O344" s="24" t="str">
        <f t="shared" si="5"/>
        <v/>
      </c>
      <c r="P344" s="20"/>
      <c r="Q344" s="22"/>
      <c r="R344" s="22"/>
      <c r="S344" s="24" t="str">
        <f>IF($A344="","",_EngineTrades!V344)</f>
        <v/>
      </c>
      <c r="T344" t="str">
        <f>IF($A344="","",IFERROR(INDEX(Cycles!$R$9:$R$208,MATCH(_EngineTrades!AU344,_EngineCycles!$A$9:$A$208,0)),""))</f>
        <v/>
      </c>
      <c r="Y344" t="str">
        <f>IF(OR($A344="",$D344&lt;&gt;Overview!$P$2),"",COUNTIFS($D$9:$D$508,$D344,$A$9:$A$508,"&gt;"&amp;$A344)+COUNTIFS($D$9:$D$508,$D344,$A$9:$A$508,$A344)-COUNTIFS($D$9:$D344,$D344,$A$9:$A344,$A344)+1)</f>
        <v/>
      </c>
    </row>
    <row r="345" spans="1:25" ht="23.1" customHeight="1" x14ac:dyDescent="0.25">
      <c r="A345" s="13"/>
      <c r="B345" s="14"/>
      <c r="C345" s="14"/>
      <c r="D345" s="14"/>
      <c r="E345" s="14"/>
      <c r="F345" s="15"/>
      <c r="G345" s="16"/>
      <c r="H345" s="13"/>
      <c r="I345" s="16"/>
      <c r="J345" s="16"/>
      <c r="K345" s="17" t="str">
        <f>IF($A345="","",_EngineTrades!S345)</f>
        <v/>
      </c>
      <c r="L345" s="15"/>
      <c r="M345" s="16"/>
      <c r="N345" s="14"/>
      <c r="O345" s="18" t="str">
        <f t="shared" si="5"/>
        <v/>
      </c>
      <c r="P345" s="14"/>
      <c r="Q345" s="16"/>
      <c r="R345" s="16"/>
      <c r="S345" s="18" t="str">
        <f>IF($A345="","",_EngineTrades!V345)</f>
        <v/>
      </c>
      <c r="T345" t="str">
        <f>IF($A345="","",IFERROR(INDEX(Cycles!$R$9:$R$208,MATCH(_EngineTrades!AU345,_EngineCycles!$A$9:$A$208,0)),""))</f>
        <v/>
      </c>
      <c r="Y345" t="str">
        <f>IF(OR($A345="",$D345&lt;&gt;Overview!$P$2),"",COUNTIFS($D$9:$D$508,$D345,$A$9:$A$508,"&gt;"&amp;$A345)+COUNTIFS($D$9:$D$508,$D345,$A$9:$A$508,$A345)-COUNTIFS($D$9:$D345,$D345,$A$9:$A345,$A345)+1)</f>
        <v/>
      </c>
    </row>
    <row r="346" spans="1:25" ht="23.1" customHeight="1" x14ac:dyDescent="0.25">
      <c r="A346" s="19"/>
      <c r="B346" s="20"/>
      <c r="C346" s="20"/>
      <c r="D346" s="20"/>
      <c r="E346" s="20"/>
      <c r="F346" s="21"/>
      <c r="G346" s="22"/>
      <c r="H346" s="19"/>
      <c r="I346" s="22"/>
      <c r="J346" s="22"/>
      <c r="K346" s="23" t="str">
        <f>IF($A346="","",_EngineTrades!S346)</f>
        <v/>
      </c>
      <c r="L346" s="21"/>
      <c r="M346" s="22"/>
      <c r="N346" s="20"/>
      <c r="O346" s="24" t="str">
        <f t="shared" si="5"/>
        <v/>
      </c>
      <c r="P346" s="20"/>
      <c r="Q346" s="22"/>
      <c r="R346" s="22"/>
      <c r="S346" s="24" t="str">
        <f>IF($A346="","",_EngineTrades!V346)</f>
        <v/>
      </c>
      <c r="T346" t="str">
        <f>IF($A346="","",IFERROR(INDEX(Cycles!$R$9:$R$208,MATCH(_EngineTrades!AU346,_EngineCycles!$A$9:$A$208,0)),""))</f>
        <v/>
      </c>
      <c r="Y346" t="str">
        <f>IF(OR($A346="",$D346&lt;&gt;Overview!$P$2),"",COUNTIFS($D$9:$D$508,$D346,$A$9:$A$508,"&gt;"&amp;$A346)+COUNTIFS($D$9:$D$508,$D346,$A$9:$A$508,$A346)-COUNTIFS($D$9:$D346,$D346,$A$9:$A346,$A346)+1)</f>
        <v/>
      </c>
    </row>
    <row r="347" spans="1:25" ht="23.1" customHeight="1" x14ac:dyDescent="0.25">
      <c r="A347" s="13"/>
      <c r="B347" s="14"/>
      <c r="C347" s="14"/>
      <c r="D347" s="14"/>
      <c r="E347" s="14"/>
      <c r="F347" s="15"/>
      <c r="G347" s="16"/>
      <c r="H347" s="13"/>
      <c r="I347" s="16"/>
      <c r="J347" s="16"/>
      <c r="K347" s="17" t="str">
        <f>IF($A347="","",_EngineTrades!S347)</f>
        <v/>
      </c>
      <c r="L347" s="15"/>
      <c r="M347" s="16"/>
      <c r="N347" s="14"/>
      <c r="O347" s="18" t="str">
        <f t="shared" si="5"/>
        <v/>
      </c>
      <c r="P347" s="14"/>
      <c r="Q347" s="16"/>
      <c r="R347" s="16"/>
      <c r="S347" s="18" t="str">
        <f>IF($A347="","",_EngineTrades!V347)</f>
        <v/>
      </c>
      <c r="T347" t="str">
        <f>IF($A347="","",IFERROR(INDEX(Cycles!$R$9:$R$208,MATCH(_EngineTrades!AU347,_EngineCycles!$A$9:$A$208,0)),""))</f>
        <v/>
      </c>
      <c r="Y347" t="str">
        <f>IF(OR($A347="",$D347&lt;&gt;Overview!$P$2),"",COUNTIFS($D$9:$D$508,$D347,$A$9:$A$508,"&gt;"&amp;$A347)+COUNTIFS($D$9:$D$508,$D347,$A$9:$A$508,$A347)-COUNTIFS($D$9:$D347,$D347,$A$9:$A347,$A347)+1)</f>
        <v/>
      </c>
    </row>
    <row r="348" spans="1:25" ht="23.1" customHeight="1" x14ac:dyDescent="0.25">
      <c r="A348" s="19"/>
      <c r="B348" s="20"/>
      <c r="C348" s="20"/>
      <c r="D348" s="20"/>
      <c r="E348" s="20"/>
      <c r="F348" s="21"/>
      <c r="G348" s="22"/>
      <c r="H348" s="19"/>
      <c r="I348" s="22"/>
      <c r="J348" s="22"/>
      <c r="K348" s="23" t="str">
        <f>IF($A348="","",_EngineTrades!S348)</f>
        <v/>
      </c>
      <c r="L348" s="21"/>
      <c r="M348" s="22"/>
      <c r="N348" s="20"/>
      <c r="O348" s="24" t="str">
        <f t="shared" si="5"/>
        <v/>
      </c>
      <c r="P348" s="20"/>
      <c r="Q348" s="22"/>
      <c r="R348" s="22"/>
      <c r="S348" s="24" t="str">
        <f>IF($A348="","",_EngineTrades!V348)</f>
        <v/>
      </c>
      <c r="T348" t="str">
        <f>IF($A348="","",IFERROR(INDEX(Cycles!$R$9:$R$208,MATCH(_EngineTrades!AU348,_EngineCycles!$A$9:$A$208,0)),""))</f>
        <v/>
      </c>
      <c r="Y348" t="str">
        <f>IF(OR($A348="",$D348&lt;&gt;Overview!$P$2),"",COUNTIFS($D$9:$D$508,$D348,$A$9:$A$508,"&gt;"&amp;$A348)+COUNTIFS($D$9:$D$508,$D348,$A$9:$A$508,$A348)-COUNTIFS($D$9:$D348,$D348,$A$9:$A348,$A348)+1)</f>
        <v/>
      </c>
    </row>
    <row r="349" spans="1:25" ht="23.1" customHeight="1" x14ac:dyDescent="0.25">
      <c r="A349" s="13"/>
      <c r="B349" s="14"/>
      <c r="C349" s="14"/>
      <c r="D349" s="14"/>
      <c r="E349" s="14"/>
      <c r="F349" s="15"/>
      <c r="G349" s="16"/>
      <c r="H349" s="13"/>
      <c r="I349" s="16"/>
      <c r="J349" s="16"/>
      <c r="K349" s="17" t="str">
        <f>IF($A349="","",_EngineTrades!S349)</f>
        <v/>
      </c>
      <c r="L349" s="15"/>
      <c r="M349" s="16"/>
      <c r="N349" s="14"/>
      <c r="O349" s="18" t="str">
        <f t="shared" si="5"/>
        <v/>
      </c>
      <c r="P349" s="14"/>
      <c r="Q349" s="16"/>
      <c r="R349" s="16"/>
      <c r="S349" s="18" t="str">
        <f>IF($A349="","",_EngineTrades!V349)</f>
        <v/>
      </c>
      <c r="T349" t="str">
        <f>IF($A349="","",IFERROR(INDEX(Cycles!$R$9:$R$208,MATCH(_EngineTrades!AU349,_EngineCycles!$A$9:$A$208,0)),""))</f>
        <v/>
      </c>
      <c r="Y349" t="str">
        <f>IF(OR($A349="",$D349&lt;&gt;Overview!$P$2),"",COUNTIFS($D$9:$D$508,$D349,$A$9:$A$508,"&gt;"&amp;$A349)+COUNTIFS($D$9:$D$508,$D349,$A$9:$A$508,$A349)-COUNTIFS($D$9:$D349,$D349,$A$9:$A349,$A349)+1)</f>
        <v/>
      </c>
    </row>
    <row r="350" spans="1:25" ht="23.1" customHeight="1" x14ac:dyDescent="0.25">
      <c r="A350" s="19"/>
      <c r="B350" s="20"/>
      <c r="C350" s="20"/>
      <c r="D350" s="20"/>
      <c r="E350" s="20"/>
      <c r="F350" s="21"/>
      <c r="G350" s="22"/>
      <c r="H350" s="19"/>
      <c r="I350" s="22"/>
      <c r="J350" s="22"/>
      <c r="K350" s="23" t="str">
        <f>IF($A350="","",_EngineTrades!S350)</f>
        <v/>
      </c>
      <c r="L350" s="21"/>
      <c r="M350" s="22"/>
      <c r="N350" s="20"/>
      <c r="O350" s="24" t="str">
        <f t="shared" si="5"/>
        <v/>
      </c>
      <c r="P350" s="20"/>
      <c r="Q350" s="22"/>
      <c r="R350" s="22"/>
      <c r="S350" s="24" t="str">
        <f>IF($A350="","",_EngineTrades!V350)</f>
        <v/>
      </c>
      <c r="T350" t="str">
        <f>IF($A350="","",IFERROR(INDEX(Cycles!$R$9:$R$208,MATCH(_EngineTrades!AU350,_EngineCycles!$A$9:$A$208,0)),""))</f>
        <v/>
      </c>
      <c r="Y350" t="str">
        <f>IF(OR($A350="",$D350&lt;&gt;Overview!$P$2),"",COUNTIFS($D$9:$D$508,$D350,$A$9:$A$508,"&gt;"&amp;$A350)+COUNTIFS($D$9:$D$508,$D350,$A$9:$A$508,$A350)-COUNTIFS($D$9:$D350,$D350,$A$9:$A350,$A350)+1)</f>
        <v/>
      </c>
    </row>
    <row r="351" spans="1:25" ht="23.1" customHeight="1" x14ac:dyDescent="0.25">
      <c r="A351" s="13"/>
      <c r="B351" s="14"/>
      <c r="C351" s="14"/>
      <c r="D351" s="14"/>
      <c r="E351" s="14"/>
      <c r="F351" s="15"/>
      <c r="G351" s="16"/>
      <c r="H351" s="13"/>
      <c r="I351" s="16"/>
      <c r="J351" s="16"/>
      <c r="K351" s="17" t="str">
        <f>IF($A351="","",_EngineTrades!S351)</f>
        <v/>
      </c>
      <c r="L351" s="15"/>
      <c r="M351" s="16"/>
      <c r="N351" s="14"/>
      <c r="O351" s="18" t="str">
        <f t="shared" si="5"/>
        <v/>
      </c>
      <c r="P351" s="14"/>
      <c r="Q351" s="16"/>
      <c r="R351" s="16"/>
      <c r="S351" s="18" t="str">
        <f>IF($A351="","",_EngineTrades!V351)</f>
        <v/>
      </c>
      <c r="T351" t="str">
        <f>IF($A351="","",IFERROR(INDEX(Cycles!$R$9:$R$208,MATCH(_EngineTrades!AU351,_EngineCycles!$A$9:$A$208,0)),""))</f>
        <v/>
      </c>
      <c r="Y351" t="str">
        <f>IF(OR($A351="",$D351&lt;&gt;Overview!$P$2),"",COUNTIFS($D$9:$D$508,$D351,$A$9:$A$508,"&gt;"&amp;$A351)+COUNTIFS($D$9:$D$508,$D351,$A$9:$A$508,$A351)-COUNTIFS($D$9:$D351,$D351,$A$9:$A351,$A351)+1)</f>
        <v/>
      </c>
    </row>
    <row r="352" spans="1:25" ht="23.1" customHeight="1" x14ac:dyDescent="0.25">
      <c r="A352" s="19"/>
      <c r="B352" s="20"/>
      <c r="C352" s="20"/>
      <c r="D352" s="20"/>
      <c r="E352" s="20"/>
      <c r="F352" s="21"/>
      <c r="G352" s="22"/>
      <c r="H352" s="19"/>
      <c r="I352" s="22"/>
      <c r="J352" s="22"/>
      <c r="K352" s="23" t="str">
        <f>IF($A352="","",_EngineTrades!S352)</f>
        <v/>
      </c>
      <c r="L352" s="21"/>
      <c r="M352" s="22"/>
      <c r="N352" s="20"/>
      <c r="O352" s="24" t="str">
        <f t="shared" si="5"/>
        <v/>
      </c>
      <c r="P352" s="20"/>
      <c r="Q352" s="22"/>
      <c r="R352" s="22"/>
      <c r="S352" s="24" t="str">
        <f>IF($A352="","",_EngineTrades!V352)</f>
        <v/>
      </c>
      <c r="T352" t="str">
        <f>IF($A352="","",IFERROR(INDEX(Cycles!$R$9:$R$208,MATCH(_EngineTrades!AU352,_EngineCycles!$A$9:$A$208,0)),""))</f>
        <v/>
      </c>
      <c r="Y352" t="str">
        <f>IF(OR($A352="",$D352&lt;&gt;Overview!$P$2),"",COUNTIFS($D$9:$D$508,$D352,$A$9:$A$508,"&gt;"&amp;$A352)+COUNTIFS($D$9:$D$508,$D352,$A$9:$A$508,$A352)-COUNTIFS($D$9:$D352,$D352,$A$9:$A352,$A352)+1)</f>
        <v/>
      </c>
    </row>
    <row r="353" spans="1:25" ht="23.1" customHeight="1" x14ac:dyDescent="0.25">
      <c r="A353" s="13"/>
      <c r="B353" s="14"/>
      <c r="C353" s="14"/>
      <c r="D353" s="14"/>
      <c r="E353" s="14"/>
      <c r="F353" s="15"/>
      <c r="G353" s="16"/>
      <c r="H353" s="13"/>
      <c r="I353" s="16"/>
      <c r="J353" s="16"/>
      <c r="K353" s="17" t="str">
        <f>IF($A353="","",_EngineTrades!S353)</f>
        <v/>
      </c>
      <c r="L353" s="15"/>
      <c r="M353" s="16"/>
      <c r="N353" s="14"/>
      <c r="O353" s="18" t="str">
        <f t="shared" si="5"/>
        <v/>
      </c>
      <c r="P353" s="14"/>
      <c r="Q353" s="16"/>
      <c r="R353" s="16"/>
      <c r="S353" s="18" t="str">
        <f>IF($A353="","",_EngineTrades!V353)</f>
        <v/>
      </c>
      <c r="T353" t="str">
        <f>IF($A353="","",IFERROR(INDEX(Cycles!$R$9:$R$208,MATCH(_EngineTrades!AU353,_EngineCycles!$A$9:$A$208,0)),""))</f>
        <v/>
      </c>
      <c r="Y353" t="str">
        <f>IF(OR($A353="",$D353&lt;&gt;Overview!$P$2),"",COUNTIFS($D$9:$D$508,$D353,$A$9:$A$508,"&gt;"&amp;$A353)+COUNTIFS($D$9:$D$508,$D353,$A$9:$A$508,$A353)-COUNTIFS($D$9:$D353,$D353,$A$9:$A353,$A353)+1)</f>
        <v/>
      </c>
    </row>
    <row r="354" spans="1:25" ht="23.1" customHeight="1" x14ac:dyDescent="0.25">
      <c r="A354" s="19"/>
      <c r="B354" s="20"/>
      <c r="C354" s="20"/>
      <c r="D354" s="20"/>
      <c r="E354" s="20"/>
      <c r="F354" s="21"/>
      <c r="G354" s="22"/>
      <c r="H354" s="19"/>
      <c r="I354" s="22"/>
      <c r="J354" s="22"/>
      <c r="K354" s="23" t="str">
        <f>IF($A354="","",_EngineTrades!S354)</f>
        <v/>
      </c>
      <c r="L354" s="21"/>
      <c r="M354" s="22"/>
      <c r="N354" s="20"/>
      <c r="O354" s="24" t="str">
        <f t="shared" si="5"/>
        <v/>
      </c>
      <c r="P354" s="20"/>
      <c r="Q354" s="22"/>
      <c r="R354" s="22"/>
      <c r="S354" s="24" t="str">
        <f>IF($A354="","",_EngineTrades!V354)</f>
        <v/>
      </c>
      <c r="T354" t="str">
        <f>IF($A354="","",IFERROR(INDEX(Cycles!$R$9:$R$208,MATCH(_EngineTrades!AU354,_EngineCycles!$A$9:$A$208,0)),""))</f>
        <v/>
      </c>
      <c r="Y354" t="str">
        <f>IF(OR($A354="",$D354&lt;&gt;Overview!$P$2),"",COUNTIFS($D$9:$D$508,$D354,$A$9:$A$508,"&gt;"&amp;$A354)+COUNTIFS($D$9:$D$508,$D354,$A$9:$A$508,$A354)-COUNTIFS($D$9:$D354,$D354,$A$9:$A354,$A354)+1)</f>
        <v/>
      </c>
    </row>
    <row r="355" spans="1:25" ht="23.1" customHeight="1" x14ac:dyDescent="0.25">
      <c r="A355" s="13"/>
      <c r="B355" s="14"/>
      <c r="C355" s="14"/>
      <c r="D355" s="14"/>
      <c r="E355" s="14"/>
      <c r="F355" s="15"/>
      <c r="G355" s="16"/>
      <c r="H355" s="13"/>
      <c r="I355" s="16"/>
      <c r="J355" s="16"/>
      <c r="K355" s="17" t="str">
        <f>IF($A355="","",_EngineTrades!S355)</f>
        <v/>
      </c>
      <c r="L355" s="15"/>
      <c r="M355" s="16"/>
      <c r="N355" s="14"/>
      <c r="O355" s="18" t="str">
        <f t="shared" si="5"/>
        <v/>
      </c>
      <c r="P355" s="14"/>
      <c r="Q355" s="16"/>
      <c r="R355" s="16"/>
      <c r="S355" s="18" t="str">
        <f>IF($A355="","",_EngineTrades!V355)</f>
        <v/>
      </c>
      <c r="T355" t="str">
        <f>IF($A355="","",IFERROR(INDEX(Cycles!$R$9:$R$208,MATCH(_EngineTrades!AU355,_EngineCycles!$A$9:$A$208,0)),""))</f>
        <v/>
      </c>
      <c r="Y355" t="str">
        <f>IF(OR($A355="",$D355&lt;&gt;Overview!$P$2),"",COUNTIFS($D$9:$D$508,$D355,$A$9:$A$508,"&gt;"&amp;$A355)+COUNTIFS($D$9:$D$508,$D355,$A$9:$A$508,$A355)-COUNTIFS($D$9:$D355,$D355,$A$9:$A355,$A355)+1)</f>
        <v/>
      </c>
    </row>
    <row r="356" spans="1:25" ht="23.1" customHeight="1" x14ac:dyDescent="0.25">
      <c r="A356" s="19"/>
      <c r="B356" s="20"/>
      <c r="C356" s="20"/>
      <c r="D356" s="20"/>
      <c r="E356" s="20"/>
      <c r="F356" s="21"/>
      <c r="G356" s="22"/>
      <c r="H356" s="19"/>
      <c r="I356" s="22"/>
      <c r="J356" s="22"/>
      <c r="K356" s="23" t="str">
        <f>IF($A356="","",_EngineTrades!S356)</f>
        <v/>
      </c>
      <c r="L356" s="21"/>
      <c r="M356" s="22"/>
      <c r="N356" s="20"/>
      <c r="O356" s="24" t="str">
        <f t="shared" si="5"/>
        <v/>
      </c>
      <c r="P356" s="20"/>
      <c r="Q356" s="22"/>
      <c r="R356" s="22"/>
      <c r="S356" s="24" t="str">
        <f>IF($A356="","",_EngineTrades!V356)</f>
        <v/>
      </c>
      <c r="T356" t="str">
        <f>IF($A356="","",IFERROR(INDEX(Cycles!$R$9:$R$208,MATCH(_EngineTrades!AU356,_EngineCycles!$A$9:$A$208,0)),""))</f>
        <v/>
      </c>
      <c r="Y356" t="str">
        <f>IF(OR($A356="",$D356&lt;&gt;Overview!$P$2),"",COUNTIFS($D$9:$D$508,$D356,$A$9:$A$508,"&gt;"&amp;$A356)+COUNTIFS($D$9:$D$508,$D356,$A$9:$A$508,$A356)-COUNTIFS($D$9:$D356,$D356,$A$9:$A356,$A356)+1)</f>
        <v/>
      </c>
    </row>
    <row r="357" spans="1:25" ht="23.1" customHeight="1" x14ac:dyDescent="0.25">
      <c r="A357" s="13"/>
      <c r="B357" s="14"/>
      <c r="C357" s="14"/>
      <c r="D357" s="14"/>
      <c r="E357" s="14"/>
      <c r="F357" s="15"/>
      <c r="G357" s="16"/>
      <c r="H357" s="13"/>
      <c r="I357" s="16"/>
      <c r="J357" s="16"/>
      <c r="K357" s="17" t="str">
        <f>IF($A357="","",_EngineTrades!S357)</f>
        <v/>
      </c>
      <c r="L357" s="15"/>
      <c r="M357" s="16"/>
      <c r="N357" s="14"/>
      <c r="O357" s="18" t="str">
        <f t="shared" si="5"/>
        <v/>
      </c>
      <c r="P357" s="14"/>
      <c r="Q357" s="16"/>
      <c r="R357" s="16"/>
      <c r="S357" s="18" t="str">
        <f>IF($A357="","",_EngineTrades!V357)</f>
        <v/>
      </c>
      <c r="T357" t="str">
        <f>IF($A357="","",IFERROR(INDEX(Cycles!$R$9:$R$208,MATCH(_EngineTrades!AU357,_EngineCycles!$A$9:$A$208,0)),""))</f>
        <v/>
      </c>
      <c r="Y357" t="str">
        <f>IF(OR($A357="",$D357&lt;&gt;Overview!$P$2),"",COUNTIFS($D$9:$D$508,$D357,$A$9:$A$508,"&gt;"&amp;$A357)+COUNTIFS($D$9:$D$508,$D357,$A$9:$A$508,$A357)-COUNTIFS($D$9:$D357,$D357,$A$9:$A357,$A357)+1)</f>
        <v/>
      </c>
    </row>
    <row r="358" spans="1:25" ht="23.1" customHeight="1" x14ac:dyDescent="0.25">
      <c r="A358" s="19"/>
      <c r="B358" s="20"/>
      <c r="C358" s="20"/>
      <c r="D358" s="20"/>
      <c r="E358" s="20"/>
      <c r="F358" s="21"/>
      <c r="G358" s="22"/>
      <c r="H358" s="19"/>
      <c r="I358" s="22"/>
      <c r="J358" s="22"/>
      <c r="K358" s="23" t="str">
        <f>IF($A358="","",_EngineTrades!S358)</f>
        <v/>
      </c>
      <c r="L358" s="21"/>
      <c r="M358" s="22"/>
      <c r="N358" s="20"/>
      <c r="O358" s="24" t="str">
        <f t="shared" si="5"/>
        <v/>
      </c>
      <c r="P358" s="20"/>
      <c r="Q358" s="22"/>
      <c r="R358" s="22"/>
      <c r="S358" s="24" t="str">
        <f>IF($A358="","",_EngineTrades!V358)</f>
        <v/>
      </c>
      <c r="T358" t="str">
        <f>IF($A358="","",IFERROR(INDEX(Cycles!$R$9:$R$208,MATCH(_EngineTrades!AU358,_EngineCycles!$A$9:$A$208,0)),""))</f>
        <v/>
      </c>
      <c r="Y358" t="str">
        <f>IF(OR($A358="",$D358&lt;&gt;Overview!$P$2),"",COUNTIFS($D$9:$D$508,$D358,$A$9:$A$508,"&gt;"&amp;$A358)+COUNTIFS($D$9:$D$508,$D358,$A$9:$A$508,$A358)-COUNTIFS($D$9:$D358,$D358,$A$9:$A358,$A358)+1)</f>
        <v/>
      </c>
    </row>
    <row r="359" spans="1:25" ht="23.1" customHeight="1" x14ac:dyDescent="0.25">
      <c r="A359" s="13"/>
      <c r="B359" s="14"/>
      <c r="C359" s="14"/>
      <c r="D359" s="14"/>
      <c r="E359" s="14"/>
      <c r="F359" s="15"/>
      <c r="G359" s="16"/>
      <c r="H359" s="13"/>
      <c r="I359" s="16"/>
      <c r="J359" s="16"/>
      <c r="K359" s="17" t="str">
        <f>IF($A359="","",_EngineTrades!S359)</f>
        <v/>
      </c>
      <c r="L359" s="15"/>
      <c r="M359" s="16"/>
      <c r="N359" s="14"/>
      <c r="O359" s="18" t="str">
        <f t="shared" si="5"/>
        <v/>
      </c>
      <c r="P359" s="14"/>
      <c r="Q359" s="16"/>
      <c r="R359" s="16"/>
      <c r="S359" s="18" t="str">
        <f>IF($A359="","",_EngineTrades!V359)</f>
        <v/>
      </c>
      <c r="T359" t="str">
        <f>IF($A359="","",IFERROR(INDEX(Cycles!$R$9:$R$208,MATCH(_EngineTrades!AU359,_EngineCycles!$A$9:$A$208,0)),""))</f>
        <v/>
      </c>
      <c r="Y359" t="str">
        <f>IF(OR($A359="",$D359&lt;&gt;Overview!$P$2),"",COUNTIFS($D$9:$D$508,$D359,$A$9:$A$508,"&gt;"&amp;$A359)+COUNTIFS($D$9:$D$508,$D359,$A$9:$A$508,$A359)-COUNTIFS($D$9:$D359,$D359,$A$9:$A359,$A359)+1)</f>
        <v/>
      </c>
    </row>
    <row r="360" spans="1:25" ht="23.1" customHeight="1" x14ac:dyDescent="0.25">
      <c r="A360" s="19"/>
      <c r="B360" s="20"/>
      <c r="C360" s="20"/>
      <c r="D360" s="20"/>
      <c r="E360" s="20"/>
      <c r="F360" s="21"/>
      <c r="G360" s="22"/>
      <c r="H360" s="19"/>
      <c r="I360" s="22"/>
      <c r="J360" s="22"/>
      <c r="K360" s="23" t="str">
        <f>IF($A360="","",_EngineTrades!S360)</f>
        <v/>
      </c>
      <c r="L360" s="21"/>
      <c r="M360" s="22"/>
      <c r="N360" s="20"/>
      <c r="O360" s="24" t="str">
        <f t="shared" si="5"/>
        <v/>
      </c>
      <c r="P360" s="20"/>
      <c r="Q360" s="22"/>
      <c r="R360" s="22"/>
      <c r="S360" s="24" t="str">
        <f>IF($A360="","",_EngineTrades!V360)</f>
        <v/>
      </c>
      <c r="T360" t="str">
        <f>IF($A360="","",IFERROR(INDEX(Cycles!$R$9:$R$208,MATCH(_EngineTrades!AU360,_EngineCycles!$A$9:$A$208,0)),""))</f>
        <v/>
      </c>
      <c r="Y360" t="str">
        <f>IF(OR($A360="",$D360&lt;&gt;Overview!$P$2),"",COUNTIFS($D$9:$D$508,$D360,$A$9:$A$508,"&gt;"&amp;$A360)+COUNTIFS($D$9:$D$508,$D360,$A$9:$A$508,$A360)-COUNTIFS($D$9:$D360,$D360,$A$9:$A360,$A360)+1)</f>
        <v/>
      </c>
    </row>
    <row r="361" spans="1:25" ht="23.1" customHeight="1" x14ac:dyDescent="0.25">
      <c r="A361" s="13"/>
      <c r="B361" s="14"/>
      <c r="C361" s="14"/>
      <c r="D361" s="14"/>
      <c r="E361" s="14"/>
      <c r="F361" s="15"/>
      <c r="G361" s="16"/>
      <c r="H361" s="13"/>
      <c r="I361" s="16"/>
      <c r="J361" s="16"/>
      <c r="K361" s="17" t="str">
        <f>IF($A361="","",_EngineTrades!S361)</f>
        <v/>
      </c>
      <c r="L361" s="15"/>
      <c r="M361" s="16"/>
      <c r="N361" s="14"/>
      <c r="O361" s="18" t="str">
        <f t="shared" si="5"/>
        <v/>
      </c>
      <c r="P361" s="14"/>
      <c r="Q361" s="16"/>
      <c r="R361" s="16"/>
      <c r="S361" s="18" t="str">
        <f>IF($A361="","",_EngineTrades!V361)</f>
        <v/>
      </c>
      <c r="T361" t="str">
        <f>IF($A361="","",IFERROR(INDEX(Cycles!$R$9:$R$208,MATCH(_EngineTrades!AU361,_EngineCycles!$A$9:$A$208,0)),""))</f>
        <v/>
      </c>
      <c r="Y361" t="str">
        <f>IF(OR($A361="",$D361&lt;&gt;Overview!$P$2),"",COUNTIFS($D$9:$D$508,$D361,$A$9:$A$508,"&gt;"&amp;$A361)+COUNTIFS($D$9:$D$508,$D361,$A$9:$A$508,$A361)-COUNTIFS($D$9:$D361,$D361,$A$9:$A361,$A361)+1)</f>
        <v/>
      </c>
    </row>
    <row r="362" spans="1:25" ht="23.1" customHeight="1" x14ac:dyDescent="0.25">
      <c r="A362" s="19"/>
      <c r="B362" s="20"/>
      <c r="C362" s="20"/>
      <c r="D362" s="20"/>
      <c r="E362" s="20"/>
      <c r="F362" s="21"/>
      <c r="G362" s="22"/>
      <c r="H362" s="19"/>
      <c r="I362" s="22"/>
      <c r="J362" s="22"/>
      <c r="K362" s="23" t="str">
        <f>IF($A362="","",_EngineTrades!S362)</f>
        <v/>
      </c>
      <c r="L362" s="21"/>
      <c r="M362" s="22"/>
      <c r="N362" s="20"/>
      <c r="O362" s="24" t="str">
        <f t="shared" si="5"/>
        <v/>
      </c>
      <c r="P362" s="20"/>
      <c r="Q362" s="22"/>
      <c r="R362" s="22"/>
      <c r="S362" s="24" t="str">
        <f>IF($A362="","",_EngineTrades!V362)</f>
        <v/>
      </c>
      <c r="T362" t="str">
        <f>IF($A362="","",IFERROR(INDEX(Cycles!$R$9:$R$208,MATCH(_EngineTrades!AU362,_EngineCycles!$A$9:$A$208,0)),""))</f>
        <v/>
      </c>
      <c r="Y362" t="str">
        <f>IF(OR($A362="",$D362&lt;&gt;Overview!$P$2),"",COUNTIFS($D$9:$D$508,$D362,$A$9:$A$508,"&gt;"&amp;$A362)+COUNTIFS($D$9:$D$508,$D362,$A$9:$A$508,$A362)-COUNTIFS($D$9:$D362,$D362,$A$9:$A362,$A362)+1)</f>
        <v/>
      </c>
    </row>
    <row r="363" spans="1:25" ht="23.1" customHeight="1" x14ac:dyDescent="0.25">
      <c r="A363" s="13"/>
      <c r="B363" s="14"/>
      <c r="C363" s="14"/>
      <c r="D363" s="14"/>
      <c r="E363" s="14"/>
      <c r="F363" s="15"/>
      <c r="G363" s="16"/>
      <c r="H363" s="13"/>
      <c r="I363" s="16"/>
      <c r="J363" s="16"/>
      <c r="K363" s="17" t="str">
        <f>IF($A363="","",_EngineTrades!S363)</f>
        <v/>
      </c>
      <c r="L363" s="15"/>
      <c r="M363" s="16"/>
      <c r="N363" s="14"/>
      <c r="O363" s="18" t="str">
        <f t="shared" si="5"/>
        <v/>
      </c>
      <c r="P363" s="14"/>
      <c r="Q363" s="16"/>
      <c r="R363" s="16"/>
      <c r="S363" s="18" t="str">
        <f>IF($A363="","",_EngineTrades!V363)</f>
        <v/>
      </c>
      <c r="T363" t="str">
        <f>IF($A363="","",IFERROR(INDEX(Cycles!$R$9:$R$208,MATCH(_EngineTrades!AU363,_EngineCycles!$A$9:$A$208,0)),""))</f>
        <v/>
      </c>
      <c r="Y363" t="str">
        <f>IF(OR($A363="",$D363&lt;&gt;Overview!$P$2),"",COUNTIFS($D$9:$D$508,$D363,$A$9:$A$508,"&gt;"&amp;$A363)+COUNTIFS($D$9:$D$508,$D363,$A$9:$A$508,$A363)-COUNTIFS($D$9:$D363,$D363,$A$9:$A363,$A363)+1)</f>
        <v/>
      </c>
    </row>
    <row r="364" spans="1:25" ht="23.1" customHeight="1" x14ac:dyDescent="0.25">
      <c r="A364" s="19"/>
      <c r="B364" s="20"/>
      <c r="C364" s="20"/>
      <c r="D364" s="20"/>
      <c r="E364" s="20"/>
      <c r="F364" s="21"/>
      <c r="G364" s="22"/>
      <c r="H364" s="19"/>
      <c r="I364" s="22"/>
      <c r="J364" s="22"/>
      <c r="K364" s="23" t="str">
        <f>IF($A364="","",_EngineTrades!S364)</f>
        <v/>
      </c>
      <c r="L364" s="21"/>
      <c r="M364" s="22"/>
      <c r="N364" s="20"/>
      <c r="O364" s="24" t="str">
        <f t="shared" si="5"/>
        <v/>
      </c>
      <c r="P364" s="20"/>
      <c r="Q364" s="22"/>
      <c r="R364" s="22"/>
      <c r="S364" s="24" t="str">
        <f>IF($A364="","",_EngineTrades!V364)</f>
        <v/>
      </c>
      <c r="T364" t="str">
        <f>IF($A364="","",IFERROR(INDEX(Cycles!$R$9:$R$208,MATCH(_EngineTrades!AU364,_EngineCycles!$A$9:$A$208,0)),""))</f>
        <v/>
      </c>
      <c r="Y364" t="str">
        <f>IF(OR($A364="",$D364&lt;&gt;Overview!$P$2),"",COUNTIFS($D$9:$D$508,$D364,$A$9:$A$508,"&gt;"&amp;$A364)+COUNTIFS($D$9:$D$508,$D364,$A$9:$A$508,$A364)-COUNTIFS($D$9:$D364,$D364,$A$9:$A364,$A364)+1)</f>
        <v/>
      </c>
    </row>
    <row r="365" spans="1:25" ht="23.1" customHeight="1" x14ac:dyDescent="0.25">
      <c r="A365" s="13"/>
      <c r="B365" s="14"/>
      <c r="C365" s="14"/>
      <c r="D365" s="14"/>
      <c r="E365" s="14"/>
      <c r="F365" s="15"/>
      <c r="G365" s="16"/>
      <c r="H365" s="13"/>
      <c r="I365" s="16"/>
      <c r="J365" s="16"/>
      <c r="K365" s="17" t="str">
        <f>IF($A365="","",_EngineTrades!S365)</f>
        <v/>
      </c>
      <c r="L365" s="15"/>
      <c r="M365" s="16"/>
      <c r="N365" s="14"/>
      <c r="O365" s="18" t="str">
        <f t="shared" si="5"/>
        <v/>
      </c>
      <c r="P365" s="14"/>
      <c r="Q365" s="16"/>
      <c r="R365" s="16"/>
      <c r="S365" s="18" t="str">
        <f>IF($A365="","",_EngineTrades!V365)</f>
        <v/>
      </c>
      <c r="T365" t="str">
        <f>IF($A365="","",IFERROR(INDEX(Cycles!$R$9:$R$208,MATCH(_EngineTrades!AU365,_EngineCycles!$A$9:$A$208,0)),""))</f>
        <v/>
      </c>
      <c r="Y365" t="str">
        <f>IF(OR($A365="",$D365&lt;&gt;Overview!$P$2),"",COUNTIFS($D$9:$D$508,$D365,$A$9:$A$508,"&gt;"&amp;$A365)+COUNTIFS($D$9:$D$508,$D365,$A$9:$A$508,$A365)-COUNTIFS($D$9:$D365,$D365,$A$9:$A365,$A365)+1)</f>
        <v/>
      </c>
    </row>
    <row r="366" spans="1:25" ht="23.1" customHeight="1" x14ac:dyDescent="0.25">
      <c r="A366" s="19"/>
      <c r="B366" s="20"/>
      <c r="C366" s="20"/>
      <c r="D366" s="20"/>
      <c r="E366" s="20"/>
      <c r="F366" s="21"/>
      <c r="G366" s="22"/>
      <c r="H366" s="19"/>
      <c r="I366" s="22"/>
      <c r="J366" s="22"/>
      <c r="K366" s="23" t="str">
        <f>IF($A366="","",_EngineTrades!S366)</f>
        <v/>
      </c>
      <c r="L366" s="21"/>
      <c r="M366" s="22"/>
      <c r="N366" s="20"/>
      <c r="O366" s="24" t="str">
        <f t="shared" si="5"/>
        <v/>
      </c>
      <c r="P366" s="20"/>
      <c r="Q366" s="22"/>
      <c r="R366" s="22"/>
      <c r="S366" s="24" t="str">
        <f>IF($A366="","",_EngineTrades!V366)</f>
        <v/>
      </c>
      <c r="T366" t="str">
        <f>IF($A366="","",IFERROR(INDEX(Cycles!$R$9:$R$208,MATCH(_EngineTrades!AU366,_EngineCycles!$A$9:$A$208,0)),""))</f>
        <v/>
      </c>
      <c r="Y366" t="str">
        <f>IF(OR($A366="",$D366&lt;&gt;Overview!$P$2),"",COUNTIFS($D$9:$D$508,$D366,$A$9:$A$508,"&gt;"&amp;$A366)+COUNTIFS($D$9:$D$508,$D366,$A$9:$A$508,$A366)-COUNTIFS($D$9:$D366,$D366,$A$9:$A366,$A366)+1)</f>
        <v/>
      </c>
    </row>
    <row r="367" spans="1:25" ht="23.1" customHeight="1" x14ac:dyDescent="0.25">
      <c r="A367" s="13"/>
      <c r="B367" s="14"/>
      <c r="C367" s="14"/>
      <c r="D367" s="14"/>
      <c r="E367" s="14"/>
      <c r="F367" s="15"/>
      <c r="G367" s="16"/>
      <c r="H367" s="13"/>
      <c r="I367" s="16"/>
      <c r="J367" s="16"/>
      <c r="K367" s="17" t="str">
        <f>IF($A367="","",_EngineTrades!S367)</f>
        <v/>
      </c>
      <c r="L367" s="15"/>
      <c r="M367" s="16"/>
      <c r="N367" s="14"/>
      <c r="O367" s="18" t="str">
        <f t="shared" si="5"/>
        <v/>
      </c>
      <c r="P367" s="14"/>
      <c r="Q367" s="16"/>
      <c r="R367" s="16"/>
      <c r="S367" s="18" t="str">
        <f>IF($A367="","",_EngineTrades!V367)</f>
        <v/>
      </c>
      <c r="T367" t="str">
        <f>IF($A367="","",IFERROR(INDEX(Cycles!$R$9:$R$208,MATCH(_EngineTrades!AU367,_EngineCycles!$A$9:$A$208,0)),""))</f>
        <v/>
      </c>
      <c r="Y367" t="str">
        <f>IF(OR($A367="",$D367&lt;&gt;Overview!$P$2),"",COUNTIFS($D$9:$D$508,$D367,$A$9:$A$508,"&gt;"&amp;$A367)+COUNTIFS($D$9:$D$508,$D367,$A$9:$A$508,$A367)-COUNTIFS($D$9:$D367,$D367,$A$9:$A367,$A367)+1)</f>
        <v/>
      </c>
    </row>
    <row r="368" spans="1:25" ht="23.1" customHeight="1" x14ac:dyDescent="0.25">
      <c r="A368" s="19"/>
      <c r="B368" s="20"/>
      <c r="C368" s="20"/>
      <c r="D368" s="20"/>
      <c r="E368" s="20"/>
      <c r="F368" s="21"/>
      <c r="G368" s="22"/>
      <c r="H368" s="19"/>
      <c r="I368" s="22"/>
      <c r="J368" s="22"/>
      <c r="K368" s="23" t="str">
        <f>IF($A368="","",_EngineTrades!S368)</f>
        <v/>
      </c>
      <c r="L368" s="21"/>
      <c r="M368" s="22"/>
      <c r="N368" s="20"/>
      <c r="O368" s="24" t="str">
        <f t="shared" si="5"/>
        <v/>
      </c>
      <c r="P368" s="20"/>
      <c r="Q368" s="22"/>
      <c r="R368" s="22"/>
      <c r="S368" s="24" t="str">
        <f>IF($A368="","",_EngineTrades!V368)</f>
        <v/>
      </c>
      <c r="T368" t="str">
        <f>IF($A368="","",IFERROR(INDEX(Cycles!$R$9:$R$208,MATCH(_EngineTrades!AU368,_EngineCycles!$A$9:$A$208,0)),""))</f>
        <v/>
      </c>
      <c r="Y368" t="str">
        <f>IF(OR($A368="",$D368&lt;&gt;Overview!$P$2),"",COUNTIFS($D$9:$D$508,$D368,$A$9:$A$508,"&gt;"&amp;$A368)+COUNTIFS($D$9:$D$508,$D368,$A$9:$A$508,$A368)-COUNTIFS($D$9:$D368,$D368,$A$9:$A368,$A368)+1)</f>
        <v/>
      </c>
    </row>
    <row r="369" spans="1:25" ht="23.1" customHeight="1" x14ac:dyDescent="0.25">
      <c r="A369" s="13"/>
      <c r="B369" s="14"/>
      <c r="C369" s="14"/>
      <c r="D369" s="14"/>
      <c r="E369" s="14"/>
      <c r="F369" s="15"/>
      <c r="G369" s="16"/>
      <c r="H369" s="13"/>
      <c r="I369" s="16"/>
      <c r="J369" s="16"/>
      <c r="K369" s="17" t="str">
        <f>IF($A369="","",_EngineTrades!S369)</f>
        <v/>
      </c>
      <c r="L369" s="15"/>
      <c r="M369" s="16"/>
      <c r="N369" s="14"/>
      <c r="O369" s="18" t="str">
        <f t="shared" si="5"/>
        <v/>
      </c>
      <c r="P369" s="14"/>
      <c r="Q369" s="16"/>
      <c r="R369" s="16"/>
      <c r="S369" s="18" t="str">
        <f>IF($A369="","",_EngineTrades!V369)</f>
        <v/>
      </c>
      <c r="T369" t="str">
        <f>IF($A369="","",IFERROR(INDEX(Cycles!$R$9:$R$208,MATCH(_EngineTrades!AU369,_EngineCycles!$A$9:$A$208,0)),""))</f>
        <v/>
      </c>
      <c r="Y369" t="str">
        <f>IF(OR($A369="",$D369&lt;&gt;Overview!$P$2),"",COUNTIFS($D$9:$D$508,$D369,$A$9:$A$508,"&gt;"&amp;$A369)+COUNTIFS($D$9:$D$508,$D369,$A$9:$A$508,$A369)-COUNTIFS($D$9:$D369,$D369,$A$9:$A369,$A369)+1)</f>
        <v/>
      </c>
    </row>
    <row r="370" spans="1:25" ht="23.1" customHeight="1" x14ac:dyDescent="0.25">
      <c r="A370" s="19"/>
      <c r="B370" s="20"/>
      <c r="C370" s="20"/>
      <c r="D370" s="20"/>
      <c r="E370" s="20"/>
      <c r="F370" s="21"/>
      <c r="G370" s="22"/>
      <c r="H370" s="19"/>
      <c r="I370" s="22"/>
      <c r="J370" s="22"/>
      <c r="K370" s="23" t="str">
        <f>IF($A370="","",_EngineTrades!S370)</f>
        <v/>
      </c>
      <c r="L370" s="21"/>
      <c r="M370" s="22"/>
      <c r="N370" s="20"/>
      <c r="O370" s="24" t="str">
        <f t="shared" si="5"/>
        <v/>
      </c>
      <c r="P370" s="20"/>
      <c r="Q370" s="22"/>
      <c r="R370" s="22"/>
      <c r="S370" s="24" t="str">
        <f>IF($A370="","",_EngineTrades!V370)</f>
        <v/>
      </c>
      <c r="T370" t="str">
        <f>IF($A370="","",IFERROR(INDEX(Cycles!$R$9:$R$208,MATCH(_EngineTrades!AU370,_EngineCycles!$A$9:$A$208,0)),""))</f>
        <v/>
      </c>
      <c r="Y370" t="str">
        <f>IF(OR($A370="",$D370&lt;&gt;Overview!$P$2),"",COUNTIFS($D$9:$D$508,$D370,$A$9:$A$508,"&gt;"&amp;$A370)+COUNTIFS($D$9:$D$508,$D370,$A$9:$A$508,$A370)-COUNTIFS($D$9:$D370,$D370,$A$9:$A370,$A370)+1)</f>
        <v/>
      </c>
    </row>
    <row r="371" spans="1:25" ht="23.1" customHeight="1" x14ac:dyDescent="0.25">
      <c r="A371" s="13"/>
      <c r="B371" s="14"/>
      <c r="C371" s="14"/>
      <c r="D371" s="14"/>
      <c r="E371" s="14"/>
      <c r="F371" s="15"/>
      <c r="G371" s="16"/>
      <c r="H371" s="13"/>
      <c r="I371" s="16"/>
      <c r="J371" s="16"/>
      <c r="K371" s="17" t="str">
        <f>IF($A371="","",_EngineTrades!S371)</f>
        <v/>
      </c>
      <c r="L371" s="15"/>
      <c r="M371" s="16"/>
      <c r="N371" s="14"/>
      <c r="O371" s="18" t="str">
        <f t="shared" si="5"/>
        <v/>
      </c>
      <c r="P371" s="14"/>
      <c r="Q371" s="16"/>
      <c r="R371" s="16"/>
      <c r="S371" s="18" t="str">
        <f>IF($A371="","",_EngineTrades!V371)</f>
        <v/>
      </c>
      <c r="T371" t="str">
        <f>IF($A371="","",IFERROR(INDEX(Cycles!$R$9:$R$208,MATCH(_EngineTrades!AU371,_EngineCycles!$A$9:$A$208,0)),""))</f>
        <v/>
      </c>
      <c r="Y371" t="str">
        <f>IF(OR($A371="",$D371&lt;&gt;Overview!$P$2),"",COUNTIFS($D$9:$D$508,$D371,$A$9:$A$508,"&gt;"&amp;$A371)+COUNTIFS($D$9:$D$508,$D371,$A$9:$A$508,$A371)-COUNTIFS($D$9:$D371,$D371,$A$9:$A371,$A371)+1)</f>
        <v/>
      </c>
    </row>
    <row r="372" spans="1:25" ht="23.1" customHeight="1" x14ac:dyDescent="0.25">
      <c r="A372" s="19"/>
      <c r="B372" s="20"/>
      <c r="C372" s="20"/>
      <c r="D372" s="20"/>
      <c r="E372" s="20"/>
      <c r="F372" s="21"/>
      <c r="G372" s="22"/>
      <c r="H372" s="19"/>
      <c r="I372" s="22"/>
      <c r="J372" s="22"/>
      <c r="K372" s="23" t="str">
        <f>IF($A372="","",_EngineTrades!S372)</f>
        <v/>
      </c>
      <c r="L372" s="21"/>
      <c r="M372" s="22"/>
      <c r="N372" s="20"/>
      <c r="O372" s="24" t="str">
        <f t="shared" si="5"/>
        <v/>
      </c>
      <c r="P372" s="20"/>
      <c r="Q372" s="22"/>
      <c r="R372" s="22"/>
      <c r="S372" s="24" t="str">
        <f>IF($A372="","",_EngineTrades!V372)</f>
        <v/>
      </c>
      <c r="T372" t="str">
        <f>IF($A372="","",IFERROR(INDEX(Cycles!$R$9:$R$208,MATCH(_EngineTrades!AU372,_EngineCycles!$A$9:$A$208,0)),""))</f>
        <v/>
      </c>
      <c r="Y372" t="str">
        <f>IF(OR($A372="",$D372&lt;&gt;Overview!$P$2),"",COUNTIFS($D$9:$D$508,$D372,$A$9:$A$508,"&gt;"&amp;$A372)+COUNTIFS($D$9:$D$508,$D372,$A$9:$A$508,$A372)-COUNTIFS($D$9:$D372,$D372,$A$9:$A372,$A372)+1)</f>
        <v/>
      </c>
    </row>
    <row r="373" spans="1:25" ht="23.1" customHeight="1" x14ac:dyDescent="0.25">
      <c r="A373" s="13"/>
      <c r="B373" s="14"/>
      <c r="C373" s="14"/>
      <c r="D373" s="14"/>
      <c r="E373" s="14"/>
      <c r="F373" s="15"/>
      <c r="G373" s="16"/>
      <c r="H373" s="13"/>
      <c r="I373" s="16"/>
      <c r="J373" s="16"/>
      <c r="K373" s="17" t="str">
        <f>IF($A373="","",_EngineTrades!S373)</f>
        <v/>
      </c>
      <c r="L373" s="15"/>
      <c r="M373" s="16"/>
      <c r="N373" s="14"/>
      <c r="O373" s="18" t="str">
        <f t="shared" si="5"/>
        <v/>
      </c>
      <c r="P373" s="14"/>
      <c r="Q373" s="16"/>
      <c r="R373" s="16"/>
      <c r="S373" s="18" t="str">
        <f>IF($A373="","",_EngineTrades!V373)</f>
        <v/>
      </c>
      <c r="T373" t="str">
        <f>IF($A373="","",IFERROR(INDEX(Cycles!$R$9:$R$208,MATCH(_EngineTrades!AU373,_EngineCycles!$A$9:$A$208,0)),""))</f>
        <v/>
      </c>
      <c r="Y373" t="str">
        <f>IF(OR($A373="",$D373&lt;&gt;Overview!$P$2),"",COUNTIFS($D$9:$D$508,$D373,$A$9:$A$508,"&gt;"&amp;$A373)+COUNTIFS($D$9:$D$508,$D373,$A$9:$A$508,$A373)-COUNTIFS($D$9:$D373,$D373,$A$9:$A373,$A373)+1)</f>
        <v/>
      </c>
    </row>
    <row r="374" spans="1:25" ht="23.1" customHeight="1" x14ac:dyDescent="0.25">
      <c r="A374" s="19"/>
      <c r="B374" s="20"/>
      <c r="C374" s="20"/>
      <c r="D374" s="20"/>
      <c r="E374" s="20"/>
      <c r="F374" s="21"/>
      <c r="G374" s="22"/>
      <c r="H374" s="19"/>
      <c r="I374" s="22"/>
      <c r="J374" s="22"/>
      <c r="K374" s="23" t="str">
        <f>IF($A374="","",_EngineTrades!S374)</f>
        <v/>
      </c>
      <c r="L374" s="21"/>
      <c r="M374" s="22"/>
      <c r="N374" s="20"/>
      <c r="O374" s="24" t="str">
        <f t="shared" si="5"/>
        <v/>
      </c>
      <c r="P374" s="20"/>
      <c r="Q374" s="22"/>
      <c r="R374" s="22"/>
      <c r="S374" s="24" t="str">
        <f>IF($A374="","",_EngineTrades!V374)</f>
        <v/>
      </c>
      <c r="T374" t="str">
        <f>IF($A374="","",IFERROR(INDEX(Cycles!$R$9:$R$208,MATCH(_EngineTrades!AU374,_EngineCycles!$A$9:$A$208,0)),""))</f>
        <v/>
      </c>
      <c r="Y374" t="str">
        <f>IF(OR($A374="",$D374&lt;&gt;Overview!$P$2),"",COUNTIFS($D$9:$D$508,$D374,$A$9:$A$508,"&gt;"&amp;$A374)+COUNTIFS($D$9:$D$508,$D374,$A$9:$A$508,$A374)-COUNTIFS($D$9:$D374,$D374,$A$9:$A374,$A374)+1)</f>
        <v/>
      </c>
    </row>
    <row r="375" spans="1:25" ht="23.1" customHeight="1" x14ac:dyDescent="0.25">
      <c r="A375" s="13"/>
      <c r="B375" s="14"/>
      <c r="C375" s="14"/>
      <c r="D375" s="14"/>
      <c r="E375" s="14"/>
      <c r="F375" s="15"/>
      <c r="G375" s="16"/>
      <c r="H375" s="13"/>
      <c r="I375" s="16"/>
      <c r="J375" s="16"/>
      <c r="K375" s="17" t="str">
        <f>IF($A375="","",_EngineTrades!S375)</f>
        <v/>
      </c>
      <c r="L375" s="15"/>
      <c r="M375" s="16"/>
      <c r="N375" s="14"/>
      <c r="O375" s="18" t="str">
        <f t="shared" si="5"/>
        <v/>
      </c>
      <c r="P375" s="14"/>
      <c r="Q375" s="16"/>
      <c r="R375" s="16"/>
      <c r="S375" s="18" t="str">
        <f>IF($A375="","",_EngineTrades!V375)</f>
        <v/>
      </c>
      <c r="T375" t="str">
        <f>IF($A375="","",IFERROR(INDEX(Cycles!$R$9:$R$208,MATCH(_EngineTrades!AU375,_EngineCycles!$A$9:$A$208,0)),""))</f>
        <v/>
      </c>
      <c r="Y375" t="str">
        <f>IF(OR($A375="",$D375&lt;&gt;Overview!$P$2),"",COUNTIFS($D$9:$D$508,$D375,$A$9:$A$508,"&gt;"&amp;$A375)+COUNTIFS($D$9:$D$508,$D375,$A$9:$A$508,$A375)-COUNTIFS($D$9:$D375,$D375,$A$9:$A375,$A375)+1)</f>
        <v/>
      </c>
    </row>
    <row r="376" spans="1:25" ht="23.1" customHeight="1" x14ac:dyDescent="0.25">
      <c r="A376" s="19"/>
      <c r="B376" s="20"/>
      <c r="C376" s="20"/>
      <c r="D376" s="20"/>
      <c r="E376" s="20"/>
      <c r="F376" s="21"/>
      <c r="G376" s="22"/>
      <c r="H376" s="19"/>
      <c r="I376" s="22"/>
      <c r="J376" s="22"/>
      <c r="K376" s="23" t="str">
        <f>IF($A376="","",_EngineTrades!S376)</f>
        <v/>
      </c>
      <c r="L376" s="21"/>
      <c r="M376" s="22"/>
      <c r="N376" s="20"/>
      <c r="O376" s="24" t="str">
        <f t="shared" si="5"/>
        <v/>
      </c>
      <c r="P376" s="20"/>
      <c r="Q376" s="22"/>
      <c r="R376" s="22"/>
      <c r="S376" s="24" t="str">
        <f>IF($A376="","",_EngineTrades!V376)</f>
        <v/>
      </c>
      <c r="T376" t="str">
        <f>IF($A376="","",IFERROR(INDEX(Cycles!$R$9:$R$208,MATCH(_EngineTrades!AU376,_EngineCycles!$A$9:$A$208,0)),""))</f>
        <v/>
      </c>
      <c r="Y376" t="str">
        <f>IF(OR($A376="",$D376&lt;&gt;Overview!$P$2),"",COUNTIFS($D$9:$D$508,$D376,$A$9:$A$508,"&gt;"&amp;$A376)+COUNTIFS($D$9:$D$508,$D376,$A$9:$A$508,$A376)-COUNTIFS($D$9:$D376,$D376,$A$9:$A376,$A376)+1)</f>
        <v/>
      </c>
    </row>
    <row r="377" spans="1:25" ht="23.1" customHeight="1" x14ac:dyDescent="0.25">
      <c r="A377" s="13"/>
      <c r="B377" s="14"/>
      <c r="C377" s="14"/>
      <c r="D377" s="14"/>
      <c r="E377" s="14"/>
      <c r="F377" s="15"/>
      <c r="G377" s="16"/>
      <c r="H377" s="13"/>
      <c r="I377" s="16"/>
      <c r="J377" s="16"/>
      <c r="K377" s="17" t="str">
        <f>IF($A377="","",_EngineTrades!S377)</f>
        <v/>
      </c>
      <c r="L377" s="15"/>
      <c r="M377" s="16"/>
      <c r="N377" s="14"/>
      <c r="O377" s="18" t="str">
        <f t="shared" si="5"/>
        <v/>
      </c>
      <c r="P377" s="14"/>
      <c r="Q377" s="16"/>
      <c r="R377" s="16"/>
      <c r="S377" s="18" t="str">
        <f>IF($A377="","",_EngineTrades!V377)</f>
        <v/>
      </c>
      <c r="T377" t="str">
        <f>IF($A377="","",IFERROR(INDEX(Cycles!$R$9:$R$208,MATCH(_EngineTrades!AU377,_EngineCycles!$A$9:$A$208,0)),""))</f>
        <v/>
      </c>
      <c r="Y377" t="str">
        <f>IF(OR($A377="",$D377&lt;&gt;Overview!$P$2),"",COUNTIFS($D$9:$D$508,$D377,$A$9:$A$508,"&gt;"&amp;$A377)+COUNTIFS($D$9:$D$508,$D377,$A$9:$A$508,$A377)-COUNTIFS($D$9:$D377,$D377,$A$9:$A377,$A377)+1)</f>
        <v/>
      </c>
    </row>
    <row r="378" spans="1:25" ht="23.1" customHeight="1" x14ac:dyDescent="0.25">
      <c r="A378" s="19"/>
      <c r="B378" s="20"/>
      <c r="C378" s="20"/>
      <c r="D378" s="20"/>
      <c r="E378" s="20"/>
      <c r="F378" s="21"/>
      <c r="G378" s="22"/>
      <c r="H378" s="19"/>
      <c r="I378" s="22"/>
      <c r="J378" s="22"/>
      <c r="K378" s="23" t="str">
        <f>IF($A378="","",_EngineTrades!S378)</f>
        <v/>
      </c>
      <c r="L378" s="21"/>
      <c r="M378" s="22"/>
      <c r="N378" s="20"/>
      <c r="O378" s="24" t="str">
        <f t="shared" si="5"/>
        <v/>
      </c>
      <c r="P378" s="20"/>
      <c r="Q378" s="22"/>
      <c r="R378" s="22"/>
      <c r="S378" s="24" t="str">
        <f>IF($A378="","",_EngineTrades!V378)</f>
        <v/>
      </c>
      <c r="T378" t="str">
        <f>IF($A378="","",IFERROR(INDEX(Cycles!$R$9:$R$208,MATCH(_EngineTrades!AU378,_EngineCycles!$A$9:$A$208,0)),""))</f>
        <v/>
      </c>
      <c r="Y378" t="str">
        <f>IF(OR($A378="",$D378&lt;&gt;Overview!$P$2),"",COUNTIFS($D$9:$D$508,$D378,$A$9:$A$508,"&gt;"&amp;$A378)+COUNTIFS($D$9:$D$508,$D378,$A$9:$A$508,$A378)-COUNTIFS($D$9:$D378,$D378,$A$9:$A378,$A378)+1)</f>
        <v/>
      </c>
    </row>
    <row r="379" spans="1:25" ht="23.1" customHeight="1" x14ac:dyDescent="0.25">
      <c r="A379" s="13"/>
      <c r="B379" s="14"/>
      <c r="C379" s="14"/>
      <c r="D379" s="14"/>
      <c r="E379" s="14"/>
      <c r="F379" s="15"/>
      <c r="G379" s="16"/>
      <c r="H379" s="13"/>
      <c r="I379" s="16"/>
      <c r="J379" s="16"/>
      <c r="K379" s="17" t="str">
        <f>IF($A379="","",_EngineTrades!S379)</f>
        <v/>
      </c>
      <c r="L379" s="15"/>
      <c r="M379" s="16"/>
      <c r="N379" s="14"/>
      <c r="O379" s="18" t="str">
        <f t="shared" si="5"/>
        <v/>
      </c>
      <c r="P379" s="14"/>
      <c r="Q379" s="16"/>
      <c r="R379" s="16"/>
      <c r="S379" s="18" t="str">
        <f>IF($A379="","",_EngineTrades!V379)</f>
        <v/>
      </c>
      <c r="T379" t="str">
        <f>IF($A379="","",IFERROR(INDEX(Cycles!$R$9:$R$208,MATCH(_EngineTrades!AU379,_EngineCycles!$A$9:$A$208,0)),""))</f>
        <v/>
      </c>
      <c r="Y379" t="str">
        <f>IF(OR($A379="",$D379&lt;&gt;Overview!$P$2),"",COUNTIFS($D$9:$D$508,$D379,$A$9:$A$508,"&gt;"&amp;$A379)+COUNTIFS($D$9:$D$508,$D379,$A$9:$A$508,$A379)-COUNTIFS($D$9:$D379,$D379,$A$9:$A379,$A379)+1)</f>
        <v/>
      </c>
    </row>
    <row r="380" spans="1:25" ht="23.1" customHeight="1" x14ac:dyDescent="0.25">
      <c r="A380" s="19"/>
      <c r="B380" s="20"/>
      <c r="C380" s="20"/>
      <c r="D380" s="20"/>
      <c r="E380" s="20"/>
      <c r="F380" s="21"/>
      <c r="G380" s="22"/>
      <c r="H380" s="19"/>
      <c r="I380" s="22"/>
      <c r="J380" s="22"/>
      <c r="K380" s="23" t="str">
        <f>IF($A380="","",_EngineTrades!S380)</f>
        <v/>
      </c>
      <c r="L380" s="21"/>
      <c r="M380" s="22"/>
      <c r="N380" s="20"/>
      <c r="O380" s="24" t="str">
        <f t="shared" si="5"/>
        <v/>
      </c>
      <c r="P380" s="20"/>
      <c r="Q380" s="22"/>
      <c r="R380" s="22"/>
      <c r="S380" s="24" t="str">
        <f>IF($A380="","",_EngineTrades!V380)</f>
        <v/>
      </c>
      <c r="T380" t="str">
        <f>IF($A380="","",IFERROR(INDEX(Cycles!$R$9:$R$208,MATCH(_EngineTrades!AU380,_EngineCycles!$A$9:$A$208,0)),""))</f>
        <v/>
      </c>
      <c r="Y380" t="str">
        <f>IF(OR($A380="",$D380&lt;&gt;Overview!$P$2),"",COUNTIFS($D$9:$D$508,$D380,$A$9:$A$508,"&gt;"&amp;$A380)+COUNTIFS($D$9:$D$508,$D380,$A$9:$A$508,$A380)-COUNTIFS($D$9:$D380,$D380,$A$9:$A380,$A380)+1)</f>
        <v/>
      </c>
    </row>
    <row r="381" spans="1:25" ht="23.1" customHeight="1" x14ac:dyDescent="0.25">
      <c r="A381" s="13"/>
      <c r="B381" s="14"/>
      <c r="C381" s="14"/>
      <c r="D381" s="14"/>
      <c r="E381" s="14"/>
      <c r="F381" s="15"/>
      <c r="G381" s="16"/>
      <c r="H381" s="13"/>
      <c r="I381" s="16"/>
      <c r="J381" s="16"/>
      <c r="K381" s="17" t="str">
        <f>IF($A381="","",_EngineTrades!S381)</f>
        <v/>
      </c>
      <c r="L381" s="15"/>
      <c r="M381" s="16"/>
      <c r="N381" s="14"/>
      <c r="O381" s="18" t="str">
        <f t="shared" si="5"/>
        <v/>
      </c>
      <c r="P381" s="14"/>
      <c r="Q381" s="16"/>
      <c r="R381" s="16"/>
      <c r="S381" s="18" t="str">
        <f>IF($A381="","",_EngineTrades!V381)</f>
        <v/>
      </c>
      <c r="T381" t="str">
        <f>IF($A381="","",IFERROR(INDEX(Cycles!$R$9:$R$208,MATCH(_EngineTrades!AU381,_EngineCycles!$A$9:$A$208,0)),""))</f>
        <v/>
      </c>
      <c r="Y381" t="str">
        <f>IF(OR($A381="",$D381&lt;&gt;Overview!$P$2),"",COUNTIFS($D$9:$D$508,$D381,$A$9:$A$508,"&gt;"&amp;$A381)+COUNTIFS($D$9:$D$508,$D381,$A$9:$A$508,$A381)-COUNTIFS($D$9:$D381,$D381,$A$9:$A381,$A381)+1)</f>
        <v/>
      </c>
    </row>
    <row r="382" spans="1:25" ht="23.1" customHeight="1" x14ac:dyDescent="0.25">
      <c r="A382" s="19"/>
      <c r="B382" s="20"/>
      <c r="C382" s="20"/>
      <c r="D382" s="20"/>
      <c r="E382" s="20"/>
      <c r="F382" s="21"/>
      <c r="G382" s="22"/>
      <c r="H382" s="19"/>
      <c r="I382" s="22"/>
      <c r="J382" s="22"/>
      <c r="K382" s="23" t="str">
        <f>IF($A382="","",_EngineTrades!S382)</f>
        <v/>
      </c>
      <c r="L382" s="21"/>
      <c r="M382" s="22"/>
      <c r="N382" s="20"/>
      <c r="O382" s="24" t="str">
        <f t="shared" si="5"/>
        <v/>
      </c>
      <c r="P382" s="20"/>
      <c r="Q382" s="22"/>
      <c r="R382" s="22"/>
      <c r="S382" s="24" t="str">
        <f>IF($A382="","",_EngineTrades!V382)</f>
        <v/>
      </c>
      <c r="T382" t="str">
        <f>IF($A382="","",IFERROR(INDEX(Cycles!$R$9:$R$208,MATCH(_EngineTrades!AU382,_EngineCycles!$A$9:$A$208,0)),""))</f>
        <v/>
      </c>
      <c r="Y382" t="str">
        <f>IF(OR($A382="",$D382&lt;&gt;Overview!$P$2),"",COUNTIFS($D$9:$D$508,$D382,$A$9:$A$508,"&gt;"&amp;$A382)+COUNTIFS($D$9:$D$508,$D382,$A$9:$A$508,$A382)-COUNTIFS($D$9:$D382,$D382,$A$9:$A382,$A382)+1)</f>
        <v/>
      </c>
    </row>
    <row r="383" spans="1:25" ht="23.1" customHeight="1" x14ac:dyDescent="0.25">
      <c r="A383" s="13"/>
      <c r="B383" s="14"/>
      <c r="C383" s="14"/>
      <c r="D383" s="14"/>
      <c r="E383" s="14"/>
      <c r="F383" s="15"/>
      <c r="G383" s="16"/>
      <c r="H383" s="13"/>
      <c r="I383" s="16"/>
      <c r="J383" s="16"/>
      <c r="K383" s="17" t="str">
        <f>IF($A383="","",_EngineTrades!S383)</f>
        <v/>
      </c>
      <c r="L383" s="15"/>
      <c r="M383" s="16"/>
      <c r="N383" s="14"/>
      <c r="O383" s="18" t="str">
        <f t="shared" si="5"/>
        <v/>
      </c>
      <c r="P383" s="14"/>
      <c r="Q383" s="16"/>
      <c r="R383" s="16"/>
      <c r="S383" s="18" t="str">
        <f>IF($A383="","",_EngineTrades!V383)</f>
        <v/>
      </c>
      <c r="T383" t="str">
        <f>IF($A383="","",IFERROR(INDEX(Cycles!$R$9:$R$208,MATCH(_EngineTrades!AU383,_EngineCycles!$A$9:$A$208,0)),""))</f>
        <v/>
      </c>
      <c r="Y383" t="str">
        <f>IF(OR($A383="",$D383&lt;&gt;Overview!$P$2),"",COUNTIFS($D$9:$D$508,$D383,$A$9:$A$508,"&gt;"&amp;$A383)+COUNTIFS($D$9:$D$508,$D383,$A$9:$A$508,$A383)-COUNTIFS($D$9:$D383,$D383,$A$9:$A383,$A383)+1)</f>
        <v/>
      </c>
    </row>
    <row r="384" spans="1:25" ht="23.1" customHeight="1" x14ac:dyDescent="0.25">
      <c r="A384" s="19"/>
      <c r="B384" s="20"/>
      <c r="C384" s="20"/>
      <c r="D384" s="20"/>
      <c r="E384" s="20"/>
      <c r="F384" s="21"/>
      <c r="G384" s="22"/>
      <c r="H384" s="19"/>
      <c r="I384" s="22"/>
      <c r="J384" s="22"/>
      <c r="K384" s="23" t="str">
        <f>IF($A384="","",_EngineTrades!S384)</f>
        <v/>
      </c>
      <c r="L384" s="21"/>
      <c r="M384" s="22"/>
      <c r="N384" s="20"/>
      <c r="O384" s="24" t="str">
        <f t="shared" si="5"/>
        <v/>
      </c>
      <c r="P384" s="20"/>
      <c r="Q384" s="22"/>
      <c r="R384" s="22"/>
      <c r="S384" s="24" t="str">
        <f>IF($A384="","",_EngineTrades!V384)</f>
        <v/>
      </c>
      <c r="T384" t="str">
        <f>IF($A384="","",IFERROR(INDEX(Cycles!$R$9:$R$208,MATCH(_EngineTrades!AU384,_EngineCycles!$A$9:$A$208,0)),""))</f>
        <v/>
      </c>
      <c r="Y384" t="str">
        <f>IF(OR($A384="",$D384&lt;&gt;Overview!$P$2),"",COUNTIFS($D$9:$D$508,$D384,$A$9:$A$508,"&gt;"&amp;$A384)+COUNTIFS($D$9:$D$508,$D384,$A$9:$A$508,$A384)-COUNTIFS($D$9:$D384,$D384,$A$9:$A384,$A384)+1)</f>
        <v/>
      </c>
    </row>
    <row r="385" spans="1:25" ht="23.1" customHeight="1" x14ac:dyDescent="0.25">
      <c r="A385" s="13"/>
      <c r="B385" s="14"/>
      <c r="C385" s="14"/>
      <c r="D385" s="14"/>
      <c r="E385" s="14"/>
      <c r="F385" s="15"/>
      <c r="G385" s="16"/>
      <c r="H385" s="13"/>
      <c r="I385" s="16"/>
      <c r="J385" s="16"/>
      <c r="K385" s="17" t="str">
        <f>IF($A385="","",_EngineTrades!S385)</f>
        <v/>
      </c>
      <c r="L385" s="15"/>
      <c r="M385" s="16"/>
      <c r="N385" s="14"/>
      <c r="O385" s="18" t="str">
        <f t="shared" si="5"/>
        <v/>
      </c>
      <c r="P385" s="14"/>
      <c r="Q385" s="16"/>
      <c r="R385" s="16"/>
      <c r="S385" s="18" t="str">
        <f>IF($A385="","",_EngineTrades!V385)</f>
        <v/>
      </c>
      <c r="T385" t="str">
        <f>IF($A385="","",IFERROR(INDEX(Cycles!$R$9:$R$208,MATCH(_EngineTrades!AU385,_EngineCycles!$A$9:$A$208,0)),""))</f>
        <v/>
      </c>
      <c r="Y385" t="str">
        <f>IF(OR($A385="",$D385&lt;&gt;Overview!$P$2),"",COUNTIFS($D$9:$D$508,$D385,$A$9:$A$508,"&gt;"&amp;$A385)+COUNTIFS($D$9:$D$508,$D385,$A$9:$A$508,$A385)-COUNTIFS($D$9:$D385,$D385,$A$9:$A385,$A385)+1)</f>
        <v/>
      </c>
    </row>
    <row r="386" spans="1:25" ht="23.1" customHeight="1" x14ac:dyDescent="0.25">
      <c r="A386" s="19"/>
      <c r="B386" s="20"/>
      <c r="C386" s="20"/>
      <c r="D386" s="20"/>
      <c r="E386" s="20"/>
      <c r="F386" s="21"/>
      <c r="G386" s="22"/>
      <c r="H386" s="19"/>
      <c r="I386" s="22"/>
      <c r="J386" s="22"/>
      <c r="K386" s="23" t="str">
        <f>IF($A386="","",_EngineTrades!S386)</f>
        <v/>
      </c>
      <c r="L386" s="21"/>
      <c r="M386" s="22"/>
      <c r="N386" s="20"/>
      <c r="O386" s="24" t="str">
        <f t="shared" si="5"/>
        <v/>
      </c>
      <c r="P386" s="20"/>
      <c r="Q386" s="22"/>
      <c r="R386" s="22"/>
      <c r="S386" s="24" t="str">
        <f>IF($A386="","",_EngineTrades!V386)</f>
        <v/>
      </c>
      <c r="T386" t="str">
        <f>IF($A386="","",IFERROR(INDEX(Cycles!$R$9:$R$208,MATCH(_EngineTrades!AU386,_EngineCycles!$A$9:$A$208,0)),""))</f>
        <v/>
      </c>
      <c r="Y386" t="str">
        <f>IF(OR($A386="",$D386&lt;&gt;Overview!$P$2),"",COUNTIFS($D$9:$D$508,$D386,$A$9:$A$508,"&gt;"&amp;$A386)+COUNTIFS($D$9:$D$508,$D386,$A$9:$A$508,$A386)-COUNTIFS($D$9:$D386,$D386,$A$9:$A386,$A386)+1)</f>
        <v/>
      </c>
    </row>
    <row r="387" spans="1:25" ht="23.1" customHeight="1" x14ac:dyDescent="0.25">
      <c r="A387" s="13"/>
      <c r="B387" s="14"/>
      <c r="C387" s="14"/>
      <c r="D387" s="14"/>
      <c r="E387" s="14"/>
      <c r="F387" s="15"/>
      <c r="G387" s="16"/>
      <c r="H387" s="13"/>
      <c r="I387" s="16"/>
      <c r="J387" s="16"/>
      <c r="K387" s="17" t="str">
        <f>IF($A387="","",_EngineTrades!S387)</f>
        <v/>
      </c>
      <c r="L387" s="15"/>
      <c r="M387" s="16"/>
      <c r="N387" s="14"/>
      <c r="O387" s="18" t="str">
        <f t="shared" si="5"/>
        <v/>
      </c>
      <c r="P387" s="14"/>
      <c r="Q387" s="16"/>
      <c r="R387" s="16"/>
      <c r="S387" s="18" t="str">
        <f>IF($A387="","",_EngineTrades!V387)</f>
        <v/>
      </c>
      <c r="T387" t="str">
        <f>IF($A387="","",IFERROR(INDEX(Cycles!$R$9:$R$208,MATCH(_EngineTrades!AU387,_EngineCycles!$A$9:$A$208,0)),""))</f>
        <v/>
      </c>
      <c r="Y387" t="str">
        <f>IF(OR($A387="",$D387&lt;&gt;Overview!$P$2),"",COUNTIFS($D$9:$D$508,$D387,$A$9:$A$508,"&gt;"&amp;$A387)+COUNTIFS($D$9:$D$508,$D387,$A$9:$A$508,$A387)-COUNTIFS($D$9:$D387,$D387,$A$9:$A387,$A387)+1)</f>
        <v/>
      </c>
    </row>
    <row r="388" spans="1:25" ht="23.1" customHeight="1" x14ac:dyDescent="0.25">
      <c r="A388" s="19"/>
      <c r="B388" s="20"/>
      <c r="C388" s="20"/>
      <c r="D388" s="20"/>
      <c r="E388" s="20"/>
      <c r="F388" s="21"/>
      <c r="G388" s="22"/>
      <c r="H388" s="19"/>
      <c r="I388" s="22"/>
      <c r="J388" s="22"/>
      <c r="K388" s="23" t="str">
        <f>IF($A388="","",_EngineTrades!S388)</f>
        <v/>
      </c>
      <c r="L388" s="21"/>
      <c r="M388" s="22"/>
      <c r="N388" s="20"/>
      <c r="O388" s="24" t="str">
        <f t="shared" si="5"/>
        <v/>
      </c>
      <c r="P388" s="20"/>
      <c r="Q388" s="22"/>
      <c r="R388" s="22"/>
      <c r="S388" s="24" t="str">
        <f>IF($A388="","",_EngineTrades!V388)</f>
        <v/>
      </c>
      <c r="T388" t="str">
        <f>IF($A388="","",IFERROR(INDEX(Cycles!$R$9:$R$208,MATCH(_EngineTrades!AU388,_EngineCycles!$A$9:$A$208,0)),""))</f>
        <v/>
      </c>
      <c r="Y388" t="str">
        <f>IF(OR($A388="",$D388&lt;&gt;Overview!$P$2),"",COUNTIFS($D$9:$D$508,$D388,$A$9:$A$508,"&gt;"&amp;$A388)+COUNTIFS($D$9:$D$508,$D388,$A$9:$A$508,$A388)-COUNTIFS($D$9:$D388,$D388,$A$9:$A388,$A388)+1)</f>
        <v/>
      </c>
    </row>
    <row r="389" spans="1:25" ht="23.1" customHeight="1" x14ac:dyDescent="0.25">
      <c r="A389" s="13"/>
      <c r="B389" s="14"/>
      <c r="C389" s="14"/>
      <c r="D389" s="14"/>
      <c r="E389" s="14"/>
      <c r="F389" s="15"/>
      <c r="G389" s="16"/>
      <c r="H389" s="13"/>
      <c r="I389" s="16"/>
      <c r="J389" s="16"/>
      <c r="K389" s="17" t="str">
        <f>IF($A389="","",_EngineTrades!S389)</f>
        <v/>
      </c>
      <c r="L389" s="15"/>
      <c r="M389" s="16"/>
      <c r="N389" s="14"/>
      <c r="O389" s="18" t="str">
        <f t="shared" si="5"/>
        <v/>
      </c>
      <c r="P389" s="14"/>
      <c r="Q389" s="16"/>
      <c r="R389" s="16"/>
      <c r="S389" s="18" t="str">
        <f>IF($A389="","",_EngineTrades!V389)</f>
        <v/>
      </c>
      <c r="T389" t="str">
        <f>IF($A389="","",IFERROR(INDEX(Cycles!$R$9:$R$208,MATCH(_EngineTrades!AU389,_EngineCycles!$A$9:$A$208,0)),""))</f>
        <v/>
      </c>
      <c r="Y389" t="str">
        <f>IF(OR($A389="",$D389&lt;&gt;Overview!$P$2),"",COUNTIFS($D$9:$D$508,$D389,$A$9:$A$508,"&gt;"&amp;$A389)+COUNTIFS($D$9:$D$508,$D389,$A$9:$A$508,$A389)-COUNTIFS($D$9:$D389,$D389,$A$9:$A389,$A389)+1)</f>
        <v/>
      </c>
    </row>
    <row r="390" spans="1:25" ht="23.1" customHeight="1" x14ac:dyDescent="0.25">
      <c r="A390" s="19"/>
      <c r="B390" s="20"/>
      <c r="C390" s="20"/>
      <c r="D390" s="20"/>
      <c r="E390" s="20"/>
      <c r="F390" s="21"/>
      <c r="G390" s="22"/>
      <c r="H390" s="19"/>
      <c r="I390" s="22"/>
      <c r="J390" s="22"/>
      <c r="K390" s="23" t="str">
        <f>IF($A390="","",_EngineTrades!S390)</f>
        <v/>
      </c>
      <c r="L390" s="21"/>
      <c r="M390" s="22"/>
      <c r="N390" s="20"/>
      <c r="O390" s="24" t="str">
        <f t="shared" si="5"/>
        <v/>
      </c>
      <c r="P390" s="20"/>
      <c r="Q390" s="22"/>
      <c r="R390" s="22"/>
      <c r="S390" s="24" t="str">
        <f>IF($A390="","",_EngineTrades!V390)</f>
        <v/>
      </c>
      <c r="T390" t="str">
        <f>IF($A390="","",IFERROR(INDEX(Cycles!$R$9:$R$208,MATCH(_EngineTrades!AU390,_EngineCycles!$A$9:$A$208,0)),""))</f>
        <v/>
      </c>
      <c r="Y390" t="str">
        <f>IF(OR($A390="",$D390&lt;&gt;Overview!$P$2),"",COUNTIFS($D$9:$D$508,$D390,$A$9:$A$508,"&gt;"&amp;$A390)+COUNTIFS($D$9:$D$508,$D390,$A$9:$A$508,$A390)-COUNTIFS($D$9:$D390,$D390,$A$9:$A390,$A390)+1)</f>
        <v/>
      </c>
    </row>
    <row r="391" spans="1:25" ht="23.1" customHeight="1" x14ac:dyDescent="0.25">
      <c r="A391" s="13"/>
      <c r="B391" s="14"/>
      <c r="C391" s="14"/>
      <c r="D391" s="14"/>
      <c r="E391" s="14"/>
      <c r="F391" s="15"/>
      <c r="G391" s="16"/>
      <c r="H391" s="13"/>
      <c r="I391" s="16"/>
      <c r="J391" s="16"/>
      <c r="K391" s="17" t="str">
        <f>IF($A391="","",_EngineTrades!S391)</f>
        <v/>
      </c>
      <c r="L391" s="15"/>
      <c r="M391" s="16"/>
      <c r="N391" s="14"/>
      <c r="O391" s="18" t="str">
        <f t="shared" si="5"/>
        <v/>
      </c>
      <c r="P391" s="14"/>
      <c r="Q391" s="16"/>
      <c r="R391" s="16"/>
      <c r="S391" s="18" t="str">
        <f>IF($A391="","",_EngineTrades!V391)</f>
        <v/>
      </c>
      <c r="T391" t="str">
        <f>IF($A391="","",IFERROR(INDEX(Cycles!$R$9:$R$208,MATCH(_EngineTrades!AU391,_EngineCycles!$A$9:$A$208,0)),""))</f>
        <v/>
      </c>
      <c r="Y391" t="str">
        <f>IF(OR($A391="",$D391&lt;&gt;Overview!$P$2),"",COUNTIFS($D$9:$D$508,$D391,$A$9:$A$508,"&gt;"&amp;$A391)+COUNTIFS($D$9:$D$508,$D391,$A$9:$A$508,$A391)-COUNTIFS($D$9:$D391,$D391,$A$9:$A391,$A391)+1)</f>
        <v/>
      </c>
    </row>
    <row r="392" spans="1:25" ht="23.1" customHeight="1" x14ac:dyDescent="0.25">
      <c r="A392" s="19"/>
      <c r="B392" s="20"/>
      <c r="C392" s="20"/>
      <c r="D392" s="20"/>
      <c r="E392" s="20"/>
      <c r="F392" s="21"/>
      <c r="G392" s="22"/>
      <c r="H392" s="19"/>
      <c r="I392" s="22"/>
      <c r="J392" s="22"/>
      <c r="K392" s="23" t="str">
        <f>IF($A392="","",_EngineTrades!S392)</f>
        <v/>
      </c>
      <c r="L392" s="21"/>
      <c r="M392" s="22"/>
      <c r="N392" s="20"/>
      <c r="O392" s="24" t="str">
        <f t="shared" si="5"/>
        <v/>
      </c>
      <c r="P392" s="20"/>
      <c r="Q392" s="22"/>
      <c r="R392" s="22"/>
      <c r="S392" s="24" t="str">
        <f>IF($A392="","",_EngineTrades!V392)</f>
        <v/>
      </c>
      <c r="T392" t="str">
        <f>IF($A392="","",IFERROR(INDEX(Cycles!$R$9:$R$208,MATCH(_EngineTrades!AU392,_EngineCycles!$A$9:$A$208,0)),""))</f>
        <v/>
      </c>
      <c r="Y392" t="str">
        <f>IF(OR($A392="",$D392&lt;&gt;Overview!$P$2),"",COUNTIFS($D$9:$D$508,$D392,$A$9:$A$508,"&gt;"&amp;$A392)+COUNTIFS($D$9:$D$508,$D392,$A$9:$A$508,$A392)-COUNTIFS($D$9:$D392,$D392,$A$9:$A392,$A392)+1)</f>
        <v/>
      </c>
    </row>
    <row r="393" spans="1:25" ht="23.1" customHeight="1" x14ac:dyDescent="0.25">
      <c r="A393" s="13"/>
      <c r="B393" s="14"/>
      <c r="C393" s="14"/>
      <c r="D393" s="14"/>
      <c r="E393" s="14"/>
      <c r="F393" s="15"/>
      <c r="G393" s="16"/>
      <c r="H393" s="13"/>
      <c r="I393" s="16"/>
      <c r="J393" s="16"/>
      <c r="K393" s="17" t="str">
        <f>IF($A393="","",_EngineTrades!S393)</f>
        <v/>
      </c>
      <c r="L393" s="15"/>
      <c r="M393" s="16"/>
      <c r="N393" s="14"/>
      <c r="O393" s="18" t="str">
        <f t="shared" ref="O393:O456" si="6">IF(OR($A393="",$B393=""),"","E"&amp;TEXT(ROW()-8,"0000"))</f>
        <v/>
      </c>
      <c r="P393" s="14"/>
      <c r="Q393" s="16"/>
      <c r="R393" s="16"/>
      <c r="S393" s="18" t="str">
        <f>IF($A393="","",_EngineTrades!V393)</f>
        <v/>
      </c>
      <c r="T393" t="str">
        <f>IF($A393="","",IFERROR(INDEX(Cycles!$R$9:$R$208,MATCH(_EngineTrades!AU393,_EngineCycles!$A$9:$A$208,0)),""))</f>
        <v/>
      </c>
      <c r="Y393" t="str">
        <f>IF(OR($A393="",$D393&lt;&gt;Overview!$P$2),"",COUNTIFS($D$9:$D$508,$D393,$A$9:$A$508,"&gt;"&amp;$A393)+COUNTIFS($D$9:$D$508,$D393,$A$9:$A$508,$A393)-COUNTIFS($D$9:$D393,$D393,$A$9:$A393,$A393)+1)</f>
        <v/>
      </c>
    </row>
    <row r="394" spans="1:25" ht="23.1" customHeight="1" x14ac:dyDescent="0.25">
      <c r="A394" s="19"/>
      <c r="B394" s="20"/>
      <c r="C394" s="20"/>
      <c r="D394" s="20"/>
      <c r="E394" s="20"/>
      <c r="F394" s="21"/>
      <c r="G394" s="22"/>
      <c r="H394" s="19"/>
      <c r="I394" s="22"/>
      <c r="J394" s="22"/>
      <c r="K394" s="23" t="str">
        <f>IF($A394="","",_EngineTrades!S394)</f>
        <v/>
      </c>
      <c r="L394" s="21"/>
      <c r="M394" s="22"/>
      <c r="N394" s="20"/>
      <c r="O394" s="24" t="str">
        <f t="shared" si="6"/>
        <v/>
      </c>
      <c r="P394" s="20"/>
      <c r="Q394" s="22"/>
      <c r="R394" s="22"/>
      <c r="S394" s="24" t="str">
        <f>IF($A394="","",_EngineTrades!V394)</f>
        <v/>
      </c>
      <c r="T394" t="str">
        <f>IF($A394="","",IFERROR(INDEX(Cycles!$R$9:$R$208,MATCH(_EngineTrades!AU394,_EngineCycles!$A$9:$A$208,0)),""))</f>
        <v/>
      </c>
      <c r="Y394" t="str">
        <f>IF(OR($A394="",$D394&lt;&gt;Overview!$P$2),"",COUNTIFS($D$9:$D$508,$D394,$A$9:$A$508,"&gt;"&amp;$A394)+COUNTIFS($D$9:$D$508,$D394,$A$9:$A$508,$A394)-COUNTIFS($D$9:$D394,$D394,$A$9:$A394,$A394)+1)</f>
        <v/>
      </c>
    </row>
    <row r="395" spans="1:25" ht="23.1" customHeight="1" x14ac:dyDescent="0.25">
      <c r="A395" s="13"/>
      <c r="B395" s="14"/>
      <c r="C395" s="14"/>
      <c r="D395" s="14"/>
      <c r="E395" s="14"/>
      <c r="F395" s="15"/>
      <c r="G395" s="16"/>
      <c r="H395" s="13"/>
      <c r="I395" s="16"/>
      <c r="J395" s="16"/>
      <c r="K395" s="17" t="str">
        <f>IF($A395="","",_EngineTrades!S395)</f>
        <v/>
      </c>
      <c r="L395" s="15"/>
      <c r="M395" s="16"/>
      <c r="N395" s="14"/>
      <c r="O395" s="18" t="str">
        <f t="shared" si="6"/>
        <v/>
      </c>
      <c r="P395" s="14"/>
      <c r="Q395" s="16"/>
      <c r="R395" s="16"/>
      <c r="S395" s="18" t="str">
        <f>IF($A395="","",_EngineTrades!V395)</f>
        <v/>
      </c>
      <c r="T395" t="str">
        <f>IF($A395="","",IFERROR(INDEX(Cycles!$R$9:$R$208,MATCH(_EngineTrades!AU395,_EngineCycles!$A$9:$A$208,0)),""))</f>
        <v/>
      </c>
      <c r="Y395" t="str">
        <f>IF(OR($A395="",$D395&lt;&gt;Overview!$P$2),"",COUNTIFS($D$9:$D$508,$D395,$A$9:$A$508,"&gt;"&amp;$A395)+COUNTIFS($D$9:$D$508,$D395,$A$9:$A$508,$A395)-COUNTIFS($D$9:$D395,$D395,$A$9:$A395,$A395)+1)</f>
        <v/>
      </c>
    </row>
    <row r="396" spans="1:25" ht="23.1" customHeight="1" x14ac:dyDescent="0.25">
      <c r="A396" s="19"/>
      <c r="B396" s="20"/>
      <c r="C396" s="20"/>
      <c r="D396" s="20"/>
      <c r="E396" s="20"/>
      <c r="F396" s="21"/>
      <c r="G396" s="22"/>
      <c r="H396" s="19"/>
      <c r="I396" s="22"/>
      <c r="J396" s="22"/>
      <c r="K396" s="23" t="str">
        <f>IF($A396="","",_EngineTrades!S396)</f>
        <v/>
      </c>
      <c r="L396" s="21"/>
      <c r="M396" s="22"/>
      <c r="N396" s="20"/>
      <c r="O396" s="24" t="str">
        <f t="shared" si="6"/>
        <v/>
      </c>
      <c r="P396" s="20"/>
      <c r="Q396" s="22"/>
      <c r="R396" s="22"/>
      <c r="S396" s="24" t="str">
        <f>IF($A396="","",_EngineTrades!V396)</f>
        <v/>
      </c>
      <c r="T396" t="str">
        <f>IF($A396="","",IFERROR(INDEX(Cycles!$R$9:$R$208,MATCH(_EngineTrades!AU396,_EngineCycles!$A$9:$A$208,0)),""))</f>
        <v/>
      </c>
      <c r="Y396" t="str">
        <f>IF(OR($A396="",$D396&lt;&gt;Overview!$P$2),"",COUNTIFS($D$9:$D$508,$D396,$A$9:$A$508,"&gt;"&amp;$A396)+COUNTIFS($D$9:$D$508,$D396,$A$9:$A$508,$A396)-COUNTIFS($D$9:$D396,$D396,$A$9:$A396,$A396)+1)</f>
        <v/>
      </c>
    </row>
    <row r="397" spans="1:25" ht="23.1" customHeight="1" x14ac:dyDescent="0.25">
      <c r="A397" s="13"/>
      <c r="B397" s="14"/>
      <c r="C397" s="14"/>
      <c r="D397" s="14"/>
      <c r="E397" s="14"/>
      <c r="F397" s="15"/>
      <c r="G397" s="16"/>
      <c r="H397" s="13"/>
      <c r="I397" s="16"/>
      <c r="J397" s="16"/>
      <c r="K397" s="17" t="str">
        <f>IF($A397="","",_EngineTrades!S397)</f>
        <v/>
      </c>
      <c r="L397" s="15"/>
      <c r="M397" s="16"/>
      <c r="N397" s="14"/>
      <c r="O397" s="18" t="str">
        <f t="shared" si="6"/>
        <v/>
      </c>
      <c r="P397" s="14"/>
      <c r="Q397" s="16"/>
      <c r="R397" s="16"/>
      <c r="S397" s="18" t="str">
        <f>IF($A397="","",_EngineTrades!V397)</f>
        <v/>
      </c>
      <c r="T397" t="str">
        <f>IF($A397="","",IFERROR(INDEX(Cycles!$R$9:$R$208,MATCH(_EngineTrades!AU397,_EngineCycles!$A$9:$A$208,0)),""))</f>
        <v/>
      </c>
      <c r="Y397" t="str">
        <f>IF(OR($A397="",$D397&lt;&gt;Overview!$P$2),"",COUNTIFS($D$9:$D$508,$D397,$A$9:$A$508,"&gt;"&amp;$A397)+COUNTIFS($D$9:$D$508,$D397,$A$9:$A$508,$A397)-COUNTIFS($D$9:$D397,$D397,$A$9:$A397,$A397)+1)</f>
        <v/>
      </c>
    </row>
    <row r="398" spans="1:25" ht="23.1" customHeight="1" x14ac:dyDescent="0.25">
      <c r="A398" s="19"/>
      <c r="B398" s="20"/>
      <c r="C398" s="20"/>
      <c r="D398" s="20"/>
      <c r="E398" s="20"/>
      <c r="F398" s="21"/>
      <c r="G398" s="22"/>
      <c r="H398" s="19"/>
      <c r="I398" s="22"/>
      <c r="J398" s="22"/>
      <c r="K398" s="23" t="str">
        <f>IF($A398="","",_EngineTrades!S398)</f>
        <v/>
      </c>
      <c r="L398" s="21"/>
      <c r="M398" s="22"/>
      <c r="N398" s="20"/>
      <c r="O398" s="24" t="str">
        <f t="shared" si="6"/>
        <v/>
      </c>
      <c r="P398" s="20"/>
      <c r="Q398" s="22"/>
      <c r="R398" s="22"/>
      <c r="S398" s="24" t="str">
        <f>IF($A398="","",_EngineTrades!V398)</f>
        <v/>
      </c>
      <c r="T398" t="str">
        <f>IF($A398="","",IFERROR(INDEX(Cycles!$R$9:$R$208,MATCH(_EngineTrades!AU398,_EngineCycles!$A$9:$A$208,0)),""))</f>
        <v/>
      </c>
      <c r="Y398" t="str">
        <f>IF(OR($A398="",$D398&lt;&gt;Overview!$P$2),"",COUNTIFS($D$9:$D$508,$D398,$A$9:$A$508,"&gt;"&amp;$A398)+COUNTIFS($D$9:$D$508,$D398,$A$9:$A$508,$A398)-COUNTIFS($D$9:$D398,$D398,$A$9:$A398,$A398)+1)</f>
        <v/>
      </c>
    </row>
    <row r="399" spans="1:25" ht="23.1" customHeight="1" x14ac:dyDescent="0.25">
      <c r="A399" s="13"/>
      <c r="B399" s="14"/>
      <c r="C399" s="14"/>
      <c r="D399" s="14"/>
      <c r="E399" s="14"/>
      <c r="F399" s="15"/>
      <c r="G399" s="16"/>
      <c r="H399" s="13"/>
      <c r="I399" s="16"/>
      <c r="J399" s="16"/>
      <c r="K399" s="17" t="str">
        <f>IF($A399="","",_EngineTrades!S399)</f>
        <v/>
      </c>
      <c r="L399" s="15"/>
      <c r="M399" s="16"/>
      <c r="N399" s="14"/>
      <c r="O399" s="18" t="str">
        <f t="shared" si="6"/>
        <v/>
      </c>
      <c r="P399" s="14"/>
      <c r="Q399" s="16"/>
      <c r="R399" s="16"/>
      <c r="S399" s="18" t="str">
        <f>IF($A399="","",_EngineTrades!V399)</f>
        <v/>
      </c>
      <c r="T399" t="str">
        <f>IF($A399="","",IFERROR(INDEX(Cycles!$R$9:$R$208,MATCH(_EngineTrades!AU399,_EngineCycles!$A$9:$A$208,0)),""))</f>
        <v/>
      </c>
      <c r="Y399" t="str">
        <f>IF(OR($A399="",$D399&lt;&gt;Overview!$P$2),"",COUNTIFS($D$9:$D$508,$D399,$A$9:$A$508,"&gt;"&amp;$A399)+COUNTIFS($D$9:$D$508,$D399,$A$9:$A$508,$A399)-COUNTIFS($D$9:$D399,$D399,$A$9:$A399,$A399)+1)</f>
        <v/>
      </c>
    </row>
    <row r="400" spans="1:25" ht="23.1" customHeight="1" x14ac:dyDescent="0.25">
      <c r="A400" s="19"/>
      <c r="B400" s="20"/>
      <c r="C400" s="20"/>
      <c r="D400" s="20"/>
      <c r="E400" s="20"/>
      <c r="F400" s="21"/>
      <c r="G400" s="22"/>
      <c r="H400" s="19"/>
      <c r="I400" s="22"/>
      <c r="J400" s="22"/>
      <c r="K400" s="23" t="str">
        <f>IF($A400="","",_EngineTrades!S400)</f>
        <v/>
      </c>
      <c r="L400" s="21"/>
      <c r="M400" s="22"/>
      <c r="N400" s="20"/>
      <c r="O400" s="24" t="str">
        <f t="shared" si="6"/>
        <v/>
      </c>
      <c r="P400" s="20"/>
      <c r="Q400" s="22"/>
      <c r="R400" s="22"/>
      <c r="S400" s="24" t="str">
        <f>IF($A400="","",_EngineTrades!V400)</f>
        <v/>
      </c>
      <c r="T400" t="str">
        <f>IF($A400="","",IFERROR(INDEX(Cycles!$R$9:$R$208,MATCH(_EngineTrades!AU400,_EngineCycles!$A$9:$A$208,0)),""))</f>
        <v/>
      </c>
      <c r="Y400" t="str">
        <f>IF(OR($A400="",$D400&lt;&gt;Overview!$P$2),"",COUNTIFS($D$9:$D$508,$D400,$A$9:$A$508,"&gt;"&amp;$A400)+COUNTIFS($D$9:$D$508,$D400,$A$9:$A$508,$A400)-COUNTIFS($D$9:$D400,$D400,$A$9:$A400,$A400)+1)</f>
        <v/>
      </c>
    </row>
    <row r="401" spans="1:25" ht="23.1" customHeight="1" x14ac:dyDescent="0.25">
      <c r="A401" s="13"/>
      <c r="B401" s="14"/>
      <c r="C401" s="14"/>
      <c r="D401" s="14"/>
      <c r="E401" s="14"/>
      <c r="F401" s="15"/>
      <c r="G401" s="16"/>
      <c r="H401" s="13"/>
      <c r="I401" s="16"/>
      <c r="J401" s="16"/>
      <c r="K401" s="17" t="str">
        <f>IF($A401="","",_EngineTrades!S401)</f>
        <v/>
      </c>
      <c r="L401" s="15"/>
      <c r="M401" s="16"/>
      <c r="N401" s="14"/>
      <c r="O401" s="18" t="str">
        <f t="shared" si="6"/>
        <v/>
      </c>
      <c r="P401" s="14"/>
      <c r="Q401" s="16"/>
      <c r="R401" s="16"/>
      <c r="S401" s="18" t="str">
        <f>IF($A401="","",_EngineTrades!V401)</f>
        <v/>
      </c>
      <c r="T401" t="str">
        <f>IF($A401="","",IFERROR(INDEX(Cycles!$R$9:$R$208,MATCH(_EngineTrades!AU401,_EngineCycles!$A$9:$A$208,0)),""))</f>
        <v/>
      </c>
      <c r="Y401" t="str">
        <f>IF(OR($A401="",$D401&lt;&gt;Overview!$P$2),"",COUNTIFS($D$9:$D$508,$D401,$A$9:$A$508,"&gt;"&amp;$A401)+COUNTIFS($D$9:$D$508,$D401,$A$9:$A$508,$A401)-COUNTIFS($D$9:$D401,$D401,$A$9:$A401,$A401)+1)</f>
        <v/>
      </c>
    </row>
    <row r="402" spans="1:25" ht="23.1" customHeight="1" x14ac:dyDescent="0.25">
      <c r="A402" s="19"/>
      <c r="B402" s="20"/>
      <c r="C402" s="20"/>
      <c r="D402" s="20"/>
      <c r="E402" s="20"/>
      <c r="F402" s="21"/>
      <c r="G402" s="22"/>
      <c r="H402" s="19"/>
      <c r="I402" s="22"/>
      <c r="J402" s="22"/>
      <c r="K402" s="23" t="str">
        <f>IF($A402="","",_EngineTrades!S402)</f>
        <v/>
      </c>
      <c r="L402" s="21"/>
      <c r="M402" s="22"/>
      <c r="N402" s="20"/>
      <c r="O402" s="24" t="str">
        <f t="shared" si="6"/>
        <v/>
      </c>
      <c r="P402" s="20"/>
      <c r="Q402" s="22"/>
      <c r="R402" s="22"/>
      <c r="S402" s="24" t="str">
        <f>IF($A402="","",_EngineTrades!V402)</f>
        <v/>
      </c>
      <c r="T402" t="str">
        <f>IF($A402="","",IFERROR(INDEX(Cycles!$R$9:$R$208,MATCH(_EngineTrades!AU402,_EngineCycles!$A$9:$A$208,0)),""))</f>
        <v/>
      </c>
      <c r="Y402" t="str">
        <f>IF(OR($A402="",$D402&lt;&gt;Overview!$P$2),"",COUNTIFS($D$9:$D$508,$D402,$A$9:$A$508,"&gt;"&amp;$A402)+COUNTIFS($D$9:$D$508,$D402,$A$9:$A$508,$A402)-COUNTIFS($D$9:$D402,$D402,$A$9:$A402,$A402)+1)</f>
        <v/>
      </c>
    </row>
    <row r="403" spans="1:25" ht="23.1" customHeight="1" x14ac:dyDescent="0.25">
      <c r="A403" s="13"/>
      <c r="B403" s="14"/>
      <c r="C403" s="14"/>
      <c r="D403" s="14"/>
      <c r="E403" s="14"/>
      <c r="F403" s="15"/>
      <c r="G403" s="16"/>
      <c r="H403" s="13"/>
      <c r="I403" s="16"/>
      <c r="J403" s="16"/>
      <c r="K403" s="17" t="str">
        <f>IF($A403="","",_EngineTrades!S403)</f>
        <v/>
      </c>
      <c r="L403" s="15"/>
      <c r="M403" s="16"/>
      <c r="N403" s="14"/>
      <c r="O403" s="18" t="str">
        <f t="shared" si="6"/>
        <v/>
      </c>
      <c r="P403" s="14"/>
      <c r="Q403" s="16"/>
      <c r="R403" s="16"/>
      <c r="S403" s="18" t="str">
        <f>IF($A403="","",_EngineTrades!V403)</f>
        <v/>
      </c>
      <c r="T403" t="str">
        <f>IF($A403="","",IFERROR(INDEX(Cycles!$R$9:$R$208,MATCH(_EngineTrades!AU403,_EngineCycles!$A$9:$A$208,0)),""))</f>
        <v/>
      </c>
      <c r="Y403" t="str">
        <f>IF(OR($A403="",$D403&lt;&gt;Overview!$P$2),"",COUNTIFS($D$9:$D$508,$D403,$A$9:$A$508,"&gt;"&amp;$A403)+COUNTIFS($D$9:$D$508,$D403,$A$9:$A$508,$A403)-COUNTIFS($D$9:$D403,$D403,$A$9:$A403,$A403)+1)</f>
        <v/>
      </c>
    </row>
    <row r="404" spans="1:25" ht="23.1" customHeight="1" x14ac:dyDescent="0.25">
      <c r="A404" s="19"/>
      <c r="B404" s="20"/>
      <c r="C404" s="20"/>
      <c r="D404" s="20"/>
      <c r="E404" s="20"/>
      <c r="F404" s="21"/>
      <c r="G404" s="22"/>
      <c r="H404" s="19"/>
      <c r="I404" s="22"/>
      <c r="J404" s="22"/>
      <c r="K404" s="23" t="str">
        <f>IF($A404="","",_EngineTrades!S404)</f>
        <v/>
      </c>
      <c r="L404" s="21"/>
      <c r="M404" s="22"/>
      <c r="N404" s="20"/>
      <c r="O404" s="24" t="str">
        <f t="shared" si="6"/>
        <v/>
      </c>
      <c r="P404" s="20"/>
      <c r="Q404" s="22"/>
      <c r="R404" s="22"/>
      <c r="S404" s="24" t="str">
        <f>IF($A404="","",_EngineTrades!V404)</f>
        <v/>
      </c>
      <c r="T404" t="str">
        <f>IF($A404="","",IFERROR(INDEX(Cycles!$R$9:$R$208,MATCH(_EngineTrades!AU404,_EngineCycles!$A$9:$A$208,0)),""))</f>
        <v/>
      </c>
      <c r="Y404" t="str">
        <f>IF(OR($A404="",$D404&lt;&gt;Overview!$P$2),"",COUNTIFS($D$9:$D$508,$D404,$A$9:$A$508,"&gt;"&amp;$A404)+COUNTIFS($D$9:$D$508,$D404,$A$9:$A$508,$A404)-COUNTIFS($D$9:$D404,$D404,$A$9:$A404,$A404)+1)</f>
        <v/>
      </c>
    </row>
    <row r="405" spans="1:25" ht="23.1" customHeight="1" x14ac:dyDescent="0.25">
      <c r="A405" s="13"/>
      <c r="B405" s="14"/>
      <c r="C405" s="14"/>
      <c r="D405" s="14"/>
      <c r="E405" s="14"/>
      <c r="F405" s="15"/>
      <c r="G405" s="16"/>
      <c r="H405" s="13"/>
      <c r="I405" s="16"/>
      <c r="J405" s="16"/>
      <c r="K405" s="17" t="str">
        <f>IF($A405="","",_EngineTrades!S405)</f>
        <v/>
      </c>
      <c r="L405" s="15"/>
      <c r="M405" s="16"/>
      <c r="N405" s="14"/>
      <c r="O405" s="18" t="str">
        <f t="shared" si="6"/>
        <v/>
      </c>
      <c r="P405" s="14"/>
      <c r="Q405" s="16"/>
      <c r="R405" s="16"/>
      <c r="S405" s="18" t="str">
        <f>IF($A405="","",_EngineTrades!V405)</f>
        <v/>
      </c>
      <c r="T405" t="str">
        <f>IF($A405="","",IFERROR(INDEX(Cycles!$R$9:$R$208,MATCH(_EngineTrades!AU405,_EngineCycles!$A$9:$A$208,0)),""))</f>
        <v/>
      </c>
      <c r="Y405" t="str">
        <f>IF(OR($A405="",$D405&lt;&gt;Overview!$P$2),"",COUNTIFS($D$9:$D$508,$D405,$A$9:$A$508,"&gt;"&amp;$A405)+COUNTIFS($D$9:$D$508,$D405,$A$9:$A$508,$A405)-COUNTIFS($D$9:$D405,$D405,$A$9:$A405,$A405)+1)</f>
        <v/>
      </c>
    </row>
    <row r="406" spans="1:25" ht="23.1" customHeight="1" x14ac:dyDescent="0.25">
      <c r="A406" s="19"/>
      <c r="B406" s="20"/>
      <c r="C406" s="20"/>
      <c r="D406" s="20"/>
      <c r="E406" s="20"/>
      <c r="F406" s="21"/>
      <c r="G406" s="22"/>
      <c r="H406" s="19"/>
      <c r="I406" s="22"/>
      <c r="J406" s="22"/>
      <c r="K406" s="23" t="str">
        <f>IF($A406="","",_EngineTrades!S406)</f>
        <v/>
      </c>
      <c r="L406" s="21"/>
      <c r="M406" s="22"/>
      <c r="N406" s="20"/>
      <c r="O406" s="24" t="str">
        <f t="shared" si="6"/>
        <v/>
      </c>
      <c r="P406" s="20"/>
      <c r="Q406" s="22"/>
      <c r="R406" s="22"/>
      <c r="S406" s="24" t="str">
        <f>IF($A406="","",_EngineTrades!V406)</f>
        <v/>
      </c>
      <c r="T406" t="str">
        <f>IF($A406="","",IFERROR(INDEX(Cycles!$R$9:$R$208,MATCH(_EngineTrades!AU406,_EngineCycles!$A$9:$A$208,0)),""))</f>
        <v/>
      </c>
      <c r="Y406" t="str">
        <f>IF(OR($A406="",$D406&lt;&gt;Overview!$P$2),"",COUNTIFS($D$9:$D$508,$D406,$A$9:$A$508,"&gt;"&amp;$A406)+COUNTIFS($D$9:$D$508,$D406,$A$9:$A$508,$A406)-COUNTIFS($D$9:$D406,$D406,$A$9:$A406,$A406)+1)</f>
        <v/>
      </c>
    </row>
    <row r="407" spans="1:25" ht="23.1" customHeight="1" x14ac:dyDescent="0.25">
      <c r="A407" s="13"/>
      <c r="B407" s="14"/>
      <c r="C407" s="14"/>
      <c r="D407" s="14"/>
      <c r="E407" s="14"/>
      <c r="F407" s="15"/>
      <c r="G407" s="16"/>
      <c r="H407" s="13"/>
      <c r="I407" s="16"/>
      <c r="J407" s="16"/>
      <c r="K407" s="17" t="str">
        <f>IF($A407="","",_EngineTrades!S407)</f>
        <v/>
      </c>
      <c r="L407" s="15"/>
      <c r="M407" s="16"/>
      <c r="N407" s="14"/>
      <c r="O407" s="18" t="str">
        <f t="shared" si="6"/>
        <v/>
      </c>
      <c r="P407" s="14"/>
      <c r="Q407" s="16"/>
      <c r="R407" s="16"/>
      <c r="S407" s="18" t="str">
        <f>IF($A407="","",_EngineTrades!V407)</f>
        <v/>
      </c>
      <c r="T407" t="str">
        <f>IF($A407="","",IFERROR(INDEX(Cycles!$R$9:$R$208,MATCH(_EngineTrades!AU407,_EngineCycles!$A$9:$A$208,0)),""))</f>
        <v/>
      </c>
      <c r="Y407" t="str">
        <f>IF(OR($A407="",$D407&lt;&gt;Overview!$P$2),"",COUNTIFS($D$9:$D$508,$D407,$A$9:$A$508,"&gt;"&amp;$A407)+COUNTIFS($D$9:$D$508,$D407,$A$9:$A$508,$A407)-COUNTIFS($D$9:$D407,$D407,$A$9:$A407,$A407)+1)</f>
        <v/>
      </c>
    </row>
    <row r="408" spans="1:25" ht="23.1" customHeight="1" x14ac:dyDescent="0.25">
      <c r="A408" s="19"/>
      <c r="B408" s="20"/>
      <c r="C408" s="20"/>
      <c r="D408" s="20"/>
      <c r="E408" s="20"/>
      <c r="F408" s="21"/>
      <c r="G408" s="22"/>
      <c r="H408" s="19"/>
      <c r="I408" s="22"/>
      <c r="J408" s="22"/>
      <c r="K408" s="23" t="str">
        <f>IF($A408="","",_EngineTrades!S408)</f>
        <v/>
      </c>
      <c r="L408" s="21"/>
      <c r="M408" s="22"/>
      <c r="N408" s="20"/>
      <c r="O408" s="24" t="str">
        <f t="shared" si="6"/>
        <v/>
      </c>
      <c r="P408" s="20"/>
      <c r="Q408" s="22"/>
      <c r="R408" s="22"/>
      <c r="S408" s="24" t="str">
        <f>IF($A408="","",_EngineTrades!V408)</f>
        <v/>
      </c>
      <c r="T408" t="str">
        <f>IF($A408="","",IFERROR(INDEX(Cycles!$R$9:$R$208,MATCH(_EngineTrades!AU408,_EngineCycles!$A$9:$A$208,0)),""))</f>
        <v/>
      </c>
      <c r="Y408" t="str">
        <f>IF(OR($A408="",$D408&lt;&gt;Overview!$P$2),"",COUNTIFS($D$9:$D$508,$D408,$A$9:$A$508,"&gt;"&amp;$A408)+COUNTIFS($D$9:$D$508,$D408,$A$9:$A$508,$A408)-COUNTIFS($D$9:$D408,$D408,$A$9:$A408,$A408)+1)</f>
        <v/>
      </c>
    </row>
    <row r="409" spans="1:25" ht="23.1" customHeight="1" x14ac:dyDescent="0.25">
      <c r="A409" s="13"/>
      <c r="B409" s="14"/>
      <c r="C409" s="14"/>
      <c r="D409" s="14"/>
      <c r="E409" s="14"/>
      <c r="F409" s="15"/>
      <c r="G409" s="16"/>
      <c r="H409" s="13"/>
      <c r="I409" s="16"/>
      <c r="J409" s="16"/>
      <c r="K409" s="17" t="str">
        <f>IF($A409="","",_EngineTrades!S409)</f>
        <v/>
      </c>
      <c r="L409" s="15"/>
      <c r="M409" s="16"/>
      <c r="N409" s="14"/>
      <c r="O409" s="18" t="str">
        <f t="shared" si="6"/>
        <v/>
      </c>
      <c r="P409" s="14"/>
      <c r="Q409" s="16"/>
      <c r="R409" s="16"/>
      <c r="S409" s="18" t="str">
        <f>IF($A409="","",_EngineTrades!V409)</f>
        <v/>
      </c>
      <c r="T409" t="str">
        <f>IF($A409="","",IFERROR(INDEX(Cycles!$R$9:$R$208,MATCH(_EngineTrades!AU409,_EngineCycles!$A$9:$A$208,0)),""))</f>
        <v/>
      </c>
      <c r="Y409" t="str">
        <f>IF(OR($A409="",$D409&lt;&gt;Overview!$P$2),"",COUNTIFS($D$9:$D$508,$D409,$A$9:$A$508,"&gt;"&amp;$A409)+COUNTIFS($D$9:$D$508,$D409,$A$9:$A$508,$A409)-COUNTIFS($D$9:$D409,$D409,$A$9:$A409,$A409)+1)</f>
        <v/>
      </c>
    </row>
    <row r="410" spans="1:25" ht="23.1" customHeight="1" x14ac:dyDescent="0.25">
      <c r="A410" s="19"/>
      <c r="B410" s="20"/>
      <c r="C410" s="20"/>
      <c r="D410" s="20"/>
      <c r="E410" s="20"/>
      <c r="F410" s="21"/>
      <c r="G410" s="22"/>
      <c r="H410" s="19"/>
      <c r="I410" s="22"/>
      <c r="J410" s="22"/>
      <c r="K410" s="23" t="str">
        <f>IF($A410="","",_EngineTrades!S410)</f>
        <v/>
      </c>
      <c r="L410" s="21"/>
      <c r="M410" s="22"/>
      <c r="N410" s="20"/>
      <c r="O410" s="24" t="str">
        <f t="shared" si="6"/>
        <v/>
      </c>
      <c r="P410" s="20"/>
      <c r="Q410" s="22"/>
      <c r="R410" s="22"/>
      <c r="S410" s="24" t="str">
        <f>IF($A410="","",_EngineTrades!V410)</f>
        <v/>
      </c>
      <c r="T410" t="str">
        <f>IF($A410="","",IFERROR(INDEX(Cycles!$R$9:$R$208,MATCH(_EngineTrades!AU410,_EngineCycles!$A$9:$A$208,0)),""))</f>
        <v/>
      </c>
      <c r="Y410" t="str">
        <f>IF(OR($A410="",$D410&lt;&gt;Overview!$P$2),"",COUNTIFS($D$9:$D$508,$D410,$A$9:$A$508,"&gt;"&amp;$A410)+COUNTIFS($D$9:$D$508,$D410,$A$9:$A$508,$A410)-COUNTIFS($D$9:$D410,$D410,$A$9:$A410,$A410)+1)</f>
        <v/>
      </c>
    </row>
    <row r="411" spans="1:25" ht="23.1" customHeight="1" x14ac:dyDescent="0.25">
      <c r="A411" s="13"/>
      <c r="B411" s="14"/>
      <c r="C411" s="14"/>
      <c r="D411" s="14"/>
      <c r="E411" s="14"/>
      <c r="F411" s="15"/>
      <c r="G411" s="16"/>
      <c r="H411" s="13"/>
      <c r="I411" s="16"/>
      <c r="J411" s="16"/>
      <c r="K411" s="17" t="str">
        <f>IF($A411="","",_EngineTrades!S411)</f>
        <v/>
      </c>
      <c r="L411" s="15"/>
      <c r="M411" s="16"/>
      <c r="N411" s="14"/>
      <c r="O411" s="18" t="str">
        <f t="shared" si="6"/>
        <v/>
      </c>
      <c r="P411" s="14"/>
      <c r="Q411" s="16"/>
      <c r="R411" s="16"/>
      <c r="S411" s="18" t="str">
        <f>IF($A411="","",_EngineTrades!V411)</f>
        <v/>
      </c>
      <c r="T411" t="str">
        <f>IF($A411="","",IFERROR(INDEX(Cycles!$R$9:$R$208,MATCH(_EngineTrades!AU411,_EngineCycles!$A$9:$A$208,0)),""))</f>
        <v/>
      </c>
      <c r="Y411" t="str">
        <f>IF(OR($A411="",$D411&lt;&gt;Overview!$P$2),"",COUNTIFS($D$9:$D$508,$D411,$A$9:$A$508,"&gt;"&amp;$A411)+COUNTIFS($D$9:$D$508,$D411,$A$9:$A$508,$A411)-COUNTIFS($D$9:$D411,$D411,$A$9:$A411,$A411)+1)</f>
        <v/>
      </c>
    </row>
    <row r="412" spans="1:25" ht="23.1" customHeight="1" x14ac:dyDescent="0.25">
      <c r="A412" s="19"/>
      <c r="B412" s="20"/>
      <c r="C412" s="20"/>
      <c r="D412" s="20"/>
      <c r="E412" s="20"/>
      <c r="F412" s="21"/>
      <c r="G412" s="22"/>
      <c r="H412" s="19"/>
      <c r="I412" s="22"/>
      <c r="J412" s="22"/>
      <c r="K412" s="23" t="str">
        <f>IF($A412="","",_EngineTrades!S412)</f>
        <v/>
      </c>
      <c r="L412" s="21"/>
      <c r="M412" s="22"/>
      <c r="N412" s="20"/>
      <c r="O412" s="24" t="str">
        <f t="shared" si="6"/>
        <v/>
      </c>
      <c r="P412" s="20"/>
      <c r="Q412" s="22"/>
      <c r="R412" s="22"/>
      <c r="S412" s="24" t="str">
        <f>IF($A412="","",_EngineTrades!V412)</f>
        <v/>
      </c>
      <c r="T412" t="str">
        <f>IF($A412="","",IFERROR(INDEX(Cycles!$R$9:$R$208,MATCH(_EngineTrades!AU412,_EngineCycles!$A$9:$A$208,0)),""))</f>
        <v/>
      </c>
      <c r="Y412" t="str">
        <f>IF(OR($A412="",$D412&lt;&gt;Overview!$P$2),"",COUNTIFS($D$9:$D$508,$D412,$A$9:$A$508,"&gt;"&amp;$A412)+COUNTIFS($D$9:$D$508,$D412,$A$9:$A$508,$A412)-COUNTIFS($D$9:$D412,$D412,$A$9:$A412,$A412)+1)</f>
        <v/>
      </c>
    </row>
    <row r="413" spans="1:25" ht="23.1" customHeight="1" x14ac:dyDescent="0.25">
      <c r="A413" s="13"/>
      <c r="B413" s="14"/>
      <c r="C413" s="14"/>
      <c r="D413" s="14"/>
      <c r="E413" s="14"/>
      <c r="F413" s="15"/>
      <c r="G413" s="16"/>
      <c r="H413" s="13"/>
      <c r="I413" s="16"/>
      <c r="J413" s="16"/>
      <c r="K413" s="17" t="str">
        <f>IF($A413="","",_EngineTrades!S413)</f>
        <v/>
      </c>
      <c r="L413" s="15"/>
      <c r="M413" s="16"/>
      <c r="N413" s="14"/>
      <c r="O413" s="18" t="str">
        <f t="shared" si="6"/>
        <v/>
      </c>
      <c r="P413" s="14"/>
      <c r="Q413" s="16"/>
      <c r="R413" s="16"/>
      <c r="S413" s="18" t="str">
        <f>IF($A413="","",_EngineTrades!V413)</f>
        <v/>
      </c>
      <c r="T413" t="str">
        <f>IF($A413="","",IFERROR(INDEX(Cycles!$R$9:$R$208,MATCH(_EngineTrades!AU413,_EngineCycles!$A$9:$A$208,0)),""))</f>
        <v/>
      </c>
      <c r="Y413" t="str">
        <f>IF(OR($A413="",$D413&lt;&gt;Overview!$P$2),"",COUNTIFS($D$9:$D$508,$D413,$A$9:$A$508,"&gt;"&amp;$A413)+COUNTIFS($D$9:$D$508,$D413,$A$9:$A$508,$A413)-COUNTIFS($D$9:$D413,$D413,$A$9:$A413,$A413)+1)</f>
        <v/>
      </c>
    </row>
    <row r="414" spans="1:25" ht="23.1" customHeight="1" x14ac:dyDescent="0.25">
      <c r="A414" s="19"/>
      <c r="B414" s="20"/>
      <c r="C414" s="20"/>
      <c r="D414" s="20"/>
      <c r="E414" s="20"/>
      <c r="F414" s="21"/>
      <c r="G414" s="22"/>
      <c r="H414" s="19"/>
      <c r="I414" s="22"/>
      <c r="J414" s="22"/>
      <c r="K414" s="23" t="str">
        <f>IF($A414="","",_EngineTrades!S414)</f>
        <v/>
      </c>
      <c r="L414" s="21"/>
      <c r="M414" s="22"/>
      <c r="N414" s="20"/>
      <c r="O414" s="24" t="str">
        <f t="shared" si="6"/>
        <v/>
      </c>
      <c r="P414" s="20"/>
      <c r="Q414" s="22"/>
      <c r="R414" s="22"/>
      <c r="S414" s="24" t="str">
        <f>IF($A414="","",_EngineTrades!V414)</f>
        <v/>
      </c>
      <c r="T414" t="str">
        <f>IF($A414="","",IFERROR(INDEX(Cycles!$R$9:$R$208,MATCH(_EngineTrades!AU414,_EngineCycles!$A$9:$A$208,0)),""))</f>
        <v/>
      </c>
      <c r="Y414" t="str">
        <f>IF(OR($A414="",$D414&lt;&gt;Overview!$P$2),"",COUNTIFS($D$9:$D$508,$D414,$A$9:$A$508,"&gt;"&amp;$A414)+COUNTIFS($D$9:$D$508,$D414,$A$9:$A$508,$A414)-COUNTIFS($D$9:$D414,$D414,$A$9:$A414,$A414)+1)</f>
        <v/>
      </c>
    </row>
    <row r="415" spans="1:25" ht="23.1" customHeight="1" x14ac:dyDescent="0.25">
      <c r="A415" s="13"/>
      <c r="B415" s="14"/>
      <c r="C415" s="14"/>
      <c r="D415" s="14"/>
      <c r="E415" s="14"/>
      <c r="F415" s="15"/>
      <c r="G415" s="16"/>
      <c r="H415" s="13"/>
      <c r="I415" s="16"/>
      <c r="J415" s="16"/>
      <c r="K415" s="17" t="str">
        <f>IF($A415="","",_EngineTrades!S415)</f>
        <v/>
      </c>
      <c r="L415" s="15"/>
      <c r="M415" s="16"/>
      <c r="N415" s="14"/>
      <c r="O415" s="18" t="str">
        <f t="shared" si="6"/>
        <v/>
      </c>
      <c r="P415" s="14"/>
      <c r="Q415" s="16"/>
      <c r="R415" s="16"/>
      <c r="S415" s="18" t="str">
        <f>IF($A415="","",_EngineTrades!V415)</f>
        <v/>
      </c>
      <c r="T415" t="str">
        <f>IF($A415="","",IFERROR(INDEX(Cycles!$R$9:$R$208,MATCH(_EngineTrades!AU415,_EngineCycles!$A$9:$A$208,0)),""))</f>
        <v/>
      </c>
      <c r="Y415" t="str">
        <f>IF(OR($A415="",$D415&lt;&gt;Overview!$P$2),"",COUNTIFS($D$9:$D$508,$D415,$A$9:$A$508,"&gt;"&amp;$A415)+COUNTIFS($D$9:$D$508,$D415,$A$9:$A$508,$A415)-COUNTIFS($D$9:$D415,$D415,$A$9:$A415,$A415)+1)</f>
        <v/>
      </c>
    </row>
    <row r="416" spans="1:25" ht="23.1" customHeight="1" x14ac:dyDescent="0.25">
      <c r="A416" s="19"/>
      <c r="B416" s="20"/>
      <c r="C416" s="20"/>
      <c r="D416" s="20"/>
      <c r="E416" s="20"/>
      <c r="F416" s="21"/>
      <c r="G416" s="22"/>
      <c r="H416" s="19"/>
      <c r="I416" s="22"/>
      <c r="J416" s="22"/>
      <c r="K416" s="23" t="str">
        <f>IF($A416="","",_EngineTrades!S416)</f>
        <v/>
      </c>
      <c r="L416" s="21"/>
      <c r="M416" s="22"/>
      <c r="N416" s="20"/>
      <c r="O416" s="24" t="str">
        <f t="shared" si="6"/>
        <v/>
      </c>
      <c r="P416" s="20"/>
      <c r="Q416" s="22"/>
      <c r="R416" s="22"/>
      <c r="S416" s="24" t="str">
        <f>IF($A416="","",_EngineTrades!V416)</f>
        <v/>
      </c>
      <c r="T416" t="str">
        <f>IF($A416="","",IFERROR(INDEX(Cycles!$R$9:$R$208,MATCH(_EngineTrades!AU416,_EngineCycles!$A$9:$A$208,0)),""))</f>
        <v/>
      </c>
      <c r="Y416" t="str">
        <f>IF(OR($A416="",$D416&lt;&gt;Overview!$P$2),"",COUNTIFS($D$9:$D$508,$D416,$A$9:$A$508,"&gt;"&amp;$A416)+COUNTIFS($D$9:$D$508,$D416,$A$9:$A$508,$A416)-COUNTIFS($D$9:$D416,$D416,$A$9:$A416,$A416)+1)</f>
        <v/>
      </c>
    </row>
    <row r="417" spans="1:25" ht="23.1" customHeight="1" x14ac:dyDescent="0.25">
      <c r="A417" s="13"/>
      <c r="B417" s="14"/>
      <c r="C417" s="14"/>
      <c r="D417" s="14"/>
      <c r="E417" s="14"/>
      <c r="F417" s="15"/>
      <c r="G417" s="16"/>
      <c r="H417" s="13"/>
      <c r="I417" s="16"/>
      <c r="J417" s="16"/>
      <c r="K417" s="17" t="str">
        <f>IF($A417="","",_EngineTrades!S417)</f>
        <v/>
      </c>
      <c r="L417" s="15"/>
      <c r="M417" s="16"/>
      <c r="N417" s="14"/>
      <c r="O417" s="18" t="str">
        <f t="shared" si="6"/>
        <v/>
      </c>
      <c r="P417" s="14"/>
      <c r="Q417" s="16"/>
      <c r="R417" s="16"/>
      <c r="S417" s="18" t="str">
        <f>IF($A417="","",_EngineTrades!V417)</f>
        <v/>
      </c>
      <c r="T417" t="str">
        <f>IF($A417="","",IFERROR(INDEX(Cycles!$R$9:$R$208,MATCH(_EngineTrades!AU417,_EngineCycles!$A$9:$A$208,0)),""))</f>
        <v/>
      </c>
      <c r="Y417" t="str">
        <f>IF(OR($A417="",$D417&lt;&gt;Overview!$P$2),"",COUNTIFS($D$9:$D$508,$D417,$A$9:$A$508,"&gt;"&amp;$A417)+COUNTIFS($D$9:$D$508,$D417,$A$9:$A$508,$A417)-COUNTIFS($D$9:$D417,$D417,$A$9:$A417,$A417)+1)</f>
        <v/>
      </c>
    </row>
    <row r="418" spans="1:25" ht="23.1" customHeight="1" x14ac:dyDescent="0.25">
      <c r="A418" s="19"/>
      <c r="B418" s="20"/>
      <c r="C418" s="20"/>
      <c r="D418" s="20"/>
      <c r="E418" s="20"/>
      <c r="F418" s="21"/>
      <c r="G418" s="22"/>
      <c r="H418" s="19"/>
      <c r="I418" s="22"/>
      <c r="J418" s="22"/>
      <c r="K418" s="23" t="str">
        <f>IF($A418="","",_EngineTrades!S418)</f>
        <v/>
      </c>
      <c r="L418" s="21"/>
      <c r="M418" s="22"/>
      <c r="N418" s="20"/>
      <c r="O418" s="24" t="str">
        <f t="shared" si="6"/>
        <v/>
      </c>
      <c r="P418" s="20"/>
      <c r="Q418" s="22"/>
      <c r="R418" s="22"/>
      <c r="S418" s="24" t="str">
        <f>IF($A418="","",_EngineTrades!V418)</f>
        <v/>
      </c>
      <c r="T418" t="str">
        <f>IF($A418="","",IFERROR(INDEX(Cycles!$R$9:$R$208,MATCH(_EngineTrades!AU418,_EngineCycles!$A$9:$A$208,0)),""))</f>
        <v/>
      </c>
      <c r="Y418" t="str">
        <f>IF(OR($A418="",$D418&lt;&gt;Overview!$P$2),"",COUNTIFS($D$9:$D$508,$D418,$A$9:$A$508,"&gt;"&amp;$A418)+COUNTIFS($D$9:$D$508,$D418,$A$9:$A$508,$A418)-COUNTIFS($D$9:$D418,$D418,$A$9:$A418,$A418)+1)</f>
        <v/>
      </c>
    </row>
    <row r="419" spans="1:25" ht="23.1" customHeight="1" x14ac:dyDescent="0.25">
      <c r="A419" s="13"/>
      <c r="B419" s="14"/>
      <c r="C419" s="14"/>
      <c r="D419" s="14"/>
      <c r="E419" s="14"/>
      <c r="F419" s="15"/>
      <c r="G419" s="16"/>
      <c r="H419" s="13"/>
      <c r="I419" s="16"/>
      <c r="J419" s="16"/>
      <c r="K419" s="17" t="str">
        <f>IF($A419="","",_EngineTrades!S419)</f>
        <v/>
      </c>
      <c r="L419" s="15"/>
      <c r="M419" s="16"/>
      <c r="N419" s="14"/>
      <c r="O419" s="18" t="str">
        <f t="shared" si="6"/>
        <v/>
      </c>
      <c r="P419" s="14"/>
      <c r="Q419" s="16"/>
      <c r="R419" s="16"/>
      <c r="S419" s="18" t="str">
        <f>IF($A419="","",_EngineTrades!V419)</f>
        <v/>
      </c>
      <c r="T419" t="str">
        <f>IF($A419="","",IFERROR(INDEX(Cycles!$R$9:$R$208,MATCH(_EngineTrades!AU419,_EngineCycles!$A$9:$A$208,0)),""))</f>
        <v/>
      </c>
      <c r="Y419" t="str">
        <f>IF(OR($A419="",$D419&lt;&gt;Overview!$P$2),"",COUNTIFS($D$9:$D$508,$D419,$A$9:$A$508,"&gt;"&amp;$A419)+COUNTIFS($D$9:$D$508,$D419,$A$9:$A$508,$A419)-COUNTIFS($D$9:$D419,$D419,$A$9:$A419,$A419)+1)</f>
        <v/>
      </c>
    </row>
    <row r="420" spans="1:25" ht="23.1" customHeight="1" x14ac:dyDescent="0.25">
      <c r="A420" s="19"/>
      <c r="B420" s="20"/>
      <c r="C420" s="20"/>
      <c r="D420" s="20"/>
      <c r="E420" s="20"/>
      <c r="F420" s="21"/>
      <c r="G420" s="22"/>
      <c r="H420" s="19"/>
      <c r="I420" s="22"/>
      <c r="J420" s="22"/>
      <c r="K420" s="23" t="str">
        <f>IF($A420="","",_EngineTrades!S420)</f>
        <v/>
      </c>
      <c r="L420" s="21"/>
      <c r="M420" s="22"/>
      <c r="N420" s="20"/>
      <c r="O420" s="24" t="str">
        <f t="shared" si="6"/>
        <v/>
      </c>
      <c r="P420" s="20"/>
      <c r="Q420" s="22"/>
      <c r="R420" s="22"/>
      <c r="S420" s="24" t="str">
        <f>IF($A420="","",_EngineTrades!V420)</f>
        <v/>
      </c>
      <c r="T420" t="str">
        <f>IF($A420="","",IFERROR(INDEX(Cycles!$R$9:$R$208,MATCH(_EngineTrades!AU420,_EngineCycles!$A$9:$A$208,0)),""))</f>
        <v/>
      </c>
      <c r="Y420" t="str">
        <f>IF(OR($A420="",$D420&lt;&gt;Overview!$P$2),"",COUNTIFS($D$9:$D$508,$D420,$A$9:$A$508,"&gt;"&amp;$A420)+COUNTIFS($D$9:$D$508,$D420,$A$9:$A$508,$A420)-COUNTIFS($D$9:$D420,$D420,$A$9:$A420,$A420)+1)</f>
        <v/>
      </c>
    </row>
    <row r="421" spans="1:25" ht="23.1" customHeight="1" x14ac:dyDescent="0.25">
      <c r="A421" s="13"/>
      <c r="B421" s="14"/>
      <c r="C421" s="14"/>
      <c r="D421" s="14"/>
      <c r="E421" s="14"/>
      <c r="F421" s="15"/>
      <c r="G421" s="16"/>
      <c r="H421" s="13"/>
      <c r="I421" s="16"/>
      <c r="J421" s="16"/>
      <c r="K421" s="17" t="str">
        <f>IF($A421="","",_EngineTrades!S421)</f>
        <v/>
      </c>
      <c r="L421" s="15"/>
      <c r="M421" s="16"/>
      <c r="N421" s="14"/>
      <c r="O421" s="18" t="str">
        <f t="shared" si="6"/>
        <v/>
      </c>
      <c r="P421" s="14"/>
      <c r="Q421" s="16"/>
      <c r="R421" s="16"/>
      <c r="S421" s="18" t="str">
        <f>IF($A421="","",_EngineTrades!V421)</f>
        <v/>
      </c>
      <c r="T421" t="str">
        <f>IF($A421="","",IFERROR(INDEX(Cycles!$R$9:$R$208,MATCH(_EngineTrades!AU421,_EngineCycles!$A$9:$A$208,0)),""))</f>
        <v/>
      </c>
      <c r="Y421" t="str">
        <f>IF(OR($A421="",$D421&lt;&gt;Overview!$P$2),"",COUNTIFS($D$9:$D$508,$D421,$A$9:$A$508,"&gt;"&amp;$A421)+COUNTIFS($D$9:$D$508,$D421,$A$9:$A$508,$A421)-COUNTIFS($D$9:$D421,$D421,$A$9:$A421,$A421)+1)</f>
        <v/>
      </c>
    </row>
    <row r="422" spans="1:25" ht="23.1" customHeight="1" x14ac:dyDescent="0.25">
      <c r="A422" s="19"/>
      <c r="B422" s="20"/>
      <c r="C422" s="20"/>
      <c r="D422" s="20"/>
      <c r="E422" s="20"/>
      <c r="F422" s="21"/>
      <c r="G422" s="22"/>
      <c r="H422" s="19"/>
      <c r="I422" s="22"/>
      <c r="J422" s="22"/>
      <c r="K422" s="23" t="str">
        <f>IF($A422="","",_EngineTrades!S422)</f>
        <v/>
      </c>
      <c r="L422" s="21"/>
      <c r="M422" s="22"/>
      <c r="N422" s="20"/>
      <c r="O422" s="24" t="str">
        <f t="shared" si="6"/>
        <v/>
      </c>
      <c r="P422" s="20"/>
      <c r="Q422" s="22"/>
      <c r="R422" s="22"/>
      <c r="S422" s="24" t="str">
        <f>IF($A422="","",_EngineTrades!V422)</f>
        <v/>
      </c>
      <c r="T422" t="str">
        <f>IF($A422="","",IFERROR(INDEX(Cycles!$R$9:$R$208,MATCH(_EngineTrades!AU422,_EngineCycles!$A$9:$A$208,0)),""))</f>
        <v/>
      </c>
      <c r="Y422" t="str">
        <f>IF(OR($A422="",$D422&lt;&gt;Overview!$P$2),"",COUNTIFS($D$9:$D$508,$D422,$A$9:$A$508,"&gt;"&amp;$A422)+COUNTIFS($D$9:$D$508,$D422,$A$9:$A$508,$A422)-COUNTIFS($D$9:$D422,$D422,$A$9:$A422,$A422)+1)</f>
        <v/>
      </c>
    </row>
    <row r="423" spans="1:25" ht="23.1" customHeight="1" x14ac:dyDescent="0.25">
      <c r="A423" s="13"/>
      <c r="B423" s="14"/>
      <c r="C423" s="14"/>
      <c r="D423" s="14"/>
      <c r="E423" s="14"/>
      <c r="F423" s="15"/>
      <c r="G423" s="16"/>
      <c r="H423" s="13"/>
      <c r="I423" s="16"/>
      <c r="J423" s="16"/>
      <c r="K423" s="17" t="str">
        <f>IF($A423="","",_EngineTrades!S423)</f>
        <v/>
      </c>
      <c r="L423" s="15"/>
      <c r="M423" s="16"/>
      <c r="N423" s="14"/>
      <c r="O423" s="18" t="str">
        <f t="shared" si="6"/>
        <v/>
      </c>
      <c r="P423" s="14"/>
      <c r="Q423" s="16"/>
      <c r="R423" s="16"/>
      <c r="S423" s="18" t="str">
        <f>IF($A423="","",_EngineTrades!V423)</f>
        <v/>
      </c>
      <c r="T423" t="str">
        <f>IF($A423="","",IFERROR(INDEX(Cycles!$R$9:$R$208,MATCH(_EngineTrades!AU423,_EngineCycles!$A$9:$A$208,0)),""))</f>
        <v/>
      </c>
      <c r="Y423" t="str">
        <f>IF(OR($A423="",$D423&lt;&gt;Overview!$P$2),"",COUNTIFS($D$9:$D$508,$D423,$A$9:$A$508,"&gt;"&amp;$A423)+COUNTIFS($D$9:$D$508,$D423,$A$9:$A$508,$A423)-COUNTIFS($D$9:$D423,$D423,$A$9:$A423,$A423)+1)</f>
        <v/>
      </c>
    </row>
    <row r="424" spans="1:25" ht="23.1" customHeight="1" x14ac:dyDescent="0.25">
      <c r="A424" s="19"/>
      <c r="B424" s="20"/>
      <c r="C424" s="20"/>
      <c r="D424" s="20"/>
      <c r="E424" s="20"/>
      <c r="F424" s="21"/>
      <c r="G424" s="22"/>
      <c r="H424" s="19"/>
      <c r="I424" s="22"/>
      <c r="J424" s="22"/>
      <c r="K424" s="23" t="str">
        <f>IF($A424="","",_EngineTrades!S424)</f>
        <v/>
      </c>
      <c r="L424" s="21"/>
      <c r="M424" s="22"/>
      <c r="N424" s="20"/>
      <c r="O424" s="24" t="str">
        <f t="shared" si="6"/>
        <v/>
      </c>
      <c r="P424" s="20"/>
      <c r="Q424" s="22"/>
      <c r="R424" s="22"/>
      <c r="S424" s="24" t="str">
        <f>IF($A424="","",_EngineTrades!V424)</f>
        <v/>
      </c>
      <c r="T424" t="str">
        <f>IF($A424="","",IFERROR(INDEX(Cycles!$R$9:$R$208,MATCH(_EngineTrades!AU424,_EngineCycles!$A$9:$A$208,0)),""))</f>
        <v/>
      </c>
      <c r="Y424" t="str">
        <f>IF(OR($A424="",$D424&lt;&gt;Overview!$P$2),"",COUNTIFS($D$9:$D$508,$D424,$A$9:$A$508,"&gt;"&amp;$A424)+COUNTIFS($D$9:$D$508,$D424,$A$9:$A$508,$A424)-COUNTIFS($D$9:$D424,$D424,$A$9:$A424,$A424)+1)</f>
        <v/>
      </c>
    </row>
    <row r="425" spans="1:25" ht="23.1" customHeight="1" x14ac:dyDescent="0.25">
      <c r="A425" s="13"/>
      <c r="B425" s="14"/>
      <c r="C425" s="14"/>
      <c r="D425" s="14"/>
      <c r="E425" s="14"/>
      <c r="F425" s="15"/>
      <c r="G425" s="16"/>
      <c r="H425" s="13"/>
      <c r="I425" s="16"/>
      <c r="J425" s="16"/>
      <c r="K425" s="17" t="str">
        <f>IF($A425="","",_EngineTrades!S425)</f>
        <v/>
      </c>
      <c r="L425" s="15"/>
      <c r="M425" s="16"/>
      <c r="N425" s="14"/>
      <c r="O425" s="18" t="str">
        <f t="shared" si="6"/>
        <v/>
      </c>
      <c r="P425" s="14"/>
      <c r="Q425" s="16"/>
      <c r="R425" s="16"/>
      <c r="S425" s="18" t="str">
        <f>IF($A425="","",_EngineTrades!V425)</f>
        <v/>
      </c>
      <c r="T425" t="str">
        <f>IF($A425="","",IFERROR(INDEX(Cycles!$R$9:$R$208,MATCH(_EngineTrades!AU425,_EngineCycles!$A$9:$A$208,0)),""))</f>
        <v/>
      </c>
      <c r="Y425" t="str">
        <f>IF(OR($A425="",$D425&lt;&gt;Overview!$P$2),"",COUNTIFS($D$9:$D$508,$D425,$A$9:$A$508,"&gt;"&amp;$A425)+COUNTIFS($D$9:$D$508,$D425,$A$9:$A$508,$A425)-COUNTIFS($D$9:$D425,$D425,$A$9:$A425,$A425)+1)</f>
        <v/>
      </c>
    </row>
    <row r="426" spans="1:25" ht="23.1" customHeight="1" x14ac:dyDescent="0.25">
      <c r="A426" s="19"/>
      <c r="B426" s="20"/>
      <c r="C426" s="20"/>
      <c r="D426" s="20"/>
      <c r="E426" s="20"/>
      <c r="F426" s="21"/>
      <c r="G426" s="22"/>
      <c r="H426" s="19"/>
      <c r="I426" s="22"/>
      <c r="J426" s="22"/>
      <c r="K426" s="23" t="str">
        <f>IF($A426="","",_EngineTrades!S426)</f>
        <v/>
      </c>
      <c r="L426" s="21"/>
      <c r="M426" s="22"/>
      <c r="N426" s="20"/>
      <c r="O426" s="24" t="str">
        <f t="shared" si="6"/>
        <v/>
      </c>
      <c r="P426" s="20"/>
      <c r="Q426" s="22"/>
      <c r="R426" s="22"/>
      <c r="S426" s="24" t="str">
        <f>IF($A426="","",_EngineTrades!V426)</f>
        <v/>
      </c>
      <c r="T426" t="str">
        <f>IF($A426="","",IFERROR(INDEX(Cycles!$R$9:$R$208,MATCH(_EngineTrades!AU426,_EngineCycles!$A$9:$A$208,0)),""))</f>
        <v/>
      </c>
      <c r="Y426" t="str">
        <f>IF(OR($A426="",$D426&lt;&gt;Overview!$P$2),"",COUNTIFS($D$9:$D$508,$D426,$A$9:$A$508,"&gt;"&amp;$A426)+COUNTIFS($D$9:$D$508,$D426,$A$9:$A$508,$A426)-COUNTIFS($D$9:$D426,$D426,$A$9:$A426,$A426)+1)</f>
        <v/>
      </c>
    </row>
    <row r="427" spans="1:25" ht="23.1" customHeight="1" x14ac:dyDescent="0.25">
      <c r="A427" s="13"/>
      <c r="B427" s="14"/>
      <c r="C427" s="14"/>
      <c r="D427" s="14"/>
      <c r="E427" s="14"/>
      <c r="F427" s="15"/>
      <c r="G427" s="16"/>
      <c r="H427" s="13"/>
      <c r="I427" s="16"/>
      <c r="J427" s="16"/>
      <c r="K427" s="17" t="str">
        <f>IF($A427="","",_EngineTrades!S427)</f>
        <v/>
      </c>
      <c r="L427" s="15"/>
      <c r="M427" s="16"/>
      <c r="N427" s="14"/>
      <c r="O427" s="18" t="str">
        <f t="shared" si="6"/>
        <v/>
      </c>
      <c r="P427" s="14"/>
      <c r="Q427" s="16"/>
      <c r="R427" s="16"/>
      <c r="S427" s="18" t="str">
        <f>IF($A427="","",_EngineTrades!V427)</f>
        <v/>
      </c>
      <c r="T427" t="str">
        <f>IF($A427="","",IFERROR(INDEX(Cycles!$R$9:$R$208,MATCH(_EngineTrades!AU427,_EngineCycles!$A$9:$A$208,0)),""))</f>
        <v/>
      </c>
      <c r="Y427" t="str">
        <f>IF(OR($A427="",$D427&lt;&gt;Overview!$P$2),"",COUNTIFS($D$9:$D$508,$D427,$A$9:$A$508,"&gt;"&amp;$A427)+COUNTIFS($D$9:$D$508,$D427,$A$9:$A$508,$A427)-COUNTIFS($D$9:$D427,$D427,$A$9:$A427,$A427)+1)</f>
        <v/>
      </c>
    </row>
    <row r="428" spans="1:25" ht="23.1" customHeight="1" x14ac:dyDescent="0.25">
      <c r="A428" s="19"/>
      <c r="B428" s="20"/>
      <c r="C428" s="20"/>
      <c r="D428" s="20"/>
      <c r="E428" s="20"/>
      <c r="F428" s="21"/>
      <c r="G428" s="22"/>
      <c r="H428" s="19"/>
      <c r="I428" s="22"/>
      <c r="J428" s="22"/>
      <c r="K428" s="23" t="str">
        <f>IF($A428="","",_EngineTrades!S428)</f>
        <v/>
      </c>
      <c r="L428" s="21"/>
      <c r="M428" s="22"/>
      <c r="N428" s="20"/>
      <c r="O428" s="24" t="str">
        <f t="shared" si="6"/>
        <v/>
      </c>
      <c r="P428" s="20"/>
      <c r="Q428" s="22"/>
      <c r="R428" s="22"/>
      <c r="S428" s="24" t="str">
        <f>IF($A428="","",_EngineTrades!V428)</f>
        <v/>
      </c>
      <c r="T428" t="str">
        <f>IF($A428="","",IFERROR(INDEX(Cycles!$R$9:$R$208,MATCH(_EngineTrades!AU428,_EngineCycles!$A$9:$A$208,0)),""))</f>
        <v/>
      </c>
      <c r="Y428" t="str">
        <f>IF(OR($A428="",$D428&lt;&gt;Overview!$P$2),"",COUNTIFS($D$9:$D$508,$D428,$A$9:$A$508,"&gt;"&amp;$A428)+COUNTIFS($D$9:$D$508,$D428,$A$9:$A$508,$A428)-COUNTIFS($D$9:$D428,$D428,$A$9:$A428,$A428)+1)</f>
        <v/>
      </c>
    </row>
    <row r="429" spans="1:25" ht="23.1" customHeight="1" x14ac:dyDescent="0.25">
      <c r="A429" s="13"/>
      <c r="B429" s="14"/>
      <c r="C429" s="14"/>
      <c r="D429" s="14"/>
      <c r="E429" s="14"/>
      <c r="F429" s="15"/>
      <c r="G429" s="16"/>
      <c r="H429" s="13"/>
      <c r="I429" s="16"/>
      <c r="J429" s="16"/>
      <c r="K429" s="17" t="str">
        <f>IF($A429="","",_EngineTrades!S429)</f>
        <v/>
      </c>
      <c r="L429" s="15"/>
      <c r="M429" s="16"/>
      <c r="N429" s="14"/>
      <c r="O429" s="18" t="str">
        <f t="shared" si="6"/>
        <v/>
      </c>
      <c r="P429" s="14"/>
      <c r="Q429" s="16"/>
      <c r="R429" s="16"/>
      <c r="S429" s="18" t="str">
        <f>IF($A429="","",_EngineTrades!V429)</f>
        <v/>
      </c>
      <c r="T429" t="str">
        <f>IF($A429="","",IFERROR(INDEX(Cycles!$R$9:$R$208,MATCH(_EngineTrades!AU429,_EngineCycles!$A$9:$A$208,0)),""))</f>
        <v/>
      </c>
      <c r="Y429" t="str">
        <f>IF(OR($A429="",$D429&lt;&gt;Overview!$P$2),"",COUNTIFS($D$9:$D$508,$D429,$A$9:$A$508,"&gt;"&amp;$A429)+COUNTIFS($D$9:$D$508,$D429,$A$9:$A$508,$A429)-COUNTIFS($D$9:$D429,$D429,$A$9:$A429,$A429)+1)</f>
        <v/>
      </c>
    </row>
    <row r="430" spans="1:25" ht="23.1" customHeight="1" x14ac:dyDescent="0.25">
      <c r="A430" s="19"/>
      <c r="B430" s="20"/>
      <c r="C430" s="20"/>
      <c r="D430" s="20"/>
      <c r="E430" s="20"/>
      <c r="F430" s="21"/>
      <c r="G430" s="22"/>
      <c r="H430" s="19"/>
      <c r="I430" s="22"/>
      <c r="J430" s="22"/>
      <c r="K430" s="23" t="str">
        <f>IF($A430="","",_EngineTrades!S430)</f>
        <v/>
      </c>
      <c r="L430" s="21"/>
      <c r="M430" s="22"/>
      <c r="N430" s="20"/>
      <c r="O430" s="24" t="str">
        <f t="shared" si="6"/>
        <v/>
      </c>
      <c r="P430" s="20"/>
      <c r="Q430" s="22"/>
      <c r="R430" s="22"/>
      <c r="S430" s="24" t="str">
        <f>IF($A430="","",_EngineTrades!V430)</f>
        <v/>
      </c>
      <c r="T430" t="str">
        <f>IF($A430="","",IFERROR(INDEX(Cycles!$R$9:$R$208,MATCH(_EngineTrades!AU430,_EngineCycles!$A$9:$A$208,0)),""))</f>
        <v/>
      </c>
      <c r="Y430" t="str">
        <f>IF(OR($A430="",$D430&lt;&gt;Overview!$P$2),"",COUNTIFS($D$9:$D$508,$D430,$A$9:$A$508,"&gt;"&amp;$A430)+COUNTIFS($D$9:$D$508,$D430,$A$9:$A$508,$A430)-COUNTIFS($D$9:$D430,$D430,$A$9:$A430,$A430)+1)</f>
        <v/>
      </c>
    </row>
    <row r="431" spans="1:25" ht="23.1" customHeight="1" x14ac:dyDescent="0.25">
      <c r="A431" s="13"/>
      <c r="B431" s="14"/>
      <c r="C431" s="14"/>
      <c r="D431" s="14"/>
      <c r="E431" s="14"/>
      <c r="F431" s="15"/>
      <c r="G431" s="16"/>
      <c r="H431" s="13"/>
      <c r="I431" s="16"/>
      <c r="J431" s="16"/>
      <c r="K431" s="17" t="str">
        <f>IF($A431="","",_EngineTrades!S431)</f>
        <v/>
      </c>
      <c r="L431" s="15"/>
      <c r="M431" s="16"/>
      <c r="N431" s="14"/>
      <c r="O431" s="18" t="str">
        <f t="shared" si="6"/>
        <v/>
      </c>
      <c r="P431" s="14"/>
      <c r="Q431" s="16"/>
      <c r="R431" s="16"/>
      <c r="S431" s="18" t="str">
        <f>IF($A431="","",_EngineTrades!V431)</f>
        <v/>
      </c>
      <c r="T431" t="str">
        <f>IF($A431="","",IFERROR(INDEX(Cycles!$R$9:$R$208,MATCH(_EngineTrades!AU431,_EngineCycles!$A$9:$A$208,0)),""))</f>
        <v/>
      </c>
      <c r="Y431" t="str">
        <f>IF(OR($A431="",$D431&lt;&gt;Overview!$P$2),"",COUNTIFS($D$9:$D$508,$D431,$A$9:$A$508,"&gt;"&amp;$A431)+COUNTIFS($D$9:$D$508,$D431,$A$9:$A$508,$A431)-COUNTIFS($D$9:$D431,$D431,$A$9:$A431,$A431)+1)</f>
        <v/>
      </c>
    </row>
    <row r="432" spans="1:25" ht="23.1" customHeight="1" x14ac:dyDescent="0.25">
      <c r="A432" s="19"/>
      <c r="B432" s="20"/>
      <c r="C432" s="20"/>
      <c r="D432" s="20"/>
      <c r="E432" s="20"/>
      <c r="F432" s="21"/>
      <c r="G432" s="22"/>
      <c r="H432" s="19"/>
      <c r="I432" s="22"/>
      <c r="J432" s="22"/>
      <c r="K432" s="23" t="str">
        <f>IF($A432="","",_EngineTrades!S432)</f>
        <v/>
      </c>
      <c r="L432" s="21"/>
      <c r="M432" s="22"/>
      <c r="N432" s="20"/>
      <c r="O432" s="24" t="str">
        <f t="shared" si="6"/>
        <v/>
      </c>
      <c r="P432" s="20"/>
      <c r="Q432" s="22"/>
      <c r="R432" s="22"/>
      <c r="S432" s="24" t="str">
        <f>IF($A432="","",_EngineTrades!V432)</f>
        <v/>
      </c>
      <c r="T432" t="str">
        <f>IF($A432="","",IFERROR(INDEX(Cycles!$R$9:$R$208,MATCH(_EngineTrades!AU432,_EngineCycles!$A$9:$A$208,0)),""))</f>
        <v/>
      </c>
      <c r="Y432" t="str">
        <f>IF(OR($A432="",$D432&lt;&gt;Overview!$P$2),"",COUNTIFS($D$9:$D$508,$D432,$A$9:$A$508,"&gt;"&amp;$A432)+COUNTIFS($D$9:$D$508,$D432,$A$9:$A$508,$A432)-COUNTIFS($D$9:$D432,$D432,$A$9:$A432,$A432)+1)</f>
        <v/>
      </c>
    </row>
    <row r="433" spans="1:25" ht="23.1" customHeight="1" x14ac:dyDescent="0.25">
      <c r="A433" s="13"/>
      <c r="B433" s="14"/>
      <c r="C433" s="14"/>
      <c r="D433" s="14"/>
      <c r="E433" s="14"/>
      <c r="F433" s="15"/>
      <c r="G433" s="16"/>
      <c r="H433" s="13"/>
      <c r="I433" s="16"/>
      <c r="J433" s="16"/>
      <c r="K433" s="17" t="str">
        <f>IF($A433="","",_EngineTrades!S433)</f>
        <v/>
      </c>
      <c r="L433" s="15"/>
      <c r="M433" s="16"/>
      <c r="N433" s="14"/>
      <c r="O433" s="18" t="str">
        <f t="shared" si="6"/>
        <v/>
      </c>
      <c r="P433" s="14"/>
      <c r="Q433" s="16"/>
      <c r="R433" s="16"/>
      <c r="S433" s="18" t="str">
        <f>IF($A433="","",_EngineTrades!V433)</f>
        <v/>
      </c>
      <c r="T433" t="str">
        <f>IF($A433="","",IFERROR(INDEX(Cycles!$R$9:$R$208,MATCH(_EngineTrades!AU433,_EngineCycles!$A$9:$A$208,0)),""))</f>
        <v/>
      </c>
      <c r="Y433" t="str">
        <f>IF(OR($A433="",$D433&lt;&gt;Overview!$P$2),"",COUNTIFS($D$9:$D$508,$D433,$A$9:$A$508,"&gt;"&amp;$A433)+COUNTIFS($D$9:$D$508,$D433,$A$9:$A$508,$A433)-COUNTIFS($D$9:$D433,$D433,$A$9:$A433,$A433)+1)</f>
        <v/>
      </c>
    </row>
    <row r="434" spans="1:25" ht="23.1" customHeight="1" x14ac:dyDescent="0.25">
      <c r="A434" s="19"/>
      <c r="B434" s="20"/>
      <c r="C434" s="20"/>
      <c r="D434" s="20"/>
      <c r="E434" s="20"/>
      <c r="F434" s="21"/>
      <c r="G434" s="22"/>
      <c r="H434" s="19"/>
      <c r="I434" s="22"/>
      <c r="J434" s="22"/>
      <c r="K434" s="23" t="str">
        <f>IF($A434="","",_EngineTrades!S434)</f>
        <v/>
      </c>
      <c r="L434" s="21"/>
      <c r="M434" s="22"/>
      <c r="N434" s="20"/>
      <c r="O434" s="24" t="str">
        <f t="shared" si="6"/>
        <v/>
      </c>
      <c r="P434" s="20"/>
      <c r="Q434" s="22"/>
      <c r="R434" s="22"/>
      <c r="S434" s="24" t="str">
        <f>IF($A434="","",_EngineTrades!V434)</f>
        <v/>
      </c>
      <c r="T434" t="str">
        <f>IF($A434="","",IFERROR(INDEX(Cycles!$R$9:$R$208,MATCH(_EngineTrades!AU434,_EngineCycles!$A$9:$A$208,0)),""))</f>
        <v/>
      </c>
      <c r="Y434" t="str">
        <f>IF(OR($A434="",$D434&lt;&gt;Overview!$P$2),"",COUNTIFS($D$9:$D$508,$D434,$A$9:$A$508,"&gt;"&amp;$A434)+COUNTIFS($D$9:$D$508,$D434,$A$9:$A$508,$A434)-COUNTIFS($D$9:$D434,$D434,$A$9:$A434,$A434)+1)</f>
        <v/>
      </c>
    </row>
    <row r="435" spans="1:25" ht="23.1" customHeight="1" x14ac:dyDescent="0.25">
      <c r="A435" s="13"/>
      <c r="B435" s="14"/>
      <c r="C435" s="14"/>
      <c r="D435" s="14"/>
      <c r="E435" s="14"/>
      <c r="F435" s="15"/>
      <c r="G435" s="16"/>
      <c r="H435" s="13"/>
      <c r="I435" s="16"/>
      <c r="J435" s="16"/>
      <c r="K435" s="17" t="str">
        <f>IF($A435="","",_EngineTrades!S435)</f>
        <v/>
      </c>
      <c r="L435" s="15"/>
      <c r="M435" s="16"/>
      <c r="N435" s="14"/>
      <c r="O435" s="18" t="str">
        <f t="shared" si="6"/>
        <v/>
      </c>
      <c r="P435" s="14"/>
      <c r="Q435" s="16"/>
      <c r="R435" s="16"/>
      <c r="S435" s="18" t="str">
        <f>IF($A435="","",_EngineTrades!V435)</f>
        <v/>
      </c>
      <c r="T435" t="str">
        <f>IF($A435="","",IFERROR(INDEX(Cycles!$R$9:$R$208,MATCH(_EngineTrades!AU435,_EngineCycles!$A$9:$A$208,0)),""))</f>
        <v/>
      </c>
      <c r="Y435" t="str">
        <f>IF(OR($A435="",$D435&lt;&gt;Overview!$P$2),"",COUNTIFS($D$9:$D$508,$D435,$A$9:$A$508,"&gt;"&amp;$A435)+COUNTIFS($D$9:$D$508,$D435,$A$9:$A$508,$A435)-COUNTIFS($D$9:$D435,$D435,$A$9:$A435,$A435)+1)</f>
        <v/>
      </c>
    </row>
    <row r="436" spans="1:25" ht="23.1" customHeight="1" x14ac:dyDescent="0.25">
      <c r="A436" s="19"/>
      <c r="B436" s="20"/>
      <c r="C436" s="20"/>
      <c r="D436" s="20"/>
      <c r="E436" s="20"/>
      <c r="F436" s="21"/>
      <c r="G436" s="22"/>
      <c r="H436" s="19"/>
      <c r="I436" s="22"/>
      <c r="J436" s="22"/>
      <c r="K436" s="23" t="str">
        <f>IF($A436="","",_EngineTrades!S436)</f>
        <v/>
      </c>
      <c r="L436" s="21"/>
      <c r="M436" s="22"/>
      <c r="N436" s="20"/>
      <c r="O436" s="24" t="str">
        <f t="shared" si="6"/>
        <v/>
      </c>
      <c r="P436" s="20"/>
      <c r="Q436" s="22"/>
      <c r="R436" s="22"/>
      <c r="S436" s="24" t="str">
        <f>IF($A436="","",_EngineTrades!V436)</f>
        <v/>
      </c>
      <c r="T436" t="str">
        <f>IF($A436="","",IFERROR(INDEX(Cycles!$R$9:$R$208,MATCH(_EngineTrades!AU436,_EngineCycles!$A$9:$A$208,0)),""))</f>
        <v/>
      </c>
      <c r="Y436" t="str">
        <f>IF(OR($A436="",$D436&lt;&gt;Overview!$P$2),"",COUNTIFS($D$9:$D$508,$D436,$A$9:$A$508,"&gt;"&amp;$A436)+COUNTIFS($D$9:$D$508,$D436,$A$9:$A$508,$A436)-COUNTIFS($D$9:$D436,$D436,$A$9:$A436,$A436)+1)</f>
        <v/>
      </c>
    </row>
    <row r="437" spans="1:25" ht="23.1" customHeight="1" x14ac:dyDescent="0.25">
      <c r="A437" s="13"/>
      <c r="B437" s="14"/>
      <c r="C437" s="14"/>
      <c r="D437" s="14"/>
      <c r="E437" s="14"/>
      <c r="F437" s="15"/>
      <c r="G437" s="16"/>
      <c r="H437" s="13"/>
      <c r="I437" s="16"/>
      <c r="J437" s="16"/>
      <c r="K437" s="17" t="str">
        <f>IF($A437="","",_EngineTrades!S437)</f>
        <v/>
      </c>
      <c r="L437" s="15"/>
      <c r="M437" s="16"/>
      <c r="N437" s="14"/>
      <c r="O437" s="18" t="str">
        <f t="shared" si="6"/>
        <v/>
      </c>
      <c r="P437" s="14"/>
      <c r="Q437" s="16"/>
      <c r="R437" s="16"/>
      <c r="S437" s="18" t="str">
        <f>IF($A437="","",_EngineTrades!V437)</f>
        <v/>
      </c>
      <c r="T437" t="str">
        <f>IF($A437="","",IFERROR(INDEX(Cycles!$R$9:$R$208,MATCH(_EngineTrades!AU437,_EngineCycles!$A$9:$A$208,0)),""))</f>
        <v/>
      </c>
      <c r="Y437" t="str">
        <f>IF(OR($A437="",$D437&lt;&gt;Overview!$P$2),"",COUNTIFS($D$9:$D$508,$D437,$A$9:$A$508,"&gt;"&amp;$A437)+COUNTIFS($D$9:$D$508,$D437,$A$9:$A$508,$A437)-COUNTIFS($D$9:$D437,$D437,$A$9:$A437,$A437)+1)</f>
        <v/>
      </c>
    </row>
    <row r="438" spans="1:25" ht="23.1" customHeight="1" x14ac:dyDescent="0.25">
      <c r="A438" s="19"/>
      <c r="B438" s="20"/>
      <c r="C438" s="20"/>
      <c r="D438" s="20"/>
      <c r="E438" s="20"/>
      <c r="F438" s="21"/>
      <c r="G438" s="22"/>
      <c r="H438" s="19"/>
      <c r="I438" s="22"/>
      <c r="J438" s="22"/>
      <c r="K438" s="23" t="str">
        <f>IF($A438="","",_EngineTrades!S438)</f>
        <v/>
      </c>
      <c r="L438" s="21"/>
      <c r="M438" s="22"/>
      <c r="N438" s="20"/>
      <c r="O438" s="24" t="str">
        <f t="shared" si="6"/>
        <v/>
      </c>
      <c r="P438" s="20"/>
      <c r="Q438" s="22"/>
      <c r="R438" s="22"/>
      <c r="S438" s="24" t="str">
        <f>IF($A438="","",_EngineTrades!V438)</f>
        <v/>
      </c>
      <c r="T438" t="str">
        <f>IF($A438="","",IFERROR(INDEX(Cycles!$R$9:$R$208,MATCH(_EngineTrades!AU438,_EngineCycles!$A$9:$A$208,0)),""))</f>
        <v/>
      </c>
      <c r="Y438" t="str">
        <f>IF(OR($A438="",$D438&lt;&gt;Overview!$P$2),"",COUNTIFS($D$9:$D$508,$D438,$A$9:$A$508,"&gt;"&amp;$A438)+COUNTIFS($D$9:$D$508,$D438,$A$9:$A$508,$A438)-COUNTIFS($D$9:$D438,$D438,$A$9:$A438,$A438)+1)</f>
        <v/>
      </c>
    </row>
    <row r="439" spans="1:25" ht="23.1" customHeight="1" x14ac:dyDescent="0.25">
      <c r="A439" s="13"/>
      <c r="B439" s="14"/>
      <c r="C439" s="14"/>
      <c r="D439" s="14"/>
      <c r="E439" s="14"/>
      <c r="F439" s="15"/>
      <c r="G439" s="16"/>
      <c r="H439" s="13"/>
      <c r="I439" s="16"/>
      <c r="J439" s="16"/>
      <c r="K439" s="17" t="str">
        <f>IF($A439="","",_EngineTrades!S439)</f>
        <v/>
      </c>
      <c r="L439" s="15"/>
      <c r="M439" s="16"/>
      <c r="N439" s="14"/>
      <c r="O439" s="18" t="str">
        <f t="shared" si="6"/>
        <v/>
      </c>
      <c r="P439" s="14"/>
      <c r="Q439" s="16"/>
      <c r="R439" s="16"/>
      <c r="S439" s="18" t="str">
        <f>IF($A439="","",_EngineTrades!V439)</f>
        <v/>
      </c>
      <c r="T439" t="str">
        <f>IF($A439="","",IFERROR(INDEX(Cycles!$R$9:$R$208,MATCH(_EngineTrades!AU439,_EngineCycles!$A$9:$A$208,0)),""))</f>
        <v/>
      </c>
      <c r="Y439" t="str">
        <f>IF(OR($A439="",$D439&lt;&gt;Overview!$P$2),"",COUNTIFS($D$9:$D$508,$D439,$A$9:$A$508,"&gt;"&amp;$A439)+COUNTIFS($D$9:$D$508,$D439,$A$9:$A$508,$A439)-COUNTIFS($D$9:$D439,$D439,$A$9:$A439,$A439)+1)</f>
        <v/>
      </c>
    </row>
    <row r="440" spans="1:25" ht="23.1" customHeight="1" x14ac:dyDescent="0.25">
      <c r="A440" s="19"/>
      <c r="B440" s="20"/>
      <c r="C440" s="20"/>
      <c r="D440" s="20"/>
      <c r="E440" s="20"/>
      <c r="F440" s="21"/>
      <c r="G440" s="22"/>
      <c r="H440" s="19"/>
      <c r="I440" s="22"/>
      <c r="J440" s="22"/>
      <c r="K440" s="23" t="str">
        <f>IF($A440="","",_EngineTrades!S440)</f>
        <v/>
      </c>
      <c r="L440" s="21"/>
      <c r="M440" s="22"/>
      <c r="N440" s="20"/>
      <c r="O440" s="24" t="str">
        <f t="shared" si="6"/>
        <v/>
      </c>
      <c r="P440" s="20"/>
      <c r="Q440" s="22"/>
      <c r="R440" s="22"/>
      <c r="S440" s="24" t="str">
        <f>IF($A440="","",_EngineTrades!V440)</f>
        <v/>
      </c>
      <c r="T440" t="str">
        <f>IF($A440="","",IFERROR(INDEX(Cycles!$R$9:$R$208,MATCH(_EngineTrades!AU440,_EngineCycles!$A$9:$A$208,0)),""))</f>
        <v/>
      </c>
      <c r="Y440" t="str">
        <f>IF(OR($A440="",$D440&lt;&gt;Overview!$P$2),"",COUNTIFS($D$9:$D$508,$D440,$A$9:$A$508,"&gt;"&amp;$A440)+COUNTIFS($D$9:$D$508,$D440,$A$9:$A$508,$A440)-COUNTIFS($D$9:$D440,$D440,$A$9:$A440,$A440)+1)</f>
        <v/>
      </c>
    </row>
    <row r="441" spans="1:25" ht="23.1" customHeight="1" x14ac:dyDescent="0.25">
      <c r="A441" s="13"/>
      <c r="B441" s="14"/>
      <c r="C441" s="14"/>
      <c r="D441" s="14"/>
      <c r="E441" s="14"/>
      <c r="F441" s="15"/>
      <c r="G441" s="16"/>
      <c r="H441" s="13"/>
      <c r="I441" s="16"/>
      <c r="J441" s="16"/>
      <c r="K441" s="17" t="str">
        <f>IF($A441="","",_EngineTrades!S441)</f>
        <v/>
      </c>
      <c r="L441" s="15"/>
      <c r="M441" s="16"/>
      <c r="N441" s="14"/>
      <c r="O441" s="18" t="str">
        <f t="shared" si="6"/>
        <v/>
      </c>
      <c r="P441" s="14"/>
      <c r="Q441" s="16"/>
      <c r="R441" s="16"/>
      <c r="S441" s="18" t="str">
        <f>IF($A441="","",_EngineTrades!V441)</f>
        <v/>
      </c>
      <c r="T441" t="str">
        <f>IF($A441="","",IFERROR(INDEX(Cycles!$R$9:$R$208,MATCH(_EngineTrades!AU441,_EngineCycles!$A$9:$A$208,0)),""))</f>
        <v/>
      </c>
      <c r="Y441" t="str">
        <f>IF(OR($A441="",$D441&lt;&gt;Overview!$P$2),"",COUNTIFS($D$9:$D$508,$D441,$A$9:$A$508,"&gt;"&amp;$A441)+COUNTIFS($D$9:$D$508,$D441,$A$9:$A$508,$A441)-COUNTIFS($D$9:$D441,$D441,$A$9:$A441,$A441)+1)</f>
        <v/>
      </c>
    </row>
    <row r="442" spans="1:25" ht="23.1" customHeight="1" x14ac:dyDescent="0.25">
      <c r="A442" s="19"/>
      <c r="B442" s="20"/>
      <c r="C442" s="20"/>
      <c r="D442" s="20"/>
      <c r="E442" s="20"/>
      <c r="F442" s="21"/>
      <c r="G442" s="22"/>
      <c r="H442" s="19"/>
      <c r="I442" s="22"/>
      <c r="J442" s="22"/>
      <c r="K442" s="23" t="str">
        <f>IF($A442="","",_EngineTrades!S442)</f>
        <v/>
      </c>
      <c r="L442" s="21"/>
      <c r="M442" s="22"/>
      <c r="N442" s="20"/>
      <c r="O442" s="24" t="str">
        <f t="shared" si="6"/>
        <v/>
      </c>
      <c r="P442" s="20"/>
      <c r="Q442" s="22"/>
      <c r="R442" s="22"/>
      <c r="S442" s="24" t="str">
        <f>IF($A442="","",_EngineTrades!V442)</f>
        <v/>
      </c>
      <c r="T442" t="str">
        <f>IF($A442="","",IFERROR(INDEX(Cycles!$R$9:$R$208,MATCH(_EngineTrades!AU442,_EngineCycles!$A$9:$A$208,0)),""))</f>
        <v/>
      </c>
      <c r="Y442" t="str">
        <f>IF(OR($A442="",$D442&lt;&gt;Overview!$P$2),"",COUNTIFS($D$9:$D$508,$D442,$A$9:$A$508,"&gt;"&amp;$A442)+COUNTIFS($D$9:$D$508,$D442,$A$9:$A$508,$A442)-COUNTIFS($D$9:$D442,$D442,$A$9:$A442,$A442)+1)</f>
        <v/>
      </c>
    </row>
    <row r="443" spans="1:25" ht="23.1" customHeight="1" x14ac:dyDescent="0.25">
      <c r="A443" s="13"/>
      <c r="B443" s="14"/>
      <c r="C443" s="14"/>
      <c r="D443" s="14"/>
      <c r="E443" s="14"/>
      <c r="F443" s="15"/>
      <c r="G443" s="16"/>
      <c r="H443" s="13"/>
      <c r="I443" s="16"/>
      <c r="J443" s="16"/>
      <c r="K443" s="17" t="str">
        <f>IF($A443="","",_EngineTrades!S443)</f>
        <v/>
      </c>
      <c r="L443" s="15"/>
      <c r="M443" s="16"/>
      <c r="N443" s="14"/>
      <c r="O443" s="18" t="str">
        <f t="shared" si="6"/>
        <v/>
      </c>
      <c r="P443" s="14"/>
      <c r="Q443" s="16"/>
      <c r="R443" s="16"/>
      <c r="S443" s="18" t="str">
        <f>IF($A443="","",_EngineTrades!V443)</f>
        <v/>
      </c>
      <c r="T443" t="str">
        <f>IF($A443="","",IFERROR(INDEX(Cycles!$R$9:$R$208,MATCH(_EngineTrades!AU443,_EngineCycles!$A$9:$A$208,0)),""))</f>
        <v/>
      </c>
      <c r="Y443" t="str">
        <f>IF(OR($A443="",$D443&lt;&gt;Overview!$P$2),"",COUNTIFS($D$9:$D$508,$D443,$A$9:$A$508,"&gt;"&amp;$A443)+COUNTIFS($D$9:$D$508,$D443,$A$9:$A$508,$A443)-COUNTIFS($D$9:$D443,$D443,$A$9:$A443,$A443)+1)</f>
        <v/>
      </c>
    </row>
    <row r="444" spans="1:25" ht="23.1" customHeight="1" x14ac:dyDescent="0.25">
      <c r="A444" s="19"/>
      <c r="B444" s="20"/>
      <c r="C444" s="20"/>
      <c r="D444" s="20"/>
      <c r="E444" s="20"/>
      <c r="F444" s="21"/>
      <c r="G444" s="22"/>
      <c r="H444" s="19"/>
      <c r="I444" s="22"/>
      <c r="J444" s="22"/>
      <c r="K444" s="23" t="str">
        <f>IF($A444="","",_EngineTrades!S444)</f>
        <v/>
      </c>
      <c r="L444" s="21"/>
      <c r="M444" s="22"/>
      <c r="N444" s="20"/>
      <c r="O444" s="24" t="str">
        <f t="shared" si="6"/>
        <v/>
      </c>
      <c r="P444" s="20"/>
      <c r="Q444" s="22"/>
      <c r="R444" s="22"/>
      <c r="S444" s="24" t="str">
        <f>IF($A444="","",_EngineTrades!V444)</f>
        <v/>
      </c>
      <c r="T444" t="str">
        <f>IF($A444="","",IFERROR(INDEX(Cycles!$R$9:$R$208,MATCH(_EngineTrades!AU444,_EngineCycles!$A$9:$A$208,0)),""))</f>
        <v/>
      </c>
      <c r="Y444" t="str">
        <f>IF(OR($A444="",$D444&lt;&gt;Overview!$P$2),"",COUNTIFS($D$9:$D$508,$D444,$A$9:$A$508,"&gt;"&amp;$A444)+COUNTIFS($D$9:$D$508,$D444,$A$9:$A$508,$A444)-COUNTIFS($D$9:$D444,$D444,$A$9:$A444,$A444)+1)</f>
        <v/>
      </c>
    </row>
    <row r="445" spans="1:25" ht="23.1" customHeight="1" x14ac:dyDescent="0.25">
      <c r="A445" s="13"/>
      <c r="B445" s="14"/>
      <c r="C445" s="14"/>
      <c r="D445" s="14"/>
      <c r="E445" s="14"/>
      <c r="F445" s="15"/>
      <c r="G445" s="16"/>
      <c r="H445" s="13"/>
      <c r="I445" s="16"/>
      <c r="J445" s="16"/>
      <c r="K445" s="17" t="str">
        <f>IF($A445="","",_EngineTrades!S445)</f>
        <v/>
      </c>
      <c r="L445" s="15"/>
      <c r="M445" s="16"/>
      <c r="N445" s="14"/>
      <c r="O445" s="18" t="str">
        <f t="shared" si="6"/>
        <v/>
      </c>
      <c r="P445" s="14"/>
      <c r="Q445" s="16"/>
      <c r="R445" s="16"/>
      <c r="S445" s="18" t="str">
        <f>IF($A445="","",_EngineTrades!V445)</f>
        <v/>
      </c>
      <c r="T445" t="str">
        <f>IF($A445="","",IFERROR(INDEX(Cycles!$R$9:$R$208,MATCH(_EngineTrades!AU445,_EngineCycles!$A$9:$A$208,0)),""))</f>
        <v/>
      </c>
      <c r="Y445" t="str">
        <f>IF(OR($A445="",$D445&lt;&gt;Overview!$P$2),"",COUNTIFS($D$9:$D$508,$D445,$A$9:$A$508,"&gt;"&amp;$A445)+COUNTIFS($D$9:$D$508,$D445,$A$9:$A$508,$A445)-COUNTIFS($D$9:$D445,$D445,$A$9:$A445,$A445)+1)</f>
        <v/>
      </c>
    </row>
    <row r="446" spans="1:25" ht="23.1" customHeight="1" x14ac:dyDescent="0.25">
      <c r="A446" s="19"/>
      <c r="B446" s="20"/>
      <c r="C446" s="20"/>
      <c r="D446" s="20"/>
      <c r="E446" s="20"/>
      <c r="F446" s="21"/>
      <c r="G446" s="22"/>
      <c r="H446" s="19"/>
      <c r="I446" s="22"/>
      <c r="J446" s="22"/>
      <c r="K446" s="23" t="str">
        <f>IF($A446="","",_EngineTrades!S446)</f>
        <v/>
      </c>
      <c r="L446" s="21"/>
      <c r="M446" s="22"/>
      <c r="N446" s="20"/>
      <c r="O446" s="24" t="str">
        <f t="shared" si="6"/>
        <v/>
      </c>
      <c r="P446" s="20"/>
      <c r="Q446" s="22"/>
      <c r="R446" s="22"/>
      <c r="S446" s="24" t="str">
        <f>IF($A446="","",_EngineTrades!V446)</f>
        <v/>
      </c>
      <c r="T446" t="str">
        <f>IF($A446="","",IFERROR(INDEX(Cycles!$R$9:$R$208,MATCH(_EngineTrades!AU446,_EngineCycles!$A$9:$A$208,0)),""))</f>
        <v/>
      </c>
      <c r="Y446" t="str">
        <f>IF(OR($A446="",$D446&lt;&gt;Overview!$P$2),"",COUNTIFS($D$9:$D$508,$D446,$A$9:$A$508,"&gt;"&amp;$A446)+COUNTIFS($D$9:$D$508,$D446,$A$9:$A$508,$A446)-COUNTIFS($D$9:$D446,$D446,$A$9:$A446,$A446)+1)</f>
        <v/>
      </c>
    </row>
    <row r="447" spans="1:25" ht="23.1" customHeight="1" x14ac:dyDescent="0.25">
      <c r="A447" s="13"/>
      <c r="B447" s="14"/>
      <c r="C447" s="14"/>
      <c r="D447" s="14"/>
      <c r="E447" s="14"/>
      <c r="F447" s="15"/>
      <c r="G447" s="16"/>
      <c r="H447" s="13"/>
      <c r="I447" s="16"/>
      <c r="J447" s="16"/>
      <c r="K447" s="17" t="str">
        <f>IF($A447="","",_EngineTrades!S447)</f>
        <v/>
      </c>
      <c r="L447" s="15"/>
      <c r="M447" s="16"/>
      <c r="N447" s="14"/>
      <c r="O447" s="18" t="str">
        <f t="shared" si="6"/>
        <v/>
      </c>
      <c r="P447" s="14"/>
      <c r="Q447" s="16"/>
      <c r="R447" s="16"/>
      <c r="S447" s="18" t="str">
        <f>IF($A447="","",_EngineTrades!V447)</f>
        <v/>
      </c>
      <c r="T447" t="str">
        <f>IF($A447="","",IFERROR(INDEX(Cycles!$R$9:$R$208,MATCH(_EngineTrades!AU447,_EngineCycles!$A$9:$A$208,0)),""))</f>
        <v/>
      </c>
      <c r="Y447" t="str">
        <f>IF(OR($A447="",$D447&lt;&gt;Overview!$P$2),"",COUNTIFS($D$9:$D$508,$D447,$A$9:$A$508,"&gt;"&amp;$A447)+COUNTIFS($D$9:$D$508,$D447,$A$9:$A$508,$A447)-COUNTIFS($D$9:$D447,$D447,$A$9:$A447,$A447)+1)</f>
        <v/>
      </c>
    </row>
    <row r="448" spans="1:25" ht="23.1" customHeight="1" x14ac:dyDescent="0.25">
      <c r="A448" s="19"/>
      <c r="B448" s="20"/>
      <c r="C448" s="20"/>
      <c r="D448" s="20"/>
      <c r="E448" s="20"/>
      <c r="F448" s="21"/>
      <c r="G448" s="22"/>
      <c r="H448" s="19"/>
      <c r="I448" s="22"/>
      <c r="J448" s="22"/>
      <c r="K448" s="23" t="str">
        <f>IF($A448="","",_EngineTrades!S448)</f>
        <v/>
      </c>
      <c r="L448" s="21"/>
      <c r="M448" s="22"/>
      <c r="N448" s="20"/>
      <c r="O448" s="24" t="str">
        <f t="shared" si="6"/>
        <v/>
      </c>
      <c r="P448" s="20"/>
      <c r="Q448" s="22"/>
      <c r="R448" s="22"/>
      <c r="S448" s="24" t="str">
        <f>IF($A448="","",_EngineTrades!V448)</f>
        <v/>
      </c>
      <c r="T448" t="str">
        <f>IF($A448="","",IFERROR(INDEX(Cycles!$R$9:$R$208,MATCH(_EngineTrades!AU448,_EngineCycles!$A$9:$A$208,0)),""))</f>
        <v/>
      </c>
      <c r="Y448" t="str">
        <f>IF(OR($A448="",$D448&lt;&gt;Overview!$P$2),"",COUNTIFS($D$9:$D$508,$D448,$A$9:$A$508,"&gt;"&amp;$A448)+COUNTIFS($D$9:$D$508,$D448,$A$9:$A$508,$A448)-COUNTIFS($D$9:$D448,$D448,$A$9:$A448,$A448)+1)</f>
        <v/>
      </c>
    </row>
    <row r="449" spans="1:25" ht="23.1" customHeight="1" x14ac:dyDescent="0.25">
      <c r="A449" s="13"/>
      <c r="B449" s="14"/>
      <c r="C449" s="14"/>
      <c r="D449" s="14"/>
      <c r="E449" s="14"/>
      <c r="F449" s="15"/>
      <c r="G449" s="16"/>
      <c r="H449" s="13"/>
      <c r="I449" s="16"/>
      <c r="J449" s="16"/>
      <c r="K449" s="17" t="str">
        <f>IF($A449="","",_EngineTrades!S449)</f>
        <v/>
      </c>
      <c r="L449" s="15"/>
      <c r="M449" s="16"/>
      <c r="N449" s="14"/>
      <c r="O449" s="18" t="str">
        <f t="shared" si="6"/>
        <v/>
      </c>
      <c r="P449" s="14"/>
      <c r="Q449" s="16"/>
      <c r="R449" s="16"/>
      <c r="S449" s="18" t="str">
        <f>IF($A449="","",_EngineTrades!V449)</f>
        <v/>
      </c>
      <c r="T449" t="str">
        <f>IF($A449="","",IFERROR(INDEX(Cycles!$R$9:$R$208,MATCH(_EngineTrades!AU449,_EngineCycles!$A$9:$A$208,0)),""))</f>
        <v/>
      </c>
      <c r="Y449" t="str">
        <f>IF(OR($A449="",$D449&lt;&gt;Overview!$P$2),"",COUNTIFS($D$9:$D$508,$D449,$A$9:$A$508,"&gt;"&amp;$A449)+COUNTIFS($D$9:$D$508,$D449,$A$9:$A$508,$A449)-COUNTIFS($D$9:$D449,$D449,$A$9:$A449,$A449)+1)</f>
        <v/>
      </c>
    </row>
    <row r="450" spans="1:25" ht="23.1" customHeight="1" x14ac:dyDescent="0.25">
      <c r="A450" s="19"/>
      <c r="B450" s="20"/>
      <c r="C450" s="20"/>
      <c r="D450" s="20"/>
      <c r="E450" s="20"/>
      <c r="F450" s="21"/>
      <c r="G450" s="22"/>
      <c r="H450" s="19"/>
      <c r="I450" s="22"/>
      <c r="J450" s="22"/>
      <c r="K450" s="23" t="str">
        <f>IF($A450="","",_EngineTrades!S450)</f>
        <v/>
      </c>
      <c r="L450" s="21"/>
      <c r="M450" s="22"/>
      <c r="N450" s="20"/>
      <c r="O450" s="24" t="str">
        <f t="shared" si="6"/>
        <v/>
      </c>
      <c r="P450" s="20"/>
      <c r="Q450" s="22"/>
      <c r="R450" s="22"/>
      <c r="S450" s="24" t="str">
        <f>IF($A450="","",_EngineTrades!V450)</f>
        <v/>
      </c>
      <c r="T450" t="str">
        <f>IF($A450="","",IFERROR(INDEX(Cycles!$R$9:$R$208,MATCH(_EngineTrades!AU450,_EngineCycles!$A$9:$A$208,0)),""))</f>
        <v/>
      </c>
      <c r="Y450" t="str">
        <f>IF(OR($A450="",$D450&lt;&gt;Overview!$P$2),"",COUNTIFS($D$9:$D$508,$D450,$A$9:$A$508,"&gt;"&amp;$A450)+COUNTIFS($D$9:$D$508,$D450,$A$9:$A$508,$A450)-COUNTIFS($D$9:$D450,$D450,$A$9:$A450,$A450)+1)</f>
        <v/>
      </c>
    </row>
    <row r="451" spans="1:25" ht="23.1" customHeight="1" x14ac:dyDescent="0.25">
      <c r="A451" s="13"/>
      <c r="B451" s="14"/>
      <c r="C451" s="14"/>
      <c r="D451" s="14"/>
      <c r="E451" s="14"/>
      <c r="F451" s="15"/>
      <c r="G451" s="16"/>
      <c r="H451" s="13"/>
      <c r="I451" s="16"/>
      <c r="J451" s="16"/>
      <c r="K451" s="17" t="str">
        <f>IF($A451="","",_EngineTrades!S451)</f>
        <v/>
      </c>
      <c r="L451" s="15"/>
      <c r="M451" s="16"/>
      <c r="N451" s="14"/>
      <c r="O451" s="18" t="str">
        <f t="shared" si="6"/>
        <v/>
      </c>
      <c r="P451" s="14"/>
      <c r="Q451" s="16"/>
      <c r="R451" s="16"/>
      <c r="S451" s="18" t="str">
        <f>IF($A451="","",_EngineTrades!V451)</f>
        <v/>
      </c>
      <c r="T451" t="str">
        <f>IF($A451="","",IFERROR(INDEX(Cycles!$R$9:$R$208,MATCH(_EngineTrades!AU451,_EngineCycles!$A$9:$A$208,0)),""))</f>
        <v/>
      </c>
      <c r="Y451" t="str">
        <f>IF(OR($A451="",$D451&lt;&gt;Overview!$P$2),"",COUNTIFS($D$9:$D$508,$D451,$A$9:$A$508,"&gt;"&amp;$A451)+COUNTIFS($D$9:$D$508,$D451,$A$9:$A$508,$A451)-COUNTIFS($D$9:$D451,$D451,$A$9:$A451,$A451)+1)</f>
        <v/>
      </c>
    </row>
    <row r="452" spans="1:25" ht="23.1" customHeight="1" x14ac:dyDescent="0.25">
      <c r="A452" s="19"/>
      <c r="B452" s="20"/>
      <c r="C452" s="20"/>
      <c r="D452" s="20"/>
      <c r="E452" s="20"/>
      <c r="F452" s="21"/>
      <c r="G452" s="22"/>
      <c r="H452" s="19"/>
      <c r="I452" s="22"/>
      <c r="J452" s="22"/>
      <c r="K452" s="23" t="str">
        <f>IF($A452="","",_EngineTrades!S452)</f>
        <v/>
      </c>
      <c r="L452" s="21"/>
      <c r="M452" s="22"/>
      <c r="N452" s="20"/>
      <c r="O452" s="24" t="str">
        <f t="shared" si="6"/>
        <v/>
      </c>
      <c r="P452" s="20"/>
      <c r="Q452" s="22"/>
      <c r="R452" s="22"/>
      <c r="S452" s="24" t="str">
        <f>IF($A452="","",_EngineTrades!V452)</f>
        <v/>
      </c>
      <c r="T452" t="str">
        <f>IF($A452="","",IFERROR(INDEX(Cycles!$R$9:$R$208,MATCH(_EngineTrades!AU452,_EngineCycles!$A$9:$A$208,0)),""))</f>
        <v/>
      </c>
      <c r="Y452" t="str">
        <f>IF(OR($A452="",$D452&lt;&gt;Overview!$P$2),"",COUNTIFS($D$9:$D$508,$D452,$A$9:$A$508,"&gt;"&amp;$A452)+COUNTIFS($D$9:$D$508,$D452,$A$9:$A$508,$A452)-COUNTIFS($D$9:$D452,$D452,$A$9:$A452,$A452)+1)</f>
        <v/>
      </c>
    </row>
    <row r="453" spans="1:25" ht="23.1" customHeight="1" x14ac:dyDescent="0.25">
      <c r="A453" s="13"/>
      <c r="B453" s="14"/>
      <c r="C453" s="14"/>
      <c r="D453" s="14"/>
      <c r="E453" s="14"/>
      <c r="F453" s="15"/>
      <c r="G453" s="16"/>
      <c r="H453" s="13"/>
      <c r="I453" s="16"/>
      <c r="J453" s="16"/>
      <c r="K453" s="17" t="str">
        <f>IF($A453="","",_EngineTrades!S453)</f>
        <v/>
      </c>
      <c r="L453" s="15"/>
      <c r="M453" s="16"/>
      <c r="N453" s="14"/>
      <c r="O453" s="18" t="str">
        <f t="shared" si="6"/>
        <v/>
      </c>
      <c r="P453" s="14"/>
      <c r="Q453" s="16"/>
      <c r="R453" s="16"/>
      <c r="S453" s="18" t="str">
        <f>IF($A453="","",_EngineTrades!V453)</f>
        <v/>
      </c>
      <c r="T453" t="str">
        <f>IF($A453="","",IFERROR(INDEX(Cycles!$R$9:$R$208,MATCH(_EngineTrades!AU453,_EngineCycles!$A$9:$A$208,0)),""))</f>
        <v/>
      </c>
      <c r="Y453" t="str">
        <f>IF(OR($A453="",$D453&lt;&gt;Overview!$P$2),"",COUNTIFS($D$9:$D$508,$D453,$A$9:$A$508,"&gt;"&amp;$A453)+COUNTIFS($D$9:$D$508,$D453,$A$9:$A$508,$A453)-COUNTIFS($D$9:$D453,$D453,$A$9:$A453,$A453)+1)</f>
        <v/>
      </c>
    </row>
    <row r="454" spans="1:25" ht="23.1" customHeight="1" x14ac:dyDescent="0.25">
      <c r="A454" s="19"/>
      <c r="B454" s="20"/>
      <c r="C454" s="20"/>
      <c r="D454" s="20"/>
      <c r="E454" s="20"/>
      <c r="F454" s="21"/>
      <c r="G454" s="22"/>
      <c r="H454" s="19"/>
      <c r="I454" s="22"/>
      <c r="J454" s="22"/>
      <c r="K454" s="23" t="str">
        <f>IF($A454="","",_EngineTrades!S454)</f>
        <v/>
      </c>
      <c r="L454" s="21"/>
      <c r="M454" s="22"/>
      <c r="N454" s="20"/>
      <c r="O454" s="24" t="str">
        <f t="shared" si="6"/>
        <v/>
      </c>
      <c r="P454" s="20"/>
      <c r="Q454" s="22"/>
      <c r="R454" s="22"/>
      <c r="S454" s="24" t="str">
        <f>IF($A454="","",_EngineTrades!V454)</f>
        <v/>
      </c>
      <c r="T454" t="str">
        <f>IF($A454="","",IFERROR(INDEX(Cycles!$R$9:$R$208,MATCH(_EngineTrades!AU454,_EngineCycles!$A$9:$A$208,0)),""))</f>
        <v/>
      </c>
      <c r="Y454" t="str">
        <f>IF(OR($A454="",$D454&lt;&gt;Overview!$P$2),"",COUNTIFS($D$9:$D$508,$D454,$A$9:$A$508,"&gt;"&amp;$A454)+COUNTIFS($D$9:$D$508,$D454,$A$9:$A$508,$A454)-COUNTIFS($D$9:$D454,$D454,$A$9:$A454,$A454)+1)</f>
        <v/>
      </c>
    </row>
    <row r="455" spans="1:25" ht="23.1" customHeight="1" x14ac:dyDescent="0.25">
      <c r="A455" s="13"/>
      <c r="B455" s="14"/>
      <c r="C455" s="14"/>
      <c r="D455" s="14"/>
      <c r="E455" s="14"/>
      <c r="F455" s="15"/>
      <c r="G455" s="16"/>
      <c r="H455" s="13"/>
      <c r="I455" s="16"/>
      <c r="J455" s="16"/>
      <c r="K455" s="17" t="str">
        <f>IF($A455="","",_EngineTrades!S455)</f>
        <v/>
      </c>
      <c r="L455" s="15"/>
      <c r="M455" s="16"/>
      <c r="N455" s="14"/>
      <c r="O455" s="18" t="str">
        <f t="shared" si="6"/>
        <v/>
      </c>
      <c r="P455" s="14"/>
      <c r="Q455" s="16"/>
      <c r="R455" s="16"/>
      <c r="S455" s="18" t="str">
        <f>IF($A455="","",_EngineTrades!V455)</f>
        <v/>
      </c>
      <c r="T455" t="str">
        <f>IF($A455="","",IFERROR(INDEX(Cycles!$R$9:$R$208,MATCH(_EngineTrades!AU455,_EngineCycles!$A$9:$A$208,0)),""))</f>
        <v/>
      </c>
      <c r="Y455" t="str">
        <f>IF(OR($A455="",$D455&lt;&gt;Overview!$P$2),"",COUNTIFS($D$9:$D$508,$D455,$A$9:$A$508,"&gt;"&amp;$A455)+COUNTIFS($D$9:$D$508,$D455,$A$9:$A$508,$A455)-COUNTIFS($D$9:$D455,$D455,$A$9:$A455,$A455)+1)</f>
        <v/>
      </c>
    </row>
    <row r="456" spans="1:25" ht="23.1" customHeight="1" x14ac:dyDescent="0.25">
      <c r="A456" s="19"/>
      <c r="B456" s="20"/>
      <c r="C456" s="20"/>
      <c r="D456" s="20"/>
      <c r="E456" s="20"/>
      <c r="F456" s="21"/>
      <c r="G456" s="22"/>
      <c r="H456" s="19"/>
      <c r="I456" s="22"/>
      <c r="J456" s="22"/>
      <c r="K456" s="23" t="str">
        <f>IF($A456="","",_EngineTrades!S456)</f>
        <v/>
      </c>
      <c r="L456" s="21"/>
      <c r="M456" s="22"/>
      <c r="N456" s="20"/>
      <c r="O456" s="24" t="str">
        <f t="shared" si="6"/>
        <v/>
      </c>
      <c r="P456" s="20"/>
      <c r="Q456" s="22"/>
      <c r="R456" s="22"/>
      <c r="S456" s="24" t="str">
        <f>IF($A456="","",_EngineTrades!V456)</f>
        <v/>
      </c>
      <c r="T456" t="str">
        <f>IF($A456="","",IFERROR(INDEX(Cycles!$R$9:$R$208,MATCH(_EngineTrades!AU456,_EngineCycles!$A$9:$A$208,0)),""))</f>
        <v/>
      </c>
      <c r="Y456" t="str">
        <f>IF(OR($A456="",$D456&lt;&gt;Overview!$P$2),"",COUNTIFS($D$9:$D$508,$D456,$A$9:$A$508,"&gt;"&amp;$A456)+COUNTIFS($D$9:$D$508,$D456,$A$9:$A$508,$A456)-COUNTIFS($D$9:$D456,$D456,$A$9:$A456,$A456)+1)</f>
        <v/>
      </c>
    </row>
    <row r="457" spans="1:25" ht="23.1" customHeight="1" x14ac:dyDescent="0.25">
      <c r="A457" s="13"/>
      <c r="B457" s="14"/>
      <c r="C457" s="14"/>
      <c r="D457" s="14"/>
      <c r="E457" s="14"/>
      <c r="F457" s="15"/>
      <c r="G457" s="16"/>
      <c r="H457" s="13"/>
      <c r="I457" s="16"/>
      <c r="J457" s="16"/>
      <c r="K457" s="17" t="str">
        <f>IF($A457="","",_EngineTrades!S457)</f>
        <v/>
      </c>
      <c r="L457" s="15"/>
      <c r="M457" s="16"/>
      <c r="N457" s="14"/>
      <c r="O457" s="18" t="str">
        <f t="shared" ref="O457:O508" si="7">IF(OR($A457="",$B457=""),"","E"&amp;TEXT(ROW()-8,"0000"))</f>
        <v/>
      </c>
      <c r="P457" s="14"/>
      <c r="Q457" s="16"/>
      <c r="R457" s="16"/>
      <c r="S457" s="18" t="str">
        <f>IF($A457="","",_EngineTrades!V457)</f>
        <v/>
      </c>
      <c r="T457" t="str">
        <f>IF($A457="","",IFERROR(INDEX(Cycles!$R$9:$R$208,MATCH(_EngineTrades!AU457,_EngineCycles!$A$9:$A$208,0)),""))</f>
        <v/>
      </c>
      <c r="Y457" t="str">
        <f>IF(OR($A457="",$D457&lt;&gt;Overview!$P$2),"",COUNTIFS($D$9:$D$508,$D457,$A$9:$A$508,"&gt;"&amp;$A457)+COUNTIFS($D$9:$D$508,$D457,$A$9:$A$508,$A457)-COUNTIFS($D$9:$D457,$D457,$A$9:$A457,$A457)+1)</f>
        <v/>
      </c>
    </row>
    <row r="458" spans="1:25" ht="23.1" customHeight="1" x14ac:dyDescent="0.25">
      <c r="A458" s="19"/>
      <c r="B458" s="20"/>
      <c r="C458" s="20"/>
      <c r="D458" s="20"/>
      <c r="E458" s="20"/>
      <c r="F458" s="21"/>
      <c r="G458" s="22"/>
      <c r="H458" s="19"/>
      <c r="I458" s="22"/>
      <c r="J458" s="22"/>
      <c r="K458" s="23" t="str">
        <f>IF($A458="","",_EngineTrades!S458)</f>
        <v/>
      </c>
      <c r="L458" s="21"/>
      <c r="M458" s="22"/>
      <c r="N458" s="20"/>
      <c r="O458" s="24" t="str">
        <f t="shared" si="7"/>
        <v/>
      </c>
      <c r="P458" s="20"/>
      <c r="Q458" s="22"/>
      <c r="R458" s="22"/>
      <c r="S458" s="24" t="str">
        <f>IF($A458="","",_EngineTrades!V458)</f>
        <v/>
      </c>
      <c r="T458" t="str">
        <f>IF($A458="","",IFERROR(INDEX(Cycles!$R$9:$R$208,MATCH(_EngineTrades!AU458,_EngineCycles!$A$9:$A$208,0)),""))</f>
        <v/>
      </c>
      <c r="Y458" t="str">
        <f>IF(OR($A458="",$D458&lt;&gt;Overview!$P$2),"",COUNTIFS($D$9:$D$508,$D458,$A$9:$A$508,"&gt;"&amp;$A458)+COUNTIFS($D$9:$D$508,$D458,$A$9:$A$508,$A458)-COUNTIFS($D$9:$D458,$D458,$A$9:$A458,$A458)+1)</f>
        <v/>
      </c>
    </row>
    <row r="459" spans="1:25" ht="23.1" customHeight="1" x14ac:dyDescent="0.25">
      <c r="A459" s="13"/>
      <c r="B459" s="14"/>
      <c r="C459" s="14"/>
      <c r="D459" s="14"/>
      <c r="E459" s="14"/>
      <c r="F459" s="15"/>
      <c r="G459" s="16"/>
      <c r="H459" s="13"/>
      <c r="I459" s="16"/>
      <c r="J459" s="16"/>
      <c r="K459" s="17" t="str">
        <f>IF($A459="","",_EngineTrades!S459)</f>
        <v/>
      </c>
      <c r="L459" s="15"/>
      <c r="M459" s="16"/>
      <c r="N459" s="14"/>
      <c r="O459" s="18" t="str">
        <f t="shared" si="7"/>
        <v/>
      </c>
      <c r="P459" s="14"/>
      <c r="Q459" s="16"/>
      <c r="R459" s="16"/>
      <c r="S459" s="18" t="str">
        <f>IF($A459="","",_EngineTrades!V459)</f>
        <v/>
      </c>
      <c r="T459" t="str">
        <f>IF($A459="","",IFERROR(INDEX(Cycles!$R$9:$R$208,MATCH(_EngineTrades!AU459,_EngineCycles!$A$9:$A$208,0)),""))</f>
        <v/>
      </c>
      <c r="Y459" t="str">
        <f>IF(OR($A459="",$D459&lt;&gt;Overview!$P$2),"",COUNTIFS($D$9:$D$508,$D459,$A$9:$A$508,"&gt;"&amp;$A459)+COUNTIFS($D$9:$D$508,$D459,$A$9:$A$508,$A459)-COUNTIFS($D$9:$D459,$D459,$A$9:$A459,$A459)+1)</f>
        <v/>
      </c>
    </row>
    <row r="460" spans="1:25" ht="23.1" customHeight="1" x14ac:dyDescent="0.25">
      <c r="A460" s="19"/>
      <c r="B460" s="20"/>
      <c r="C460" s="20"/>
      <c r="D460" s="20"/>
      <c r="E460" s="20"/>
      <c r="F460" s="21"/>
      <c r="G460" s="22"/>
      <c r="H460" s="19"/>
      <c r="I460" s="22"/>
      <c r="J460" s="22"/>
      <c r="K460" s="23" t="str">
        <f>IF($A460="","",_EngineTrades!S460)</f>
        <v/>
      </c>
      <c r="L460" s="21"/>
      <c r="M460" s="22"/>
      <c r="N460" s="20"/>
      <c r="O460" s="24" t="str">
        <f t="shared" si="7"/>
        <v/>
      </c>
      <c r="P460" s="20"/>
      <c r="Q460" s="22"/>
      <c r="R460" s="22"/>
      <c r="S460" s="24" t="str">
        <f>IF($A460="","",_EngineTrades!V460)</f>
        <v/>
      </c>
      <c r="T460" t="str">
        <f>IF($A460="","",IFERROR(INDEX(Cycles!$R$9:$R$208,MATCH(_EngineTrades!AU460,_EngineCycles!$A$9:$A$208,0)),""))</f>
        <v/>
      </c>
      <c r="Y460" t="str">
        <f>IF(OR($A460="",$D460&lt;&gt;Overview!$P$2),"",COUNTIFS($D$9:$D$508,$D460,$A$9:$A$508,"&gt;"&amp;$A460)+COUNTIFS($D$9:$D$508,$D460,$A$9:$A$508,$A460)-COUNTIFS($D$9:$D460,$D460,$A$9:$A460,$A460)+1)</f>
        <v/>
      </c>
    </row>
    <row r="461" spans="1:25" ht="23.1" customHeight="1" x14ac:dyDescent="0.25">
      <c r="A461" s="13"/>
      <c r="B461" s="14"/>
      <c r="C461" s="14"/>
      <c r="D461" s="14"/>
      <c r="E461" s="14"/>
      <c r="F461" s="15"/>
      <c r="G461" s="16"/>
      <c r="H461" s="13"/>
      <c r="I461" s="16"/>
      <c r="J461" s="16"/>
      <c r="K461" s="17" t="str">
        <f>IF($A461="","",_EngineTrades!S461)</f>
        <v/>
      </c>
      <c r="L461" s="15"/>
      <c r="M461" s="16"/>
      <c r="N461" s="14"/>
      <c r="O461" s="18" t="str">
        <f t="shared" si="7"/>
        <v/>
      </c>
      <c r="P461" s="14"/>
      <c r="Q461" s="16"/>
      <c r="R461" s="16"/>
      <c r="S461" s="18" t="str">
        <f>IF($A461="","",_EngineTrades!V461)</f>
        <v/>
      </c>
      <c r="T461" t="str">
        <f>IF($A461="","",IFERROR(INDEX(Cycles!$R$9:$R$208,MATCH(_EngineTrades!AU461,_EngineCycles!$A$9:$A$208,0)),""))</f>
        <v/>
      </c>
      <c r="Y461" t="str">
        <f>IF(OR($A461="",$D461&lt;&gt;Overview!$P$2),"",COUNTIFS($D$9:$D$508,$D461,$A$9:$A$508,"&gt;"&amp;$A461)+COUNTIFS($D$9:$D$508,$D461,$A$9:$A$508,$A461)-COUNTIFS($D$9:$D461,$D461,$A$9:$A461,$A461)+1)</f>
        <v/>
      </c>
    </row>
    <row r="462" spans="1:25" ht="23.1" customHeight="1" x14ac:dyDescent="0.25">
      <c r="A462" s="19"/>
      <c r="B462" s="20"/>
      <c r="C462" s="20"/>
      <c r="D462" s="20"/>
      <c r="E462" s="20"/>
      <c r="F462" s="21"/>
      <c r="G462" s="22"/>
      <c r="H462" s="19"/>
      <c r="I462" s="22"/>
      <c r="J462" s="22"/>
      <c r="K462" s="23" t="str">
        <f>IF($A462="","",_EngineTrades!S462)</f>
        <v/>
      </c>
      <c r="L462" s="21"/>
      <c r="M462" s="22"/>
      <c r="N462" s="20"/>
      <c r="O462" s="24" t="str">
        <f t="shared" si="7"/>
        <v/>
      </c>
      <c r="P462" s="20"/>
      <c r="Q462" s="22"/>
      <c r="R462" s="22"/>
      <c r="S462" s="24" t="str">
        <f>IF($A462="","",_EngineTrades!V462)</f>
        <v/>
      </c>
      <c r="T462" t="str">
        <f>IF($A462="","",IFERROR(INDEX(Cycles!$R$9:$R$208,MATCH(_EngineTrades!AU462,_EngineCycles!$A$9:$A$208,0)),""))</f>
        <v/>
      </c>
      <c r="Y462" t="str">
        <f>IF(OR($A462="",$D462&lt;&gt;Overview!$P$2),"",COUNTIFS($D$9:$D$508,$D462,$A$9:$A$508,"&gt;"&amp;$A462)+COUNTIFS($D$9:$D$508,$D462,$A$9:$A$508,$A462)-COUNTIFS($D$9:$D462,$D462,$A$9:$A462,$A462)+1)</f>
        <v/>
      </c>
    </row>
    <row r="463" spans="1:25" ht="23.1" customHeight="1" x14ac:dyDescent="0.25">
      <c r="A463" s="13"/>
      <c r="B463" s="14"/>
      <c r="C463" s="14"/>
      <c r="D463" s="14"/>
      <c r="E463" s="14"/>
      <c r="F463" s="15"/>
      <c r="G463" s="16"/>
      <c r="H463" s="13"/>
      <c r="I463" s="16"/>
      <c r="J463" s="16"/>
      <c r="K463" s="17" t="str">
        <f>IF($A463="","",_EngineTrades!S463)</f>
        <v/>
      </c>
      <c r="L463" s="15"/>
      <c r="M463" s="16"/>
      <c r="N463" s="14"/>
      <c r="O463" s="18" t="str">
        <f t="shared" si="7"/>
        <v/>
      </c>
      <c r="P463" s="14"/>
      <c r="Q463" s="16"/>
      <c r="R463" s="16"/>
      <c r="S463" s="18" t="str">
        <f>IF($A463="","",_EngineTrades!V463)</f>
        <v/>
      </c>
      <c r="T463" t="str">
        <f>IF($A463="","",IFERROR(INDEX(Cycles!$R$9:$R$208,MATCH(_EngineTrades!AU463,_EngineCycles!$A$9:$A$208,0)),""))</f>
        <v/>
      </c>
      <c r="Y463" t="str">
        <f>IF(OR($A463="",$D463&lt;&gt;Overview!$P$2),"",COUNTIFS($D$9:$D$508,$D463,$A$9:$A$508,"&gt;"&amp;$A463)+COUNTIFS($D$9:$D$508,$D463,$A$9:$A$508,$A463)-COUNTIFS($D$9:$D463,$D463,$A$9:$A463,$A463)+1)</f>
        <v/>
      </c>
    </row>
    <row r="464" spans="1:25" ht="23.1" customHeight="1" x14ac:dyDescent="0.25">
      <c r="A464" s="19"/>
      <c r="B464" s="20"/>
      <c r="C464" s="20"/>
      <c r="D464" s="20"/>
      <c r="E464" s="20"/>
      <c r="F464" s="21"/>
      <c r="G464" s="22"/>
      <c r="H464" s="19"/>
      <c r="I464" s="22"/>
      <c r="J464" s="22"/>
      <c r="K464" s="23" t="str">
        <f>IF($A464="","",_EngineTrades!S464)</f>
        <v/>
      </c>
      <c r="L464" s="21"/>
      <c r="M464" s="22"/>
      <c r="N464" s="20"/>
      <c r="O464" s="24" t="str">
        <f t="shared" si="7"/>
        <v/>
      </c>
      <c r="P464" s="20"/>
      <c r="Q464" s="22"/>
      <c r="R464" s="22"/>
      <c r="S464" s="24" t="str">
        <f>IF($A464="","",_EngineTrades!V464)</f>
        <v/>
      </c>
      <c r="T464" t="str">
        <f>IF($A464="","",IFERROR(INDEX(Cycles!$R$9:$R$208,MATCH(_EngineTrades!AU464,_EngineCycles!$A$9:$A$208,0)),""))</f>
        <v/>
      </c>
      <c r="Y464" t="str">
        <f>IF(OR($A464="",$D464&lt;&gt;Overview!$P$2),"",COUNTIFS($D$9:$D$508,$D464,$A$9:$A$508,"&gt;"&amp;$A464)+COUNTIFS($D$9:$D$508,$D464,$A$9:$A$508,$A464)-COUNTIFS($D$9:$D464,$D464,$A$9:$A464,$A464)+1)</f>
        <v/>
      </c>
    </row>
    <row r="465" spans="1:25" ht="23.1" customHeight="1" x14ac:dyDescent="0.25">
      <c r="A465" s="13"/>
      <c r="B465" s="14"/>
      <c r="C465" s="14"/>
      <c r="D465" s="14"/>
      <c r="E465" s="14"/>
      <c r="F465" s="15"/>
      <c r="G465" s="16"/>
      <c r="H465" s="13"/>
      <c r="I465" s="16"/>
      <c r="J465" s="16"/>
      <c r="K465" s="17" t="str">
        <f>IF($A465="","",_EngineTrades!S465)</f>
        <v/>
      </c>
      <c r="L465" s="15"/>
      <c r="M465" s="16"/>
      <c r="N465" s="14"/>
      <c r="O465" s="18" t="str">
        <f t="shared" si="7"/>
        <v/>
      </c>
      <c r="P465" s="14"/>
      <c r="Q465" s="16"/>
      <c r="R465" s="16"/>
      <c r="S465" s="18" t="str">
        <f>IF($A465="","",_EngineTrades!V465)</f>
        <v/>
      </c>
      <c r="T465" t="str">
        <f>IF($A465="","",IFERROR(INDEX(Cycles!$R$9:$R$208,MATCH(_EngineTrades!AU465,_EngineCycles!$A$9:$A$208,0)),""))</f>
        <v/>
      </c>
      <c r="Y465" t="str">
        <f>IF(OR($A465="",$D465&lt;&gt;Overview!$P$2),"",COUNTIFS($D$9:$D$508,$D465,$A$9:$A$508,"&gt;"&amp;$A465)+COUNTIFS($D$9:$D$508,$D465,$A$9:$A$508,$A465)-COUNTIFS($D$9:$D465,$D465,$A$9:$A465,$A465)+1)</f>
        <v/>
      </c>
    </row>
    <row r="466" spans="1:25" ht="23.1" customHeight="1" x14ac:dyDescent="0.25">
      <c r="A466" s="19"/>
      <c r="B466" s="20"/>
      <c r="C466" s="20"/>
      <c r="D466" s="20"/>
      <c r="E466" s="20"/>
      <c r="F466" s="21"/>
      <c r="G466" s="22"/>
      <c r="H466" s="19"/>
      <c r="I466" s="22"/>
      <c r="J466" s="22"/>
      <c r="K466" s="23" t="str">
        <f>IF($A466="","",_EngineTrades!S466)</f>
        <v/>
      </c>
      <c r="L466" s="21"/>
      <c r="M466" s="22"/>
      <c r="N466" s="20"/>
      <c r="O466" s="24" t="str">
        <f t="shared" si="7"/>
        <v/>
      </c>
      <c r="P466" s="20"/>
      <c r="Q466" s="22"/>
      <c r="R466" s="22"/>
      <c r="S466" s="24" t="str">
        <f>IF($A466="","",_EngineTrades!V466)</f>
        <v/>
      </c>
      <c r="T466" t="str">
        <f>IF($A466="","",IFERROR(INDEX(Cycles!$R$9:$R$208,MATCH(_EngineTrades!AU466,_EngineCycles!$A$9:$A$208,0)),""))</f>
        <v/>
      </c>
      <c r="Y466" t="str">
        <f>IF(OR($A466="",$D466&lt;&gt;Overview!$P$2),"",COUNTIFS($D$9:$D$508,$D466,$A$9:$A$508,"&gt;"&amp;$A466)+COUNTIFS($D$9:$D$508,$D466,$A$9:$A$508,$A466)-COUNTIFS($D$9:$D466,$D466,$A$9:$A466,$A466)+1)</f>
        <v/>
      </c>
    </row>
    <row r="467" spans="1:25" ht="23.1" customHeight="1" x14ac:dyDescent="0.25">
      <c r="A467" s="13"/>
      <c r="B467" s="14"/>
      <c r="C467" s="14"/>
      <c r="D467" s="14"/>
      <c r="E467" s="14"/>
      <c r="F467" s="15"/>
      <c r="G467" s="16"/>
      <c r="H467" s="13"/>
      <c r="I467" s="16"/>
      <c r="J467" s="16"/>
      <c r="K467" s="17" t="str">
        <f>IF($A467="","",_EngineTrades!S467)</f>
        <v/>
      </c>
      <c r="L467" s="15"/>
      <c r="M467" s="16"/>
      <c r="N467" s="14"/>
      <c r="O467" s="18" t="str">
        <f t="shared" si="7"/>
        <v/>
      </c>
      <c r="P467" s="14"/>
      <c r="Q467" s="16"/>
      <c r="R467" s="16"/>
      <c r="S467" s="18" t="str">
        <f>IF($A467="","",_EngineTrades!V467)</f>
        <v/>
      </c>
      <c r="T467" t="str">
        <f>IF($A467="","",IFERROR(INDEX(Cycles!$R$9:$R$208,MATCH(_EngineTrades!AU467,_EngineCycles!$A$9:$A$208,0)),""))</f>
        <v/>
      </c>
      <c r="Y467" t="str">
        <f>IF(OR($A467="",$D467&lt;&gt;Overview!$P$2),"",COUNTIFS($D$9:$D$508,$D467,$A$9:$A$508,"&gt;"&amp;$A467)+COUNTIFS($D$9:$D$508,$D467,$A$9:$A$508,$A467)-COUNTIFS($D$9:$D467,$D467,$A$9:$A467,$A467)+1)</f>
        <v/>
      </c>
    </row>
    <row r="468" spans="1:25" ht="23.1" customHeight="1" x14ac:dyDescent="0.25">
      <c r="A468" s="19"/>
      <c r="B468" s="20"/>
      <c r="C468" s="20"/>
      <c r="D468" s="20"/>
      <c r="E468" s="20"/>
      <c r="F468" s="21"/>
      <c r="G468" s="22"/>
      <c r="H468" s="19"/>
      <c r="I468" s="22"/>
      <c r="J468" s="22"/>
      <c r="K468" s="23" t="str">
        <f>IF($A468="","",_EngineTrades!S468)</f>
        <v/>
      </c>
      <c r="L468" s="21"/>
      <c r="M468" s="22"/>
      <c r="N468" s="20"/>
      <c r="O468" s="24" t="str">
        <f t="shared" si="7"/>
        <v/>
      </c>
      <c r="P468" s="20"/>
      <c r="Q468" s="22"/>
      <c r="R468" s="22"/>
      <c r="S468" s="24" t="str">
        <f>IF($A468="","",_EngineTrades!V468)</f>
        <v/>
      </c>
      <c r="T468" t="str">
        <f>IF($A468="","",IFERROR(INDEX(Cycles!$R$9:$R$208,MATCH(_EngineTrades!AU468,_EngineCycles!$A$9:$A$208,0)),""))</f>
        <v/>
      </c>
      <c r="Y468" t="str">
        <f>IF(OR($A468="",$D468&lt;&gt;Overview!$P$2),"",COUNTIFS($D$9:$D$508,$D468,$A$9:$A$508,"&gt;"&amp;$A468)+COUNTIFS($D$9:$D$508,$D468,$A$9:$A$508,$A468)-COUNTIFS($D$9:$D468,$D468,$A$9:$A468,$A468)+1)</f>
        <v/>
      </c>
    </row>
    <row r="469" spans="1:25" ht="23.1" customHeight="1" x14ac:dyDescent="0.25">
      <c r="A469" s="13"/>
      <c r="B469" s="14"/>
      <c r="C469" s="14"/>
      <c r="D469" s="14"/>
      <c r="E469" s="14"/>
      <c r="F469" s="15"/>
      <c r="G469" s="16"/>
      <c r="H469" s="13"/>
      <c r="I469" s="16"/>
      <c r="J469" s="16"/>
      <c r="K469" s="17" t="str">
        <f>IF($A469="","",_EngineTrades!S469)</f>
        <v/>
      </c>
      <c r="L469" s="15"/>
      <c r="M469" s="16"/>
      <c r="N469" s="14"/>
      <c r="O469" s="18" t="str">
        <f t="shared" si="7"/>
        <v/>
      </c>
      <c r="P469" s="14"/>
      <c r="Q469" s="16"/>
      <c r="R469" s="16"/>
      <c r="S469" s="18" t="str">
        <f>IF($A469="","",_EngineTrades!V469)</f>
        <v/>
      </c>
      <c r="T469" t="str">
        <f>IF($A469="","",IFERROR(INDEX(Cycles!$R$9:$R$208,MATCH(_EngineTrades!AU469,_EngineCycles!$A$9:$A$208,0)),""))</f>
        <v/>
      </c>
      <c r="Y469" t="str">
        <f>IF(OR($A469="",$D469&lt;&gt;Overview!$P$2),"",COUNTIFS($D$9:$D$508,$D469,$A$9:$A$508,"&gt;"&amp;$A469)+COUNTIFS($D$9:$D$508,$D469,$A$9:$A$508,$A469)-COUNTIFS($D$9:$D469,$D469,$A$9:$A469,$A469)+1)</f>
        <v/>
      </c>
    </row>
    <row r="470" spans="1:25" ht="23.1" customHeight="1" x14ac:dyDescent="0.25">
      <c r="A470" s="19"/>
      <c r="B470" s="20"/>
      <c r="C470" s="20"/>
      <c r="D470" s="20"/>
      <c r="E470" s="20"/>
      <c r="F470" s="21"/>
      <c r="G470" s="22"/>
      <c r="H470" s="19"/>
      <c r="I470" s="22"/>
      <c r="J470" s="22"/>
      <c r="K470" s="23" t="str">
        <f>IF($A470="","",_EngineTrades!S470)</f>
        <v/>
      </c>
      <c r="L470" s="21"/>
      <c r="M470" s="22"/>
      <c r="N470" s="20"/>
      <c r="O470" s="24" t="str">
        <f t="shared" si="7"/>
        <v/>
      </c>
      <c r="P470" s="20"/>
      <c r="Q470" s="22"/>
      <c r="R470" s="22"/>
      <c r="S470" s="24" t="str">
        <f>IF($A470="","",_EngineTrades!V470)</f>
        <v/>
      </c>
      <c r="T470" t="str">
        <f>IF($A470="","",IFERROR(INDEX(Cycles!$R$9:$R$208,MATCH(_EngineTrades!AU470,_EngineCycles!$A$9:$A$208,0)),""))</f>
        <v/>
      </c>
      <c r="Y470" t="str">
        <f>IF(OR($A470="",$D470&lt;&gt;Overview!$P$2),"",COUNTIFS($D$9:$D$508,$D470,$A$9:$A$508,"&gt;"&amp;$A470)+COUNTIFS($D$9:$D$508,$D470,$A$9:$A$508,$A470)-COUNTIFS($D$9:$D470,$D470,$A$9:$A470,$A470)+1)</f>
        <v/>
      </c>
    </row>
    <row r="471" spans="1:25" ht="23.1" customHeight="1" x14ac:dyDescent="0.25">
      <c r="A471" s="13"/>
      <c r="B471" s="14"/>
      <c r="C471" s="14"/>
      <c r="D471" s="14"/>
      <c r="E471" s="14"/>
      <c r="F471" s="15"/>
      <c r="G471" s="16"/>
      <c r="H471" s="13"/>
      <c r="I471" s="16"/>
      <c r="J471" s="16"/>
      <c r="K471" s="17" t="str">
        <f>IF($A471="","",_EngineTrades!S471)</f>
        <v/>
      </c>
      <c r="L471" s="15"/>
      <c r="M471" s="16"/>
      <c r="N471" s="14"/>
      <c r="O471" s="18" t="str">
        <f t="shared" si="7"/>
        <v/>
      </c>
      <c r="P471" s="14"/>
      <c r="Q471" s="16"/>
      <c r="R471" s="16"/>
      <c r="S471" s="18" t="str">
        <f>IF($A471="","",_EngineTrades!V471)</f>
        <v/>
      </c>
      <c r="T471" t="str">
        <f>IF($A471="","",IFERROR(INDEX(Cycles!$R$9:$R$208,MATCH(_EngineTrades!AU471,_EngineCycles!$A$9:$A$208,0)),""))</f>
        <v/>
      </c>
      <c r="Y471" t="str">
        <f>IF(OR($A471="",$D471&lt;&gt;Overview!$P$2),"",COUNTIFS($D$9:$D$508,$D471,$A$9:$A$508,"&gt;"&amp;$A471)+COUNTIFS($D$9:$D$508,$D471,$A$9:$A$508,$A471)-COUNTIFS($D$9:$D471,$D471,$A$9:$A471,$A471)+1)</f>
        <v/>
      </c>
    </row>
    <row r="472" spans="1:25" ht="23.1" customHeight="1" x14ac:dyDescent="0.25">
      <c r="A472" s="19"/>
      <c r="B472" s="20"/>
      <c r="C472" s="20"/>
      <c r="D472" s="20"/>
      <c r="E472" s="20"/>
      <c r="F472" s="21"/>
      <c r="G472" s="22"/>
      <c r="H472" s="19"/>
      <c r="I472" s="22"/>
      <c r="J472" s="22"/>
      <c r="K472" s="23" t="str">
        <f>IF($A472="","",_EngineTrades!S472)</f>
        <v/>
      </c>
      <c r="L472" s="21"/>
      <c r="M472" s="22"/>
      <c r="N472" s="20"/>
      <c r="O472" s="24" t="str">
        <f t="shared" si="7"/>
        <v/>
      </c>
      <c r="P472" s="20"/>
      <c r="Q472" s="22"/>
      <c r="R472" s="22"/>
      <c r="S472" s="24" t="str">
        <f>IF($A472="","",_EngineTrades!V472)</f>
        <v/>
      </c>
      <c r="T472" t="str">
        <f>IF($A472="","",IFERROR(INDEX(Cycles!$R$9:$R$208,MATCH(_EngineTrades!AU472,_EngineCycles!$A$9:$A$208,0)),""))</f>
        <v/>
      </c>
      <c r="Y472" t="str">
        <f>IF(OR($A472="",$D472&lt;&gt;Overview!$P$2),"",COUNTIFS($D$9:$D$508,$D472,$A$9:$A$508,"&gt;"&amp;$A472)+COUNTIFS($D$9:$D$508,$D472,$A$9:$A$508,$A472)-COUNTIFS($D$9:$D472,$D472,$A$9:$A472,$A472)+1)</f>
        <v/>
      </c>
    </row>
    <row r="473" spans="1:25" ht="23.1" customHeight="1" x14ac:dyDescent="0.25">
      <c r="A473" s="13"/>
      <c r="B473" s="14"/>
      <c r="C473" s="14"/>
      <c r="D473" s="14"/>
      <c r="E473" s="14"/>
      <c r="F473" s="15"/>
      <c r="G473" s="16"/>
      <c r="H473" s="13"/>
      <c r="I473" s="16"/>
      <c r="J473" s="16"/>
      <c r="K473" s="17" t="str">
        <f>IF($A473="","",_EngineTrades!S473)</f>
        <v/>
      </c>
      <c r="L473" s="15"/>
      <c r="M473" s="16"/>
      <c r="N473" s="14"/>
      <c r="O473" s="18" t="str">
        <f t="shared" si="7"/>
        <v/>
      </c>
      <c r="P473" s="14"/>
      <c r="Q473" s="16"/>
      <c r="R473" s="16"/>
      <c r="S473" s="18" t="str">
        <f>IF($A473="","",_EngineTrades!V473)</f>
        <v/>
      </c>
      <c r="T473" t="str">
        <f>IF($A473="","",IFERROR(INDEX(Cycles!$R$9:$R$208,MATCH(_EngineTrades!AU473,_EngineCycles!$A$9:$A$208,0)),""))</f>
        <v/>
      </c>
      <c r="Y473" t="str">
        <f>IF(OR($A473="",$D473&lt;&gt;Overview!$P$2),"",COUNTIFS($D$9:$D$508,$D473,$A$9:$A$508,"&gt;"&amp;$A473)+COUNTIFS($D$9:$D$508,$D473,$A$9:$A$508,$A473)-COUNTIFS($D$9:$D473,$D473,$A$9:$A473,$A473)+1)</f>
        <v/>
      </c>
    </row>
    <row r="474" spans="1:25" ht="23.1" customHeight="1" x14ac:dyDescent="0.25">
      <c r="A474" s="19"/>
      <c r="B474" s="20"/>
      <c r="C474" s="20"/>
      <c r="D474" s="20"/>
      <c r="E474" s="20"/>
      <c r="F474" s="21"/>
      <c r="G474" s="22"/>
      <c r="H474" s="19"/>
      <c r="I474" s="22"/>
      <c r="J474" s="22"/>
      <c r="K474" s="23" t="str">
        <f>IF($A474="","",_EngineTrades!S474)</f>
        <v/>
      </c>
      <c r="L474" s="21"/>
      <c r="M474" s="22"/>
      <c r="N474" s="20"/>
      <c r="O474" s="24" t="str">
        <f t="shared" si="7"/>
        <v/>
      </c>
      <c r="P474" s="20"/>
      <c r="Q474" s="22"/>
      <c r="R474" s="22"/>
      <c r="S474" s="24" t="str">
        <f>IF($A474="","",_EngineTrades!V474)</f>
        <v/>
      </c>
      <c r="T474" t="str">
        <f>IF($A474="","",IFERROR(INDEX(Cycles!$R$9:$R$208,MATCH(_EngineTrades!AU474,_EngineCycles!$A$9:$A$208,0)),""))</f>
        <v/>
      </c>
      <c r="Y474" t="str">
        <f>IF(OR($A474="",$D474&lt;&gt;Overview!$P$2),"",COUNTIFS($D$9:$D$508,$D474,$A$9:$A$508,"&gt;"&amp;$A474)+COUNTIFS($D$9:$D$508,$D474,$A$9:$A$508,$A474)-COUNTIFS($D$9:$D474,$D474,$A$9:$A474,$A474)+1)</f>
        <v/>
      </c>
    </row>
    <row r="475" spans="1:25" ht="23.1" customHeight="1" x14ac:dyDescent="0.25">
      <c r="A475" s="13"/>
      <c r="B475" s="14"/>
      <c r="C475" s="14"/>
      <c r="D475" s="14"/>
      <c r="E475" s="14"/>
      <c r="F475" s="15"/>
      <c r="G475" s="16"/>
      <c r="H475" s="13"/>
      <c r="I475" s="16"/>
      <c r="J475" s="16"/>
      <c r="K475" s="17" t="str">
        <f>IF($A475="","",_EngineTrades!S475)</f>
        <v/>
      </c>
      <c r="L475" s="15"/>
      <c r="M475" s="16"/>
      <c r="N475" s="14"/>
      <c r="O475" s="18" t="str">
        <f t="shared" si="7"/>
        <v/>
      </c>
      <c r="P475" s="14"/>
      <c r="Q475" s="16"/>
      <c r="R475" s="16"/>
      <c r="S475" s="18" t="str">
        <f>IF($A475="","",_EngineTrades!V475)</f>
        <v/>
      </c>
      <c r="T475" t="str">
        <f>IF($A475="","",IFERROR(INDEX(Cycles!$R$9:$R$208,MATCH(_EngineTrades!AU475,_EngineCycles!$A$9:$A$208,0)),""))</f>
        <v/>
      </c>
      <c r="Y475" t="str">
        <f>IF(OR($A475="",$D475&lt;&gt;Overview!$P$2),"",COUNTIFS($D$9:$D$508,$D475,$A$9:$A$508,"&gt;"&amp;$A475)+COUNTIFS($D$9:$D$508,$D475,$A$9:$A$508,$A475)-COUNTIFS($D$9:$D475,$D475,$A$9:$A475,$A475)+1)</f>
        <v/>
      </c>
    </row>
    <row r="476" spans="1:25" ht="23.1" customHeight="1" x14ac:dyDescent="0.25">
      <c r="A476" s="19"/>
      <c r="B476" s="20"/>
      <c r="C476" s="20"/>
      <c r="D476" s="20"/>
      <c r="E476" s="20"/>
      <c r="F476" s="21"/>
      <c r="G476" s="22"/>
      <c r="H476" s="19"/>
      <c r="I476" s="22"/>
      <c r="J476" s="22"/>
      <c r="K476" s="23" t="str">
        <f>IF($A476="","",_EngineTrades!S476)</f>
        <v/>
      </c>
      <c r="L476" s="21"/>
      <c r="M476" s="22"/>
      <c r="N476" s="20"/>
      <c r="O476" s="24" t="str">
        <f t="shared" si="7"/>
        <v/>
      </c>
      <c r="P476" s="20"/>
      <c r="Q476" s="22"/>
      <c r="R476" s="22"/>
      <c r="S476" s="24" t="str">
        <f>IF($A476="","",_EngineTrades!V476)</f>
        <v/>
      </c>
      <c r="T476" t="str">
        <f>IF($A476="","",IFERROR(INDEX(Cycles!$R$9:$R$208,MATCH(_EngineTrades!AU476,_EngineCycles!$A$9:$A$208,0)),""))</f>
        <v/>
      </c>
      <c r="Y476" t="str">
        <f>IF(OR($A476="",$D476&lt;&gt;Overview!$P$2),"",COUNTIFS($D$9:$D$508,$D476,$A$9:$A$508,"&gt;"&amp;$A476)+COUNTIFS($D$9:$D$508,$D476,$A$9:$A$508,$A476)-COUNTIFS($D$9:$D476,$D476,$A$9:$A476,$A476)+1)</f>
        <v/>
      </c>
    </row>
    <row r="477" spans="1:25" ht="23.1" customHeight="1" x14ac:dyDescent="0.25">
      <c r="A477" s="13"/>
      <c r="B477" s="14"/>
      <c r="C477" s="14"/>
      <c r="D477" s="14"/>
      <c r="E477" s="14"/>
      <c r="F477" s="15"/>
      <c r="G477" s="16"/>
      <c r="H477" s="13"/>
      <c r="I477" s="16"/>
      <c r="J477" s="16"/>
      <c r="K477" s="17" t="str">
        <f>IF($A477="","",_EngineTrades!S477)</f>
        <v/>
      </c>
      <c r="L477" s="15"/>
      <c r="M477" s="16"/>
      <c r="N477" s="14"/>
      <c r="O477" s="18" t="str">
        <f t="shared" si="7"/>
        <v/>
      </c>
      <c r="P477" s="14"/>
      <c r="Q477" s="16"/>
      <c r="R477" s="16"/>
      <c r="S477" s="18" t="str">
        <f>IF($A477="","",_EngineTrades!V477)</f>
        <v/>
      </c>
      <c r="T477" t="str">
        <f>IF($A477="","",IFERROR(INDEX(Cycles!$R$9:$R$208,MATCH(_EngineTrades!AU477,_EngineCycles!$A$9:$A$208,0)),""))</f>
        <v/>
      </c>
      <c r="Y477" t="str">
        <f>IF(OR($A477="",$D477&lt;&gt;Overview!$P$2),"",COUNTIFS($D$9:$D$508,$D477,$A$9:$A$508,"&gt;"&amp;$A477)+COUNTIFS($D$9:$D$508,$D477,$A$9:$A$508,$A477)-COUNTIFS($D$9:$D477,$D477,$A$9:$A477,$A477)+1)</f>
        <v/>
      </c>
    </row>
    <row r="478" spans="1:25" ht="23.1" customHeight="1" x14ac:dyDescent="0.25">
      <c r="A478" s="19"/>
      <c r="B478" s="20"/>
      <c r="C478" s="20"/>
      <c r="D478" s="20"/>
      <c r="E478" s="20"/>
      <c r="F478" s="21"/>
      <c r="G478" s="22"/>
      <c r="H478" s="19"/>
      <c r="I478" s="22"/>
      <c r="J478" s="22"/>
      <c r="K478" s="23" t="str">
        <f>IF($A478="","",_EngineTrades!S478)</f>
        <v/>
      </c>
      <c r="L478" s="21"/>
      <c r="M478" s="22"/>
      <c r="N478" s="20"/>
      <c r="O478" s="24" t="str">
        <f t="shared" si="7"/>
        <v/>
      </c>
      <c r="P478" s="20"/>
      <c r="Q478" s="22"/>
      <c r="R478" s="22"/>
      <c r="S478" s="24" t="str">
        <f>IF($A478="","",_EngineTrades!V478)</f>
        <v/>
      </c>
      <c r="T478" t="str">
        <f>IF($A478="","",IFERROR(INDEX(Cycles!$R$9:$R$208,MATCH(_EngineTrades!AU478,_EngineCycles!$A$9:$A$208,0)),""))</f>
        <v/>
      </c>
      <c r="Y478" t="str">
        <f>IF(OR($A478="",$D478&lt;&gt;Overview!$P$2),"",COUNTIFS($D$9:$D$508,$D478,$A$9:$A$508,"&gt;"&amp;$A478)+COUNTIFS($D$9:$D$508,$D478,$A$9:$A$508,$A478)-COUNTIFS($D$9:$D478,$D478,$A$9:$A478,$A478)+1)</f>
        <v/>
      </c>
    </row>
    <row r="479" spans="1:25" ht="23.1" customHeight="1" x14ac:dyDescent="0.25">
      <c r="A479" s="13"/>
      <c r="B479" s="14"/>
      <c r="C479" s="14"/>
      <c r="D479" s="14"/>
      <c r="E479" s="14"/>
      <c r="F479" s="15"/>
      <c r="G479" s="16"/>
      <c r="H479" s="13"/>
      <c r="I479" s="16"/>
      <c r="J479" s="16"/>
      <c r="K479" s="17" t="str">
        <f>IF($A479="","",_EngineTrades!S479)</f>
        <v/>
      </c>
      <c r="L479" s="15"/>
      <c r="M479" s="16"/>
      <c r="N479" s="14"/>
      <c r="O479" s="18" t="str">
        <f t="shared" si="7"/>
        <v/>
      </c>
      <c r="P479" s="14"/>
      <c r="Q479" s="16"/>
      <c r="R479" s="16"/>
      <c r="S479" s="18" t="str">
        <f>IF($A479="","",_EngineTrades!V479)</f>
        <v/>
      </c>
      <c r="T479" t="str">
        <f>IF($A479="","",IFERROR(INDEX(Cycles!$R$9:$R$208,MATCH(_EngineTrades!AU479,_EngineCycles!$A$9:$A$208,0)),""))</f>
        <v/>
      </c>
      <c r="Y479" t="str">
        <f>IF(OR($A479="",$D479&lt;&gt;Overview!$P$2),"",COUNTIFS($D$9:$D$508,$D479,$A$9:$A$508,"&gt;"&amp;$A479)+COUNTIFS($D$9:$D$508,$D479,$A$9:$A$508,$A479)-COUNTIFS($D$9:$D479,$D479,$A$9:$A479,$A479)+1)</f>
        <v/>
      </c>
    </row>
    <row r="480" spans="1:25" ht="23.1" customHeight="1" x14ac:dyDescent="0.25">
      <c r="A480" s="19"/>
      <c r="B480" s="20"/>
      <c r="C480" s="20"/>
      <c r="D480" s="20"/>
      <c r="E480" s="20"/>
      <c r="F480" s="21"/>
      <c r="G480" s="22"/>
      <c r="H480" s="19"/>
      <c r="I480" s="22"/>
      <c r="J480" s="22"/>
      <c r="K480" s="23" t="str">
        <f>IF($A480="","",_EngineTrades!S480)</f>
        <v/>
      </c>
      <c r="L480" s="21"/>
      <c r="M480" s="22"/>
      <c r="N480" s="20"/>
      <c r="O480" s="24" t="str">
        <f t="shared" si="7"/>
        <v/>
      </c>
      <c r="P480" s="20"/>
      <c r="Q480" s="22"/>
      <c r="R480" s="22"/>
      <c r="S480" s="24" t="str">
        <f>IF($A480="","",_EngineTrades!V480)</f>
        <v/>
      </c>
      <c r="T480" t="str">
        <f>IF($A480="","",IFERROR(INDEX(Cycles!$R$9:$R$208,MATCH(_EngineTrades!AU480,_EngineCycles!$A$9:$A$208,0)),""))</f>
        <v/>
      </c>
      <c r="Y480" t="str">
        <f>IF(OR($A480="",$D480&lt;&gt;Overview!$P$2),"",COUNTIFS($D$9:$D$508,$D480,$A$9:$A$508,"&gt;"&amp;$A480)+COUNTIFS($D$9:$D$508,$D480,$A$9:$A$508,$A480)-COUNTIFS($D$9:$D480,$D480,$A$9:$A480,$A480)+1)</f>
        <v/>
      </c>
    </row>
    <row r="481" spans="1:25" ht="23.1" customHeight="1" x14ac:dyDescent="0.25">
      <c r="A481" s="13"/>
      <c r="B481" s="14"/>
      <c r="C481" s="14"/>
      <c r="D481" s="14"/>
      <c r="E481" s="14"/>
      <c r="F481" s="15"/>
      <c r="G481" s="16"/>
      <c r="H481" s="13"/>
      <c r="I481" s="16"/>
      <c r="J481" s="16"/>
      <c r="K481" s="17" t="str">
        <f>IF($A481="","",_EngineTrades!S481)</f>
        <v/>
      </c>
      <c r="L481" s="15"/>
      <c r="M481" s="16"/>
      <c r="N481" s="14"/>
      <c r="O481" s="18" t="str">
        <f t="shared" si="7"/>
        <v/>
      </c>
      <c r="P481" s="14"/>
      <c r="Q481" s="16"/>
      <c r="R481" s="16"/>
      <c r="S481" s="18" t="str">
        <f>IF($A481="","",_EngineTrades!V481)</f>
        <v/>
      </c>
      <c r="T481" t="str">
        <f>IF($A481="","",IFERROR(INDEX(Cycles!$R$9:$R$208,MATCH(_EngineTrades!AU481,_EngineCycles!$A$9:$A$208,0)),""))</f>
        <v/>
      </c>
      <c r="Y481" t="str">
        <f>IF(OR($A481="",$D481&lt;&gt;Overview!$P$2),"",COUNTIFS($D$9:$D$508,$D481,$A$9:$A$508,"&gt;"&amp;$A481)+COUNTIFS($D$9:$D$508,$D481,$A$9:$A$508,$A481)-COUNTIFS($D$9:$D481,$D481,$A$9:$A481,$A481)+1)</f>
        <v/>
      </c>
    </row>
    <row r="482" spans="1:25" ht="23.1" customHeight="1" x14ac:dyDescent="0.25">
      <c r="A482" s="19"/>
      <c r="B482" s="20"/>
      <c r="C482" s="20"/>
      <c r="D482" s="20"/>
      <c r="E482" s="20"/>
      <c r="F482" s="21"/>
      <c r="G482" s="22"/>
      <c r="H482" s="19"/>
      <c r="I482" s="22"/>
      <c r="J482" s="22"/>
      <c r="K482" s="23" t="str">
        <f>IF($A482="","",_EngineTrades!S482)</f>
        <v/>
      </c>
      <c r="L482" s="21"/>
      <c r="M482" s="22"/>
      <c r="N482" s="20"/>
      <c r="O482" s="24" t="str">
        <f t="shared" si="7"/>
        <v/>
      </c>
      <c r="P482" s="20"/>
      <c r="Q482" s="22"/>
      <c r="R482" s="22"/>
      <c r="S482" s="24" t="str">
        <f>IF($A482="","",_EngineTrades!V482)</f>
        <v/>
      </c>
      <c r="T482" t="str">
        <f>IF($A482="","",IFERROR(INDEX(Cycles!$R$9:$R$208,MATCH(_EngineTrades!AU482,_EngineCycles!$A$9:$A$208,0)),""))</f>
        <v/>
      </c>
      <c r="Y482" t="str">
        <f>IF(OR($A482="",$D482&lt;&gt;Overview!$P$2),"",COUNTIFS($D$9:$D$508,$D482,$A$9:$A$508,"&gt;"&amp;$A482)+COUNTIFS($D$9:$D$508,$D482,$A$9:$A$508,$A482)-COUNTIFS($D$9:$D482,$D482,$A$9:$A482,$A482)+1)</f>
        <v/>
      </c>
    </row>
    <row r="483" spans="1:25" ht="23.1" customHeight="1" x14ac:dyDescent="0.25">
      <c r="A483" s="13"/>
      <c r="B483" s="14"/>
      <c r="C483" s="14"/>
      <c r="D483" s="14"/>
      <c r="E483" s="14"/>
      <c r="F483" s="15"/>
      <c r="G483" s="16"/>
      <c r="H483" s="13"/>
      <c r="I483" s="16"/>
      <c r="J483" s="16"/>
      <c r="K483" s="17" t="str">
        <f>IF($A483="","",_EngineTrades!S483)</f>
        <v/>
      </c>
      <c r="L483" s="15"/>
      <c r="M483" s="16"/>
      <c r="N483" s="14"/>
      <c r="O483" s="18" t="str">
        <f t="shared" si="7"/>
        <v/>
      </c>
      <c r="P483" s="14"/>
      <c r="Q483" s="16"/>
      <c r="R483" s="16"/>
      <c r="S483" s="18" t="str">
        <f>IF($A483="","",_EngineTrades!V483)</f>
        <v/>
      </c>
      <c r="T483" t="str">
        <f>IF($A483="","",IFERROR(INDEX(Cycles!$R$9:$R$208,MATCH(_EngineTrades!AU483,_EngineCycles!$A$9:$A$208,0)),""))</f>
        <v/>
      </c>
      <c r="Y483" t="str">
        <f>IF(OR($A483="",$D483&lt;&gt;Overview!$P$2),"",COUNTIFS($D$9:$D$508,$D483,$A$9:$A$508,"&gt;"&amp;$A483)+COUNTIFS($D$9:$D$508,$D483,$A$9:$A$508,$A483)-COUNTIFS($D$9:$D483,$D483,$A$9:$A483,$A483)+1)</f>
        <v/>
      </c>
    </row>
    <row r="484" spans="1:25" ht="23.1" customHeight="1" x14ac:dyDescent="0.25">
      <c r="A484" s="19"/>
      <c r="B484" s="20"/>
      <c r="C484" s="20"/>
      <c r="D484" s="20"/>
      <c r="E484" s="20"/>
      <c r="F484" s="21"/>
      <c r="G484" s="22"/>
      <c r="H484" s="19"/>
      <c r="I484" s="22"/>
      <c r="J484" s="22"/>
      <c r="K484" s="23" t="str">
        <f>IF($A484="","",_EngineTrades!S484)</f>
        <v/>
      </c>
      <c r="L484" s="21"/>
      <c r="M484" s="22"/>
      <c r="N484" s="20"/>
      <c r="O484" s="24" t="str">
        <f t="shared" si="7"/>
        <v/>
      </c>
      <c r="P484" s="20"/>
      <c r="Q484" s="22"/>
      <c r="R484" s="22"/>
      <c r="S484" s="24" t="str">
        <f>IF($A484="","",_EngineTrades!V484)</f>
        <v/>
      </c>
      <c r="T484" t="str">
        <f>IF($A484="","",IFERROR(INDEX(Cycles!$R$9:$R$208,MATCH(_EngineTrades!AU484,_EngineCycles!$A$9:$A$208,0)),""))</f>
        <v/>
      </c>
      <c r="Y484" t="str">
        <f>IF(OR($A484="",$D484&lt;&gt;Overview!$P$2),"",COUNTIFS($D$9:$D$508,$D484,$A$9:$A$508,"&gt;"&amp;$A484)+COUNTIFS($D$9:$D$508,$D484,$A$9:$A$508,$A484)-COUNTIFS($D$9:$D484,$D484,$A$9:$A484,$A484)+1)</f>
        <v/>
      </c>
    </row>
    <row r="485" spans="1:25" ht="23.1" customHeight="1" x14ac:dyDescent="0.25">
      <c r="A485" s="13"/>
      <c r="B485" s="14"/>
      <c r="C485" s="14"/>
      <c r="D485" s="14"/>
      <c r="E485" s="14"/>
      <c r="F485" s="15"/>
      <c r="G485" s="16"/>
      <c r="H485" s="13"/>
      <c r="I485" s="16"/>
      <c r="J485" s="16"/>
      <c r="K485" s="17" t="str">
        <f>IF($A485="","",_EngineTrades!S485)</f>
        <v/>
      </c>
      <c r="L485" s="15"/>
      <c r="M485" s="16"/>
      <c r="N485" s="14"/>
      <c r="O485" s="18" t="str">
        <f t="shared" si="7"/>
        <v/>
      </c>
      <c r="P485" s="14"/>
      <c r="Q485" s="16"/>
      <c r="R485" s="16"/>
      <c r="S485" s="18" t="str">
        <f>IF($A485="","",_EngineTrades!V485)</f>
        <v/>
      </c>
      <c r="T485" t="str">
        <f>IF($A485="","",IFERROR(INDEX(Cycles!$R$9:$R$208,MATCH(_EngineTrades!AU485,_EngineCycles!$A$9:$A$208,0)),""))</f>
        <v/>
      </c>
      <c r="Y485" t="str">
        <f>IF(OR($A485="",$D485&lt;&gt;Overview!$P$2),"",COUNTIFS($D$9:$D$508,$D485,$A$9:$A$508,"&gt;"&amp;$A485)+COUNTIFS($D$9:$D$508,$D485,$A$9:$A$508,$A485)-COUNTIFS($D$9:$D485,$D485,$A$9:$A485,$A485)+1)</f>
        <v/>
      </c>
    </row>
    <row r="486" spans="1:25" ht="23.1" customHeight="1" x14ac:dyDescent="0.25">
      <c r="A486" s="19"/>
      <c r="B486" s="20"/>
      <c r="C486" s="20"/>
      <c r="D486" s="20"/>
      <c r="E486" s="20"/>
      <c r="F486" s="21"/>
      <c r="G486" s="22"/>
      <c r="H486" s="19"/>
      <c r="I486" s="22"/>
      <c r="J486" s="22"/>
      <c r="K486" s="23" t="str">
        <f>IF($A486="","",_EngineTrades!S486)</f>
        <v/>
      </c>
      <c r="L486" s="21"/>
      <c r="M486" s="22"/>
      <c r="N486" s="20"/>
      <c r="O486" s="24" t="str">
        <f t="shared" si="7"/>
        <v/>
      </c>
      <c r="P486" s="20"/>
      <c r="Q486" s="22"/>
      <c r="R486" s="22"/>
      <c r="S486" s="24" t="str">
        <f>IF($A486="","",_EngineTrades!V486)</f>
        <v/>
      </c>
      <c r="T486" t="str">
        <f>IF($A486="","",IFERROR(INDEX(Cycles!$R$9:$R$208,MATCH(_EngineTrades!AU486,_EngineCycles!$A$9:$A$208,0)),""))</f>
        <v/>
      </c>
      <c r="Y486" t="str">
        <f>IF(OR($A486="",$D486&lt;&gt;Overview!$P$2),"",COUNTIFS($D$9:$D$508,$D486,$A$9:$A$508,"&gt;"&amp;$A486)+COUNTIFS($D$9:$D$508,$D486,$A$9:$A$508,$A486)-COUNTIFS($D$9:$D486,$D486,$A$9:$A486,$A486)+1)</f>
        <v/>
      </c>
    </row>
    <row r="487" spans="1:25" ht="23.1" customHeight="1" x14ac:dyDescent="0.25">
      <c r="A487" s="13"/>
      <c r="B487" s="14"/>
      <c r="C487" s="14"/>
      <c r="D487" s="14"/>
      <c r="E487" s="14"/>
      <c r="F487" s="15"/>
      <c r="G487" s="16"/>
      <c r="H487" s="13"/>
      <c r="I487" s="16"/>
      <c r="J487" s="16"/>
      <c r="K487" s="17" t="str">
        <f>IF($A487="","",_EngineTrades!S487)</f>
        <v/>
      </c>
      <c r="L487" s="15"/>
      <c r="M487" s="16"/>
      <c r="N487" s="14"/>
      <c r="O487" s="18" t="str">
        <f t="shared" si="7"/>
        <v/>
      </c>
      <c r="P487" s="14"/>
      <c r="Q487" s="16"/>
      <c r="R487" s="16"/>
      <c r="S487" s="18" t="str">
        <f>IF($A487="","",_EngineTrades!V487)</f>
        <v/>
      </c>
      <c r="T487" t="str">
        <f>IF($A487="","",IFERROR(INDEX(Cycles!$R$9:$R$208,MATCH(_EngineTrades!AU487,_EngineCycles!$A$9:$A$208,0)),""))</f>
        <v/>
      </c>
      <c r="Y487" t="str">
        <f>IF(OR($A487="",$D487&lt;&gt;Overview!$P$2),"",COUNTIFS($D$9:$D$508,$D487,$A$9:$A$508,"&gt;"&amp;$A487)+COUNTIFS($D$9:$D$508,$D487,$A$9:$A$508,$A487)-COUNTIFS($D$9:$D487,$D487,$A$9:$A487,$A487)+1)</f>
        <v/>
      </c>
    </row>
    <row r="488" spans="1:25" ht="23.1" customHeight="1" x14ac:dyDescent="0.25">
      <c r="A488" s="19"/>
      <c r="B488" s="20"/>
      <c r="C488" s="20"/>
      <c r="D488" s="20"/>
      <c r="E488" s="20"/>
      <c r="F488" s="21"/>
      <c r="G488" s="22"/>
      <c r="H488" s="19"/>
      <c r="I488" s="22"/>
      <c r="J488" s="22"/>
      <c r="K488" s="23" t="str">
        <f>IF($A488="","",_EngineTrades!S488)</f>
        <v/>
      </c>
      <c r="L488" s="21"/>
      <c r="M488" s="22"/>
      <c r="N488" s="20"/>
      <c r="O488" s="24" t="str">
        <f t="shared" si="7"/>
        <v/>
      </c>
      <c r="P488" s="20"/>
      <c r="Q488" s="22"/>
      <c r="R488" s="22"/>
      <c r="S488" s="24" t="str">
        <f>IF($A488="","",_EngineTrades!V488)</f>
        <v/>
      </c>
      <c r="T488" t="str">
        <f>IF($A488="","",IFERROR(INDEX(Cycles!$R$9:$R$208,MATCH(_EngineTrades!AU488,_EngineCycles!$A$9:$A$208,0)),""))</f>
        <v/>
      </c>
      <c r="Y488" t="str">
        <f>IF(OR($A488="",$D488&lt;&gt;Overview!$P$2),"",COUNTIFS($D$9:$D$508,$D488,$A$9:$A$508,"&gt;"&amp;$A488)+COUNTIFS($D$9:$D$508,$D488,$A$9:$A$508,$A488)-COUNTIFS($D$9:$D488,$D488,$A$9:$A488,$A488)+1)</f>
        <v/>
      </c>
    </row>
    <row r="489" spans="1:25" ht="23.1" customHeight="1" x14ac:dyDescent="0.25">
      <c r="A489" s="13"/>
      <c r="B489" s="14"/>
      <c r="C489" s="14"/>
      <c r="D489" s="14"/>
      <c r="E489" s="14"/>
      <c r="F489" s="15"/>
      <c r="G489" s="16"/>
      <c r="H489" s="13"/>
      <c r="I489" s="16"/>
      <c r="J489" s="16"/>
      <c r="K489" s="17" t="str">
        <f>IF($A489="","",_EngineTrades!S489)</f>
        <v/>
      </c>
      <c r="L489" s="15"/>
      <c r="M489" s="16"/>
      <c r="N489" s="14"/>
      <c r="O489" s="18" t="str">
        <f t="shared" si="7"/>
        <v/>
      </c>
      <c r="P489" s="14"/>
      <c r="Q489" s="16"/>
      <c r="R489" s="16"/>
      <c r="S489" s="18" t="str">
        <f>IF($A489="","",_EngineTrades!V489)</f>
        <v/>
      </c>
      <c r="T489" t="str">
        <f>IF($A489="","",IFERROR(INDEX(Cycles!$R$9:$R$208,MATCH(_EngineTrades!AU489,_EngineCycles!$A$9:$A$208,0)),""))</f>
        <v/>
      </c>
      <c r="Y489" t="str">
        <f>IF(OR($A489="",$D489&lt;&gt;Overview!$P$2),"",COUNTIFS($D$9:$D$508,$D489,$A$9:$A$508,"&gt;"&amp;$A489)+COUNTIFS($D$9:$D$508,$D489,$A$9:$A$508,$A489)-COUNTIFS($D$9:$D489,$D489,$A$9:$A489,$A489)+1)</f>
        <v/>
      </c>
    </row>
    <row r="490" spans="1:25" ht="23.1" customHeight="1" x14ac:dyDescent="0.25">
      <c r="A490" s="19"/>
      <c r="B490" s="20"/>
      <c r="C490" s="20"/>
      <c r="D490" s="20"/>
      <c r="E490" s="20"/>
      <c r="F490" s="21"/>
      <c r="G490" s="22"/>
      <c r="H490" s="19"/>
      <c r="I490" s="22"/>
      <c r="J490" s="22"/>
      <c r="K490" s="23" t="str">
        <f>IF($A490="","",_EngineTrades!S490)</f>
        <v/>
      </c>
      <c r="L490" s="21"/>
      <c r="M490" s="22"/>
      <c r="N490" s="20"/>
      <c r="O490" s="24" t="str">
        <f t="shared" si="7"/>
        <v/>
      </c>
      <c r="P490" s="20"/>
      <c r="Q490" s="22"/>
      <c r="R490" s="22"/>
      <c r="S490" s="24" t="str">
        <f>IF($A490="","",_EngineTrades!V490)</f>
        <v/>
      </c>
      <c r="T490" t="str">
        <f>IF($A490="","",IFERROR(INDEX(Cycles!$R$9:$R$208,MATCH(_EngineTrades!AU490,_EngineCycles!$A$9:$A$208,0)),""))</f>
        <v/>
      </c>
      <c r="Y490" t="str">
        <f>IF(OR($A490="",$D490&lt;&gt;Overview!$P$2),"",COUNTIFS($D$9:$D$508,$D490,$A$9:$A$508,"&gt;"&amp;$A490)+COUNTIFS($D$9:$D$508,$D490,$A$9:$A$508,$A490)-COUNTIFS($D$9:$D490,$D490,$A$9:$A490,$A490)+1)</f>
        <v/>
      </c>
    </row>
    <row r="491" spans="1:25" ht="23.1" customHeight="1" x14ac:dyDescent="0.25">
      <c r="A491" s="13"/>
      <c r="B491" s="14"/>
      <c r="C491" s="14"/>
      <c r="D491" s="14"/>
      <c r="E491" s="14"/>
      <c r="F491" s="15"/>
      <c r="G491" s="16"/>
      <c r="H491" s="13"/>
      <c r="I491" s="16"/>
      <c r="J491" s="16"/>
      <c r="K491" s="17" t="str">
        <f>IF($A491="","",_EngineTrades!S491)</f>
        <v/>
      </c>
      <c r="L491" s="15"/>
      <c r="M491" s="16"/>
      <c r="N491" s="14"/>
      <c r="O491" s="18" t="str">
        <f t="shared" si="7"/>
        <v/>
      </c>
      <c r="P491" s="14"/>
      <c r="Q491" s="16"/>
      <c r="R491" s="16"/>
      <c r="S491" s="18" t="str">
        <f>IF($A491="","",_EngineTrades!V491)</f>
        <v/>
      </c>
      <c r="T491" t="str">
        <f>IF($A491="","",IFERROR(INDEX(Cycles!$R$9:$R$208,MATCH(_EngineTrades!AU491,_EngineCycles!$A$9:$A$208,0)),""))</f>
        <v/>
      </c>
      <c r="Y491" t="str">
        <f>IF(OR($A491="",$D491&lt;&gt;Overview!$P$2),"",COUNTIFS($D$9:$D$508,$D491,$A$9:$A$508,"&gt;"&amp;$A491)+COUNTIFS($D$9:$D$508,$D491,$A$9:$A$508,$A491)-COUNTIFS($D$9:$D491,$D491,$A$9:$A491,$A491)+1)</f>
        <v/>
      </c>
    </row>
    <row r="492" spans="1:25" ht="23.1" customHeight="1" x14ac:dyDescent="0.25">
      <c r="A492" s="19"/>
      <c r="B492" s="20"/>
      <c r="C492" s="20"/>
      <c r="D492" s="20"/>
      <c r="E492" s="20"/>
      <c r="F492" s="21"/>
      <c r="G492" s="22"/>
      <c r="H492" s="19"/>
      <c r="I492" s="22"/>
      <c r="J492" s="22"/>
      <c r="K492" s="23" t="str">
        <f>IF($A492="","",_EngineTrades!S492)</f>
        <v/>
      </c>
      <c r="L492" s="21"/>
      <c r="M492" s="22"/>
      <c r="N492" s="20"/>
      <c r="O492" s="24" t="str">
        <f t="shared" si="7"/>
        <v/>
      </c>
      <c r="P492" s="20"/>
      <c r="Q492" s="22"/>
      <c r="R492" s="22"/>
      <c r="S492" s="24" t="str">
        <f>IF($A492="","",_EngineTrades!V492)</f>
        <v/>
      </c>
      <c r="T492" t="str">
        <f>IF($A492="","",IFERROR(INDEX(Cycles!$R$9:$R$208,MATCH(_EngineTrades!AU492,_EngineCycles!$A$9:$A$208,0)),""))</f>
        <v/>
      </c>
      <c r="Y492" t="str">
        <f>IF(OR($A492="",$D492&lt;&gt;Overview!$P$2),"",COUNTIFS($D$9:$D$508,$D492,$A$9:$A$508,"&gt;"&amp;$A492)+COUNTIFS($D$9:$D$508,$D492,$A$9:$A$508,$A492)-COUNTIFS($D$9:$D492,$D492,$A$9:$A492,$A492)+1)</f>
        <v/>
      </c>
    </row>
    <row r="493" spans="1:25" ht="23.1" customHeight="1" x14ac:dyDescent="0.25">
      <c r="A493" s="13"/>
      <c r="B493" s="14"/>
      <c r="C493" s="14"/>
      <c r="D493" s="14"/>
      <c r="E493" s="14"/>
      <c r="F493" s="15"/>
      <c r="G493" s="16"/>
      <c r="H493" s="13"/>
      <c r="I493" s="16"/>
      <c r="J493" s="16"/>
      <c r="K493" s="17" t="str">
        <f>IF($A493="","",_EngineTrades!S493)</f>
        <v/>
      </c>
      <c r="L493" s="15"/>
      <c r="M493" s="16"/>
      <c r="N493" s="14"/>
      <c r="O493" s="18" t="str">
        <f t="shared" si="7"/>
        <v/>
      </c>
      <c r="P493" s="14"/>
      <c r="Q493" s="16"/>
      <c r="R493" s="16"/>
      <c r="S493" s="18" t="str">
        <f>IF($A493="","",_EngineTrades!V493)</f>
        <v/>
      </c>
      <c r="T493" t="str">
        <f>IF($A493="","",IFERROR(INDEX(Cycles!$R$9:$R$208,MATCH(_EngineTrades!AU493,_EngineCycles!$A$9:$A$208,0)),""))</f>
        <v/>
      </c>
      <c r="Y493" t="str">
        <f>IF(OR($A493="",$D493&lt;&gt;Overview!$P$2),"",COUNTIFS($D$9:$D$508,$D493,$A$9:$A$508,"&gt;"&amp;$A493)+COUNTIFS($D$9:$D$508,$D493,$A$9:$A$508,$A493)-COUNTIFS($D$9:$D493,$D493,$A$9:$A493,$A493)+1)</f>
        <v/>
      </c>
    </row>
    <row r="494" spans="1:25" ht="23.1" customHeight="1" x14ac:dyDescent="0.25">
      <c r="A494" s="19"/>
      <c r="B494" s="20"/>
      <c r="C494" s="20"/>
      <c r="D494" s="20"/>
      <c r="E494" s="20"/>
      <c r="F494" s="21"/>
      <c r="G494" s="22"/>
      <c r="H494" s="19"/>
      <c r="I494" s="22"/>
      <c r="J494" s="22"/>
      <c r="K494" s="23" t="str">
        <f>IF($A494="","",_EngineTrades!S494)</f>
        <v/>
      </c>
      <c r="L494" s="21"/>
      <c r="M494" s="22"/>
      <c r="N494" s="20"/>
      <c r="O494" s="24" t="str">
        <f t="shared" si="7"/>
        <v/>
      </c>
      <c r="P494" s="20"/>
      <c r="Q494" s="22"/>
      <c r="R494" s="22"/>
      <c r="S494" s="24" t="str">
        <f>IF($A494="","",_EngineTrades!V494)</f>
        <v/>
      </c>
      <c r="T494" t="str">
        <f>IF($A494="","",IFERROR(INDEX(Cycles!$R$9:$R$208,MATCH(_EngineTrades!AU494,_EngineCycles!$A$9:$A$208,0)),""))</f>
        <v/>
      </c>
      <c r="Y494" t="str">
        <f>IF(OR($A494="",$D494&lt;&gt;Overview!$P$2),"",COUNTIFS($D$9:$D$508,$D494,$A$9:$A$508,"&gt;"&amp;$A494)+COUNTIFS($D$9:$D$508,$D494,$A$9:$A$508,$A494)-COUNTIFS($D$9:$D494,$D494,$A$9:$A494,$A494)+1)</f>
        <v/>
      </c>
    </row>
    <row r="495" spans="1:25" ht="23.1" customHeight="1" x14ac:dyDescent="0.25">
      <c r="A495" s="13"/>
      <c r="B495" s="14"/>
      <c r="C495" s="14"/>
      <c r="D495" s="14"/>
      <c r="E495" s="14"/>
      <c r="F495" s="15"/>
      <c r="G495" s="16"/>
      <c r="H495" s="13"/>
      <c r="I495" s="16"/>
      <c r="J495" s="16"/>
      <c r="K495" s="17" t="str">
        <f>IF($A495="","",_EngineTrades!S495)</f>
        <v/>
      </c>
      <c r="L495" s="15"/>
      <c r="M495" s="16"/>
      <c r="N495" s="14"/>
      <c r="O495" s="18" t="str">
        <f t="shared" si="7"/>
        <v/>
      </c>
      <c r="P495" s="14"/>
      <c r="Q495" s="16"/>
      <c r="R495" s="16"/>
      <c r="S495" s="18" t="str">
        <f>IF($A495="","",_EngineTrades!V495)</f>
        <v/>
      </c>
      <c r="T495" t="str">
        <f>IF($A495="","",IFERROR(INDEX(Cycles!$R$9:$R$208,MATCH(_EngineTrades!AU495,_EngineCycles!$A$9:$A$208,0)),""))</f>
        <v/>
      </c>
      <c r="Y495" t="str">
        <f>IF(OR($A495="",$D495&lt;&gt;Overview!$P$2),"",COUNTIFS($D$9:$D$508,$D495,$A$9:$A$508,"&gt;"&amp;$A495)+COUNTIFS($D$9:$D$508,$D495,$A$9:$A$508,$A495)-COUNTIFS($D$9:$D495,$D495,$A$9:$A495,$A495)+1)</f>
        <v/>
      </c>
    </row>
    <row r="496" spans="1:25" ht="23.1" customHeight="1" x14ac:dyDescent="0.25">
      <c r="A496" s="19"/>
      <c r="B496" s="20"/>
      <c r="C496" s="20"/>
      <c r="D496" s="20"/>
      <c r="E496" s="20"/>
      <c r="F496" s="21"/>
      <c r="G496" s="22"/>
      <c r="H496" s="19"/>
      <c r="I496" s="22"/>
      <c r="J496" s="22"/>
      <c r="K496" s="23" t="str">
        <f>IF($A496="","",_EngineTrades!S496)</f>
        <v/>
      </c>
      <c r="L496" s="21"/>
      <c r="M496" s="22"/>
      <c r="N496" s="20"/>
      <c r="O496" s="24" t="str">
        <f t="shared" si="7"/>
        <v/>
      </c>
      <c r="P496" s="20"/>
      <c r="Q496" s="22"/>
      <c r="R496" s="22"/>
      <c r="S496" s="24" t="str">
        <f>IF($A496="","",_EngineTrades!V496)</f>
        <v/>
      </c>
      <c r="T496" t="str">
        <f>IF($A496="","",IFERROR(INDEX(Cycles!$R$9:$R$208,MATCH(_EngineTrades!AU496,_EngineCycles!$A$9:$A$208,0)),""))</f>
        <v/>
      </c>
      <c r="Y496" t="str">
        <f>IF(OR($A496="",$D496&lt;&gt;Overview!$P$2),"",COUNTIFS($D$9:$D$508,$D496,$A$9:$A$508,"&gt;"&amp;$A496)+COUNTIFS($D$9:$D$508,$D496,$A$9:$A$508,$A496)-COUNTIFS($D$9:$D496,$D496,$A$9:$A496,$A496)+1)</f>
        <v/>
      </c>
    </row>
    <row r="497" spans="1:25" ht="23.1" customHeight="1" x14ac:dyDescent="0.25">
      <c r="A497" s="13"/>
      <c r="B497" s="14"/>
      <c r="C497" s="14"/>
      <c r="D497" s="14"/>
      <c r="E497" s="14"/>
      <c r="F497" s="15"/>
      <c r="G497" s="16"/>
      <c r="H497" s="13"/>
      <c r="I497" s="16"/>
      <c r="J497" s="16"/>
      <c r="K497" s="17" t="str">
        <f>IF($A497="","",_EngineTrades!S497)</f>
        <v/>
      </c>
      <c r="L497" s="15"/>
      <c r="M497" s="16"/>
      <c r="N497" s="14"/>
      <c r="O497" s="18" t="str">
        <f t="shared" si="7"/>
        <v/>
      </c>
      <c r="P497" s="14"/>
      <c r="Q497" s="16"/>
      <c r="R497" s="16"/>
      <c r="S497" s="18" t="str">
        <f>IF($A497="","",_EngineTrades!V497)</f>
        <v/>
      </c>
      <c r="T497" t="str">
        <f>IF($A497="","",IFERROR(INDEX(Cycles!$R$9:$R$208,MATCH(_EngineTrades!AU497,_EngineCycles!$A$9:$A$208,0)),""))</f>
        <v/>
      </c>
      <c r="Y497" t="str">
        <f>IF(OR($A497="",$D497&lt;&gt;Overview!$P$2),"",COUNTIFS($D$9:$D$508,$D497,$A$9:$A$508,"&gt;"&amp;$A497)+COUNTIFS($D$9:$D$508,$D497,$A$9:$A$508,$A497)-COUNTIFS($D$9:$D497,$D497,$A$9:$A497,$A497)+1)</f>
        <v/>
      </c>
    </row>
    <row r="498" spans="1:25" ht="23.1" customHeight="1" x14ac:dyDescent="0.25">
      <c r="A498" s="19"/>
      <c r="B498" s="20"/>
      <c r="C498" s="20"/>
      <c r="D498" s="20"/>
      <c r="E498" s="20"/>
      <c r="F498" s="21"/>
      <c r="G498" s="22"/>
      <c r="H498" s="19"/>
      <c r="I498" s="22"/>
      <c r="J498" s="22"/>
      <c r="K498" s="23" t="str">
        <f>IF($A498="","",_EngineTrades!S498)</f>
        <v/>
      </c>
      <c r="L498" s="21"/>
      <c r="M498" s="22"/>
      <c r="N498" s="20"/>
      <c r="O498" s="24" t="str">
        <f t="shared" si="7"/>
        <v/>
      </c>
      <c r="P498" s="20"/>
      <c r="Q498" s="22"/>
      <c r="R498" s="22"/>
      <c r="S498" s="24" t="str">
        <f>IF($A498="","",_EngineTrades!V498)</f>
        <v/>
      </c>
      <c r="T498" t="str">
        <f>IF($A498="","",IFERROR(INDEX(Cycles!$R$9:$R$208,MATCH(_EngineTrades!AU498,_EngineCycles!$A$9:$A$208,0)),""))</f>
        <v/>
      </c>
      <c r="Y498" t="str">
        <f>IF(OR($A498="",$D498&lt;&gt;Overview!$P$2),"",COUNTIFS($D$9:$D$508,$D498,$A$9:$A$508,"&gt;"&amp;$A498)+COUNTIFS($D$9:$D$508,$D498,$A$9:$A$508,$A498)-COUNTIFS($D$9:$D498,$D498,$A$9:$A498,$A498)+1)</f>
        <v/>
      </c>
    </row>
    <row r="499" spans="1:25" ht="23.1" customHeight="1" x14ac:dyDescent="0.25">
      <c r="A499" s="13"/>
      <c r="B499" s="14"/>
      <c r="C499" s="14"/>
      <c r="D499" s="14"/>
      <c r="E499" s="14"/>
      <c r="F499" s="15"/>
      <c r="G499" s="16"/>
      <c r="H499" s="13"/>
      <c r="I499" s="16"/>
      <c r="J499" s="16"/>
      <c r="K499" s="17" t="str">
        <f>IF($A499="","",_EngineTrades!S499)</f>
        <v/>
      </c>
      <c r="L499" s="15"/>
      <c r="M499" s="16"/>
      <c r="N499" s="14"/>
      <c r="O499" s="18" t="str">
        <f t="shared" si="7"/>
        <v/>
      </c>
      <c r="P499" s="14"/>
      <c r="Q499" s="16"/>
      <c r="R499" s="16"/>
      <c r="S499" s="18" t="str">
        <f>IF($A499="","",_EngineTrades!V499)</f>
        <v/>
      </c>
      <c r="T499" t="str">
        <f>IF($A499="","",IFERROR(INDEX(Cycles!$R$9:$R$208,MATCH(_EngineTrades!AU499,_EngineCycles!$A$9:$A$208,0)),""))</f>
        <v/>
      </c>
      <c r="Y499" t="str">
        <f>IF(OR($A499="",$D499&lt;&gt;Overview!$P$2),"",COUNTIFS($D$9:$D$508,$D499,$A$9:$A$508,"&gt;"&amp;$A499)+COUNTIFS($D$9:$D$508,$D499,$A$9:$A$508,$A499)-COUNTIFS($D$9:$D499,$D499,$A$9:$A499,$A499)+1)</f>
        <v/>
      </c>
    </row>
    <row r="500" spans="1:25" ht="23.1" customHeight="1" x14ac:dyDescent="0.25">
      <c r="A500" s="19"/>
      <c r="B500" s="20"/>
      <c r="C500" s="20"/>
      <c r="D500" s="20"/>
      <c r="E500" s="20"/>
      <c r="F500" s="21"/>
      <c r="G500" s="22"/>
      <c r="H500" s="19"/>
      <c r="I500" s="22"/>
      <c r="J500" s="22"/>
      <c r="K500" s="23" t="str">
        <f>IF($A500="","",_EngineTrades!S500)</f>
        <v/>
      </c>
      <c r="L500" s="21"/>
      <c r="M500" s="22"/>
      <c r="N500" s="20"/>
      <c r="O500" s="24" t="str">
        <f t="shared" si="7"/>
        <v/>
      </c>
      <c r="P500" s="20"/>
      <c r="Q500" s="22"/>
      <c r="R500" s="22"/>
      <c r="S500" s="24" t="str">
        <f>IF($A500="","",_EngineTrades!V500)</f>
        <v/>
      </c>
      <c r="T500" t="str">
        <f>IF($A500="","",IFERROR(INDEX(Cycles!$R$9:$R$208,MATCH(_EngineTrades!AU500,_EngineCycles!$A$9:$A$208,0)),""))</f>
        <v/>
      </c>
      <c r="Y500" t="str">
        <f>IF(OR($A500="",$D500&lt;&gt;Overview!$P$2),"",COUNTIFS($D$9:$D$508,$D500,$A$9:$A$508,"&gt;"&amp;$A500)+COUNTIFS($D$9:$D$508,$D500,$A$9:$A$508,$A500)-COUNTIFS($D$9:$D500,$D500,$A$9:$A500,$A500)+1)</f>
        <v/>
      </c>
    </row>
    <row r="501" spans="1:25" ht="23.1" customHeight="1" x14ac:dyDescent="0.25">
      <c r="A501" s="13"/>
      <c r="B501" s="14"/>
      <c r="C501" s="14"/>
      <c r="D501" s="14"/>
      <c r="E501" s="14"/>
      <c r="F501" s="15"/>
      <c r="G501" s="16"/>
      <c r="H501" s="13"/>
      <c r="I501" s="16"/>
      <c r="J501" s="16"/>
      <c r="K501" s="17" t="str">
        <f>IF($A501="","",_EngineTrades!S501)</f>
        <v/>
      </c>
      <c r="L501" s="15"/>
      <c r="M501" s="16"/>
      <c r="N501" s="14"/>
      <c r="O501" s="18" t="str">
        <f t="shared" si="7"/>
        <v/>
      </c>
      <c r="P501" s="14"/>
      <c r="Q501" s="16"/>
      <c r="R501" s="16"/>
      <c r="S501" s="18" t="str">
        <f>IF($A501="","",_EngineTrades!V501)</f>
        <v/>
      </c>
      <c r="T501" t="str">
        <f>IF($A501="","",IFERROR(INDEX(Cycles!$R$9:$R$208,MATCH(_EngineTrades!AU501,_EngineCycles!$A$9:$A$208,0)),""))</f>
        <v/>
      </c>
      <c r="Y501" t="str">
        <f>IF(OR($A501="",$D501&lt;&gt;Overview!$P$2),"",COUNTIFS($D$9:$D$508,$D501,$A$9:$A$508,"&gt;"&amp;$A501)+COUNTIFS($D$9:$D$508,$D501,$A$9:$A$508,$A501)-COUNTIFS($D$9:$D501,$D501,$A$9:$A501,$A501)+1)</f>
        <v/>
      </c>
    </row>
    <row r="502" spans="1:25" ht="23.1" customHeight="1" x14ac:dyDescent="0.25">
      <c r="A502" s="19"/>
      <c r="B502" s="20"/>
      <c r="C502" s="20"/>
      <c r="D502" s="20"/>
      <c r="E502" s="20"/>
      <c r="F502" s="21"/>
      <c r="G502" s="22"/>
      <c r="H502" s="19"/>
      <c r="I502" s="22"/>
      <c r="J502" s="22"/>
      <c r="K502" s="23" t="str">
        <f>IF($A502="","",_EngineTrades!S502)</f>
        <v/>
      </c>
      <c r="L502" s="21"/>
      <c r="M502" s="22"/>
      <c r="N502" s="20"/>
      <c r="O502" s="24" t="str">
        <f t="shared" si="7"/>
        <v/>
      </c>
      <c r="P502" s="20"/>
      <c r="Q502" s="22"/>
      <c r="R502" s="22"/>
      <c r="S502" s="24" t="str">
        <f>IF($A502="","",_EngineTrades!V502)</f>
        <v/>
      </c>
      <c r="T502" t="str">
        <f>IF($A502="","",IFERROR(INDEX(Cycles!$R$9:$R$208,MATCH(_EngineTrades!AU502,_EngineCycles!$A$9:$A$208,0)),""))</f>
        <v/>
      </c>
      <c r="Y502" t="str">
        <f>IF(OR($A502="",$D502&lt;&gt;Overview!$P$2),"",COUNTIFS($D$9:$D$508,$D502,$A$9:$A$508,"&gt;"&amp;$A502)+COUNTIFS($D$9:$D$508,$D502,$A$9:$A$508,$A502)-COUNTIFS($D$9:$D502,$D502,$A$9:$A502,$A502)+1)</f>
        <v/>
      </c>
    </row>
    <row r="503" spans="1:25" ht="23.1" customHeight="1" x14ac:dyDescent="0.25">
      <c r="A503" s="13"/>
      <c r="B503" s="14"/>
      <c r="C503" s="14"/>
      <c r="D503" s="14"/>
      <c r="E503" s="14"/>
      <c r="F503" s="15"/>
      <c r="G503" s="16"/>
      <c r="H503" s="13"/>
      <c r="I503" s="16"/>
      <c r="J503" s="16"/>
      <c r="K503" s="17" t="str">
        <f>IF($A503="","",_EngineTrades!S503)</f>
        <v/>
      </c>
      <c r="L503" s="15"/>
      <c r="M503" s="16"/>
      <c r="N503" s="14"/>
      <c r="O503" s="18" t="str">
        <f t="shared" si="7"/>
        <v/>
      </c>
      <c r="P503" s="14"/>
      <c r="Q503" s="16"/>
      <c r="R503" s="16"/>
      <c r="S503" s="18" t="str">
        <f>IF($A503="","",_EngineTrades!V503)</f>
        <v/>
      </c>
      <c r="T503" t="str">
        <f>IF($A503="","",IFERROR(INDEX(Cycles!$R$9:$R$208,MATCH(_EngineTrades!AU503,_EngineCycles!$A$9:$A$208,0)),""))</f>
        <v/>
      </c>
      <c r="Y503" t="str">
        <f>IF(OR($A503="",$D503&lt;&gt;Overview!$P$2),"",COUNTIFS($D$9:$D$508,$D503,$A$9:$A$508,"&gt;"&amp;$A503)+COUNTIFS($D$9:$D$508,$D503,$A$9:$A$508,$A503)-COUNTIFS($D$9:$D503,$D503,$A$9:$A503,$A503)+1)</f>
        <v/>
      </c>
    </row>
    <row r="504" spans="1:25" ht="23.1" customHeight="1" x14ac:dyDescent="0.25">
      <c r="A504" s="19"/>
      <c r="B504" s="20"/>
      <c r="C504" s="20"/>
      <c r="D504" s="20"/>
      <c r="E504" s="20"/>
      <c r="F504" s="21"/>
      <c r="G504" s="22"/>
      <c r="H504" s="19"/>
      <c r="I504" s="22"/>
      <c r="J504" s="22"/>
      <c r="K504" s="23" t="str">
        <f>IF($A504="","",_EngineTrades!S504)</f>
        <v/>
      </c>
      <c r="L504" s="21"/>
      <c r="M504" s="22"/>
      <c r="N504" s="20"/>
      <c r="O504" s="24" t="str">
        <f t="shared" si="7"/>
        <v/>
      </c>
      <c r="P504" s="20"/>
      <c r="Q504" s="22"/>
      <c r="R504" s="22"/>
      <c r="S504" s="24" t="str">
        <f>IF($A504="","",_EngineTrades!V504)</f>
        <v/>
      </c>
      <c r="T504" t="str">
        <f>IF($A504="","",IFERROR(INDEX(Cycles!$R$9:$R$208,MATCH(_EngineTrades!AU504,_EngineCycles!$A$9:$A$208,0)),""))</f>
        <v/>
      </c>
      <c r="Y504" t="str">
        <f>IF(OR($A504="",$D504&lt;&gt;Overview!$P$2),"",COUNTIFS($D$9:$D$508,$D504,$A$9:$A$508,"&gt;"&amp;$A504)+COUNTIFS($D$9:$D$508,$D504,$A$9:$A$508,$A504)-COUNTIFS($D$9:$D504,$D504,$A$9:$A504,$A504)+1)</f>
        <v/>
      </c>
    </row>
    <row r="505" spans="1:25" ht="23.1" customHeight="1" x14ac:dyDescent="0.25">
      <c r="A505" s="13"/>
      <c r="B505" s="14"/>
      <c r="C505" s="14"/>
      <c r="D505" s="14"/>
      <c r="E505" s="14"/>
      <c r="F505" s="15"/>
      <c r="G505" s="16"/>
      <c r="H505" s="13"/>
      <c r="I505" s="16"/>
      <c r="J505" s="16"/>
      <c r="K505" s="17" t="str">
        <f>IF($A505="","",_EngineTrades!S505)</f>
        <v/>
      </c>
      <c r="L505" s="15"/>
      <c r="M505" s="16"/>
      <c r="N505" s="14"/>
      <c r="O505" s="18" t="str">
        <f t="shared" si="7"/>
        <v/>
      </c>
      <c r="P505" s="14"/>
      <c r="Q505" s="16"/>
      <c r="R505" s="16"/>
      <c r="S505" s="18" t="str">
        <f>IF($A505="","",_EngineTrades!V505)</f>
        <v/>
      </c>
      <c r="T505" t="str">
        <f>IF($A505="","",IFERROR(INDEX(Cycles!$R$9:$R$208,MATCH(_EngineTrades!AU505,_EngineCycles!$A$9:$A$208,0)),""))</f>
        <v/>
      </c>
      <c r="Y505" t="str">
        <f>IF(OR($A505="",$D505&lt;&gt;Overview!$P$2),"",COUNTIFS($D$9:$D$508,$D505,$A$9:$A$508,"&gt;"&amp;$A505)+COUNTIFS($D$9:$D$508,$D505,$A$9:$A$508,$A505)-COUNTIFS($D$9:$D505,$D505,$A$9:$A505,$A505)+1)</f>
        <v/>
      </c>
    </row>
    <row r="506" spans="1:25" ht="23.1" customHeight="1" x14ac:dyDescent="0.25">
      <c r="A506" s="19"/>
      <c r="B506" s="20"/>
      <c r="C506" s="20"/>
      <c r="D506" s="20"/>
      <c r="E506" s="20"/>
      <c r="F506" s="21"/>
      <c r="G506" s="22"/>
      <c r="H506" s="19"/>
      <c r="I506" s="22"/>
      <c r="J506" s="22"/>
      <c r="K506" s="23" t="str">
        <f>IF($A506="","",_EngineTrades!S506)</f>
        <v/>
      </c>
      <c r="L506" s="21"/>
      <c r="M506" s="22"/>
      <c r="N506" s="20"/>
      <c r="O506" s="24" t="str">
        <f t="shared" si="7"/>
        <v/>
      </c>
      <c r="P506" s="20"/>
      <c r="Q506" s="22"/>
      <c r="R506" s="22"/>
      <c r="S506" s="24" t="str">
        <f>IF($A506="","",_EngineTrades!V506)</f>
        <v/>
      </c>
      <c r="T506" t="str">
        <f>IF($A506="","",IFERROR(INDEX(Cycles!$R$9:$R$208,MATCH(_EngineTrades!AU506,_EngineCycles!$A$9:$A$208,0)),""))</f>
        <v/>
      </c>
      <c r="Y506" t="str">
        <f>IF(OR($A506="",$D506&lt;&gt;Overview!$P$2),"",COUNTIFS($D$9:$D$508,$D506,$A$9:$A$508,"&gt;"&amp;$A506)+COUNTIFS($D$9:$D$508,$D506,$A$9:$A$508,$A506)-COUNTIFS($D$9:$D506,$D506,$A$9:$A506,$A506)+1)</f>
        <v/>
      </c>
    </row>
    <row r="507" spans="1:25" ht="23.1" customHeight="1" x14ac:dyDescent="0.25">
      <c r="A507" s="13"/>
      <c r="B507" s="14"/>
      <c r="C507" s="14"/>
      <c r="D507" s="14"/>
      <c r="E507" s="14"/>
      <c r="F507" s="15"/>
      <c r="G507" s="16"/>
      <c r="H507" s="13"/>
      <c r="I507" s="16"/>
      <c r="J507" s="16"/>
      <c r="K507" s="17" t="str">
        <f>IF($A507="","",_EngineTrades!S507)</f>
        <v/>
      </c>
      <c r="L507" s="15"/>
      <c r="M507" s="16"/>
      <c r="N507" s="14"/>
      <c r="O507" s="18" t="str">
        <f t="shared" si="7"/>
        <v/>
      </c>
      <c r="P507" s="14"/>
      <c r="Q507" s="16"/>
      <c r="R507" s="16"/>
      <c r="S507" s="18" t="str">
        <f>IF($A507="","",_EngineTrades!V507)</f>
        <v/>
      </c>
      <c r="T507" t="str">
        <f>IF($A507="","",IFERROR(INDEX(Cycles!$R$9:$R$208,MATCH(_EngineTrades!AU507,_EngineCycles!$A$9:$A$208,0)),""))</f>
        <v/>
      </c>
      <c r="Y507" t="str">
        <f>IF(OR($A507="",$D507&lt;&gt;Overview!$P$2),"",COUNTIFS($D$9:$D$508,$D507,$A$9:$A$508,"&gt;"&amp;$A507)+COUNTIFS($D$9:$D$508,$D507,$A$9:$A$508,$A507)-COUNTIFS($D$9:$D507,$D507,$A$9:$A507,$A507)+1)</f>
        <v/>
      </c>
    </row>
    <row r="508" spans="1:25" ht="23.1" customHeight="1" x14ac:dyDescent="0.25">
      <c r="A508" s="19"/>
      <c r="B508" s="20"/>
      <c r="C508" s="20"/>
      <c r="D508" s="20"/>
      <c r="E508" s="20"/>
      <c r="F508" s="21"/>
      <c r="G508" s="22"/>
      <c r="H508" s="19"/>
      <c r="I508" s="22"/>
      <c r="J508" s="22"/>
      <c r="K508" s="23" t="str">
        <f>IF($A508="","",_EngineTrades!S508)</f>
        <v/>
      </c>
      <c r="L508" s="21"/>
      <c r="M508" s="22"/>
      <c r="N508" s="20"/>
      <c r="O508" s="24" t="str">
        <f t="shared" si="7"/>
        <v/>
      </c>
      <c r="P508" s="20"/>
      <c r="Q508" s="22"/>
      <c r="R508" s="22"/>
      <c r="S508" s="24" t="str">
        <f>IF($A508="","",_EngineTrades!V508)</f>
        <v/>
      </c>
      <c r="T508" t="str">
        <f>IF($A508="","",IFERROR(INDEX(Cycles!$R$9:$R$208,MATCH(_EngineTrades!AU508,_EngineCycles!$A$9:$A$208,0)),""))</f>
        <v/>
      </c>
      <c r="Y508" t="str">
        <f>IF(OR($A508="",$D508&lt;&gt;Overview!$P$2),"",COUNTIFS($D$9:$D$508,$D508,$A$9:$A$508,"&gt;"&amp;$A508)+COUNTIFS($D$9:$D$508,$D508,$A$9:$A$508,$A508)-COUNTIFS($D$9:$D508,$D508,$A$9:$A508,$A508)+1)</f>
        <v/>
      </c>
    </row>
    <row r="510" spans="1:25" ht="15" x14ac:dyDescent="0.25">
      <c r="A510" s="98" t="s">
        <v>113</v>
      </c>
      <c r="B510" s="98"/>
      <c r="C510" s="98"/>
      <c r="D510" s="98"/>
      <c r="E510" s="98"/>
      <c r="F510" s="98"/>
      <c r="G510" s="98"/>
      <c r="H510" s="98"/>
      <c r="I510" s="98"/>
      <c r="J510" s="98"/>
      <c r="K510" s="98"/>
    </row>
    <row r="511" spans="1:25" ht="15" x14ac:dyDescent="0.2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</row>
  </sheetData>
  <mergeCells count="7">
    <mergeCell ref="A6:B6"/>
    <mergeCell ref="A510:K511"/>
    <mergeCell ref="A1:S1"/>
    <mergeCell ref="A2:S2"/>
    <mergeCell ref="A3:S3"/>
    <mergeCell ref="A4:S4"/>
    <mergeCell ref="A5:S5"/>
  </mergeCells>
  <conditionalFormatting sqref="K9:K508">
    <cfRule type="expression" dxfId="13" priority="1">
      <formula>AND(ISNUMBER(K9),K9&lt;0)</formula>
    </cfRule>
    <cfRule type="expression" dxfId="12" priority="2">
      <formula>AND(ISNUMBER(K9),K9&gt;0)</formula>
    </cfRule>
  </conditionalFormatting>
  <conditionalFormatting sqref="S9:S508">
    <cfRule type="expression" dxfId="11" priority="3">
      <formula>AND(S9&lt;&gt;"",S9&lt;&gt;"OK")</formula>
    </cfRule>
  </conditionalFormatting>
  <dataValidations count="7">
    <dataValidation type="date" allowBlank="1" showErrorMessage="1" errorTitle="Invalid input" error="Enter a valid date." sqref="A9:A508" xr:uid="{00000000-0002-0000-0100-000000000000}">
      <formula1>25569.0000000115</formula1>
      <formula2>25569.0008497106</formula2>
    </dataValidation>
    <dataValidation type="list" allowBlank="1" showErrorMessage="1" errorTitle="Invalid input" error="Choose USD or EUR." sqref="D9:D508" xr:uid="{00000000-0002-0000-0100-000001000000}">
      <formula1>"USD,EUR"</formula1>
    </dataValidation>
    <dataValidation type="list" allowBlank="1" showErrorMessage="1" errorTitle="Invalid input" error="Choose an action from the list." sqref="E9:E508" xr:uid="{00000000-0002-0000-0100-000002000000}">
      <formula1>$U$2:$U$14</formula1>
    </dataValidation>
    <dataValidation type="decimal" operator="greaterThanOrEqual" allowBlank="1" showErrorMessage="1" errorTitle="Invalid input" error="Enter a nonnegative number." sqref="Q9:R508 M9:M508 I9:J508 F9:G508" xr:uid="{00000000-0002-0000-0100-000003000000}">
      <formula1>0</formula1>
    </dataValidation>
    <dataValidation type="date" allowBlank="1" showErrorMessage="1" errorTitle="Invalid input" error="Enter a valid expiry date." sqref="H9:H508" xr:uid="{00000000-0002-0000-0100-000005000000}">
      <formula1>25569.0000000115</formula1>
      <formula2>25569.0008497106</formula2>
    </dataValidation>
    <dataValidation type="list" allowBlank="1" showErrorMessage="1" errorTitle="Invalid input" error="Choose 10 or 100." sqref="L9:L508" xr:uid="{00000000-0002-0000-0100-000008000000}">
      <formula1>"10,100"</formula1>
    </dataValidation>
    <dataValidation type="list" allowBlank="1" showErrorMessage="1" errorTitle="Invalid input" error="Choose an opening Lot ID." sqref="N9:N508" xr:uid="{00000000-0002-0000-0100-00000A000000}">
      <formula1>$O$9:$O$508</formula1>
    </dataValidation>
  </dataValidations>
  <pageMargins left="0.7" right="0.7" top="0.78740157499999996" bottom="0.78740157499999996" header="0.3" footer="0.3"/>
  <pageSetup paperSize="9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A06B"/>
    <pageSetUpPr fitToPage="1"/>
  </sheetPr>
  <dimension ref="A1:Y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9" customWidth="1"/>
    <col min="2" max="2" width="11" customWidth="1"/>
    <col min="3" max="3" width="10" customWidth="1"/>
    <col min="4" max="4" width="19" customWidth="1"/>
    <col min="5" max="5" width="10" customWidth="1"/>
    <col min="6" max="6" width="14" hidden="1" customWidth="1" outlineLevel="1" collapsed="1"/>
    <col min="7" max="8" width="15" hidden="1" customWidth="1" outlineLevel="1" collapsed="1"/>
    <col min="9" max="9" width="14" hidden="1" customWidth="1" outlineLevel="1" collapsed="1"/>
    <col min="10" max="10" width="13" hidden="1" customWidth="1" outlineLevel="1" collapsed="1"/>
    <col min="11" max="12" width="16" customWidth="1"/>
    <col min="13" max="13" width="16" hidden="1" customWidth="1" outlineLevel="1" collapsed="1"/>
    <col min="14" max="15" width="17" customWidth="1"/>
    <col min="16" max="16" width="18" hidden="1" customWidth="1" outlineLevel="1" collapsed="1"/>
    <col min="17" max="17" width="13" customWidth="1"/>
    <col min="18" max="18" width="23" hidden="1" customWidth="1" outlineLevel="1" collapsed="1"/>
    <col min="19" max="19" width="14" hidden="1" customWidth="1" outlineLevel="1" collapsed="1"/>
    <col min="20" max="20" width="9" hidden="1" customWidth="1" outlineLevel="1" collapsed="1"/>
    <col min="21" max="21" width="18" hidden="1" customWidth="1" outlineLevel="1" collapsed="1"/>
    <col min="22" max="22" width="16" hidden="1" customWidth="1" outlineLevel="1" collapsed="1"/>
    <col min="23" max="23" width="18" hidden="1" customWidth="1" outlineLevel="1" collapsed="1"/>
    <col min="24" max="24" width="15" hidden="1" customWidth="1" outlineLevel="1" collapsed="1"/>
    <col min="25" max="25" width="9" hidden="1" customWidth="1"/>
  </cols>
  <sheetData>
    <row r="1" spans="1:25" ht="33.950000000000003" customHeight="1" x14ac:dyDescent="0.25">
      <c r="A1" s="93" t="s">
        <v>114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5" ht="21.95" customHeight="1" x14ac:dyDescent="0.25">
      <c r="A2" s="94" t="s">
        <v>115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5" ht="21.95" hidden="1" customHeight="1" x14ac:dyDescent="0.25">
      <c r="A3" s="96" t="s">
        <v>116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</row>
    <row r="4" spans="1:25" ht="21.95" hidden="1" customHeight="1" x14ac:dyDescent="0.25">
      <c r="A4" s="96" t="s">
        <v>117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 spans="1:25" ht="5.0999999999999996" customHeight="1" x14ac:dyDescent="0.25"/>
    <row r="6" spans="1:25" ht="5.0999999999999996" customHeight="1" x14ac:dyDescent="0.25"/>
    <row r="7" spans="1:25" ht="24" customHeight="1" x14ac:dyDescent="0.25">
      <c r="A7" s="99" t="s">
        <v>118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</row>
    <row r="8" spans="1:25" ht="27.95" customHeight="1" x14ac:dyDescent="0.25">
      <c r="A8" s="12" t="s">
        <v>54</v>
      </c>
      <c r="B8" s="12" t="s">
        <v>55</v>
      </c>
      <c r="C8" s="12" t="s">
        <v>1</v>
      </c>
      <c r="D8" s="12" t="s">
        <v>119</v>
      </c>
      <c r="E8" s="12" t="s">
        <v>120</v>
      </c>
      <c r="F8" s="12" t="s">
        <v>121</v>
      </c>
      <c r="G8" s="12" t="s">
        <v>122</v>
      </c>
      <c r="H8" s="12" t="s">
        <v>6</v>
      </c>
      <c r="I8" s="12" t="s">
        <v>123</v>
      </c>
      <c r="J8" s="12" t="s">
        <v>61</v>
      </c>
      <c r="K8" s="12" t="s">
        <v>124</v>
      </c>
      <c r="L8" s="12" t="s">
        <v>125</v>
      </c>
      <c r="M8" s="12" t="s">
        <v>126</v>
      </c>
      <c r="N8" s="12" t="s">
        <v>127</v>
      </c>
      <c r="O8" s="12" t="s">
        <v>128</v>
      </c>
      <c r="P8" s="12" t="s">
        <v>8</v>
      </c>
      <c r="Q8" s="12" t="s">
        <v>129</v>
      </c>
      <c r="R8" s="12" t="s">
        <v>70</v>
      </c>
      <c r="S8" s="12" t="s">
        <v>130</v>
      </c>
      <c r="T8" s="12" t="s">
        <v>131</v>
      </c>
      <c r="U8" s="12" t="s">
        <v>132</v>
      </c>
      <c r="V8" s="12" t="s">
        <v>133</v>
      </c>
      <c r="W8" s="12" t="s">
        <v>134</v>
      </c>
      <c r="X8" s="12" t="s">
        <v>135</v>
      </c>
    </row>
    <row r="9" spans="1:25" ht="23.1" customHeight="1" x14ac:dyDescent="0.25">
      <c r="A9" s="18" t="str">
        <f>IF(_EngineCycles!A9="","",_EngineCycles!B9&amp;IF(_EngineCycles!C9&gt;1," / "&amp;_EngineCycles!C9,""))</f>
        <v>sample-xyz</v>
      </c>
      <c r="B9" s="18" t="str">
        <f>IF(_EngineCycles!A9="","",_EngineCycles!D9)</f>
        <v>XYZ</v>
      </c>
      <c r="C9" s="18" t="str">
        <f>IF(_EngineCycles!A9="","",IFERROR(INDEX(Trades!$D$9:$D$508,_EngineCycles!AG9-8),""))</f>
        <v>USD</v>
      </c>
      <c r="D9" s="25" t="str">
        <f>IF(_EngineCycles!A9="","",IF($R9&lt;&gt;"OK","Review",IF(_EngineCycles!E9="Closed","Closed",IF(_EngineCycles!P9&gt;0,IF(IFERROR(LOOKUP(2,1/((_EngineTrades!$AU$9:$AU$508=_EngineCycles!A9)),_EngineTrades!$AQ$9:$AQ$508),0)&gt;0,"Covered Call","Shares Held"),"Cash-Secured Put"))))</f>
        <v>Closed</v>
      </c>
      <c r="E9" s="26">
        <f>IF(NOT(_EngineCycles!A9&lt;&gt;""),"",IF(NOT($R9="OK"),"",_EngineCycles!P9))</f>
        <v>0</v>
      </c>
      <c r="F9" s="17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AH$9:$AH$508),0),"")))</f>
        <v/>
      </c>
      <c r="G9" s="17" t="str">
        <f>IF(NOT(_EngineCycles!A9&lt;&gt;""),"",IF(NOT($R9="OK"),"",_EngineCycles!Q9))</f>
        <v/>
      </c>
      <c r="H9" s="27">
        <f>IF(NOT(_EngineCycles!A9&lt;&gt;""),"",IF(NOT($R9="OK"),"",_EngineCycles!J9))</f>
        <v>370</v>
      </c>
      <c r="I9" s="17">
        <f>IF(NOT(_EngineCycles!A9&lt;&gt;""),"",IF(NOT($R9="OK"),"",_EngineCycles!I9))</f>
        <v>0</v>
      </c>
      <c r="J9" s="17">
        <f>IF(NOT(_EngineCycles!A9&lt;&gt;""),"",IF(NOT($R9="OK"),"",_EngineCycles!L9))</f>
        <v>1.95</v>
      </c>
      <c r="K9" s="17" t="str">
        <f>IF(NOT(_EngineCycles!A9&lt;&gt;""),"",IF(NOT($R9="OK"),"",_EngineCycles!U9))</f>
        <v/>
      </c>
      <c r="L9" s="27" t="str">
        <f>IF(NOT(_EngineCycles!A9&lt;&gt;""),"",IF(NOT($R9="OK"),"",_EngineCycles!AE9))</f>
        <v/>
      </c>
      <c r="M9" s="17">
        <f>IF(NOT(_EngineCycles!A9&lt;&gt;""),"",IF(NOT($R9="OK"),"",_EngineCycles!O9))</f>
        <v>492.05</v>
      </c>
      <c r="N9" s="27">
        <f>IF(NOT(_EngineCycles!A9&lt;&gt;""),"",IF(NOT($R9="OK"),"",IF(_EngineCycles!E9="Closed",_EngineCycles!O9,"")))</f>
        <v>492.05</v>
      </c>
      <c r="O9" s="28">
        <f>IF(NOT(_EngineCycles!A9&lt;&gt;""),"",IF(NOT($R9="OK"),"",_EngineCycles!Y9))</f>
        <v>0.44345200000000001</v>
      </c>
      <c r="P9" s="17">
        <f>IF(NOT(_EngineCycles!A9&lt;&gt;""),"",IF(NOT($R9="OK"),"",_EngineCycles!S9))</f>
        <v>0</v>
      </c>
      <c r="Q9" s="25" t="str">
        <f>IF(_EngineCycles!A9="","",IF($R9&lt;&gt;"OK","Review",IF(_EngineCycles!E9="Closed","Closed","Open")))</f>
        <v>Closed</v>
      </c>
      <c r="R9" s="18" t="str">
        <f>IF(_EngineCycles!A9="","",IF(COUNTIFS(Trades!$B$9:$B$508,_EngineCycles!B9,Trades!$C$9:$C$508,"&lt;&gt;"&amp;$B9,Trades!$A$9:$A$508,"&lt;&gt;")&gt;0,"Ticker mismatch",IF(COUNTIFS(Trades!$B$9:$B$508,_EngineCycles!B9,Trades!$D$9:$D$508,"&lt;&gt;"&amp;$C9,Trades!$A$9:$A$508,"&lt;&gt;")&gt;0,"Currency mismatch",IF(COUNTIFS(Trades!$B$9:$B$508,_EngineCycles!B9,Trades!$S$9:$S$508,"&lt;&gt;OK",Trades!$A$9:$A$508,"&lt;&gt;")&gt;0,"Check trades","OK"))))</f>
        <v>OK</v>
      </c>
      <c r="S9" s="29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P$9:$P$508),0),"")))</f>
        <v/>
      </c>
      <c r="T9" s="26">
        <f>IF(NOT(_EngineCycles!A9&lt;&gt;""),"",IF(NOT($R9="OK"),"",_EngineCycles!W9))</f>
        <v>81</v>
      </c>
      <c r="U9" s="16"/>
      <c r="V9" s="16"/>
      <c r="W9" s="16"/>
      <c r="X9" s="16"/>
      <c r="Y9" t="str">
        <f>IF(AND($C9=Overview!$P$2,$Q9="Open",$R9="OK"),COUNTIFS($C$9:$C9,Overview!$P$2,$Q$9:$Q9,"Open",$R$9:$R9,"OK"),"")</f>
        <v/>
      </c>
    </row>
    <row r="10" spans="1:25" ht="23.1" customHeight="1" x14ac:dyDescent="0.25">
      <c r="A10" s="24" t="str">
        <f>IF(_EngineCycles!A10="","",_EngineCycles!B10&amp;IF(_EngineCycles!C10&gt;1," / "&amp;_EngineCycles!C10,""))</f>
        <v>demo-loss</v>
      </c>
      <c r="B10" s="24" t="str">
        <f>IF(_EngineCycles!A10="","",_EngineCycles!D10)</f>
        <v>MNO</v>
      </c>
      <c r="C10" s="24" t="str">
        <f>IF(_EngineCycles!A10="","",IFERROR(INDEX(Trades!$D$9:$D$508,_EngineCycles!AG10-8),""))</f>
        <v>USD</v>
      </c>
      <c r="D10" s="30" t="str">
        <f>IF(_EngineCycles!A10="","",IF($R10&lt;&gt;"OK","Review",IF(_EngineCycles!E10="Closed","Closed",IF(_EngineCycles!P10&gt;0,IF(IFERROR(LOOKUP(2,1/((_EngineTrades!$AU$9:$AU$508=_EngineCycles!A10)),_EngineTrades!$AQ$9:$AQ$508),0)&gt;0,"Covered Call","Shares Held"),"Cash-Secured Put"))))</f>
        <v>Closed</v>
      </c>
      <c r="E10" s="31">
        <f>IF(NOT(_EngineCycles!A10&lt;&gt;""),"",IF(NOT($R10="OK"),"",_EngineCycles!P10))</f>
        <v>0</v>
      </c>
      <c r="F10" s="23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AH$9:$AH$508),0),"")))</f>
        <v/>
      </c>
      <c r="G10" s="23" t="str">
        <f>IF(NOT(_EngineCycles!A10&lt;&gt;""),"",IF(NOT($R10="OK"),"",_EngineCycles!Q10))</f>
        <v/>
      </c>
      <c r="H10" s="32">
        <f>IF(NOT(_EngineCycles!A10&lt;&gt;""),"",IF(NOT($R10="OK"),"",_EngineCycles!J10))</f>
        <v>20</v>
      </c>
      <c r="I10" s="23">
        <f>IF(NOT(_EngineCycles!A10&lt;&gt;""),"",IF(NOT($R10="OK"),"",_EngineCycles!I10))</f>
        <v>0</v>
      </c>
      <c r="J10" s="23">
        <f>IF(NOT(_EngineCycles!A10&lt;&gt;""),"",IF(NOT($R10="OK"),"",_EngineCycles!L10))</f>
        <v>2.2999999999999998</v>
      </c>
      <c r="K10" s="23" t="str">
        <f>IF(NOT(_EngineCycles!A10&lt;&gt;""),"",IF(NOT($R10="OK"),"",_EngineCycles!U10))</f>
        <v/>
      </c>
      <c r="L10" s="32" t="str">
        <f>IF(NOT(_EngineCycles!A10&lt;&gt;""),"",IF(NOT($R10="OK"),"",_EngineCycles!AE10))</f>
        <v/>
      </c>
      <c r="M10" s="23">
        <f>IF(NOT(_EngineCycles!A10&lt;&gt;""),"",IF(NOT($R10="OK"),"",_EngineCycles!O10))</f>
        <v>-82.3</v>
      </c>
      <c r="N10" s="32">
        <f>IF(NOT(_EngineCycles!A10&lt;&gt;""),"",IF(NOT($R10="OK"),"",IF(_EngineCycles!E10="Closed",_EngineCycles!O10,"")))</f>
        <v>-82.3</v>
      </c>
      <c r="O10" s="33">
        <f>IF(NOT(_EngineCycles!A10&lt;&gt;""),"",IF(NOT($R10="OK"),"",_EngineCycles!Y10))</f>
        <v>-0.278144</v>
      </c>
      <c r="P10" s="23">
        <f>IF(NOT(_EngineCycles!A10&lt;&gt;""),"",IF(NOT($R10="OK"),"",_EngineCycles!S10))</f>
        <v>0</v>
      </c>
      <c r="Q10" s="30" t="str">
        <f>IF(_EngineCycles!A10="","",IF($R10&lt;&gt;"OK","Review",IF(_EngineCycles!E10="Closed","Closed","Open")))</f>
        <v>Closed</v>
      </c>
      <c r="R10" s="24" t="str">
        <f>IF(_EngineCycles!A10="","",IF(COUNTIFS(Trades!$B$9:$B$508,_EngineCycles!B10,Trades!$C$9:$C$508,"&lt;&gt;"&amp;$B10,Trades!$A$9:$A$508,"&lt;&gt;")&gt;0,"Ticker mismatch",IF(COUNTIFS(Trades!$B$9:$B$508,_EngineCycles!B10,Trades!$D$9:$D$508,"&lt;&gt;"&amp;$C10,Trades!$A$9:$A$508,"&lt;&gt;")&gt;0,"Currency mismatch",IF(COUNTIFS(Trades!$B$9:$B$508,_EngineCycles!B10,Trades!$S$9:$S$508,"&lt;&gt;OK",Trades!$A$9:$A$508,"&lt;&gt;")&gt;0,"Check trades","OK"))))</f>
        <v>OK</v>
      </c>
      <c r="S10" s="34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P$9:$P$508),0),"")))</f>
        <v/>
      </c>
      <c r="T10" s="31">
        <f>IF(NOT(_EngineCycles!A10&lt;&gt;""),"",IF(NOT($R10="OK"),"",_EngineCycles!W10))</f>
        <v>27</v>
      </c>
      <c r="U10" s="22"/>
      <c r="V10" s="22"/>
      <c r="W10" s="22"/>
      <c r="X10" s="22"/>
      <c r="Y10" t="str">
        <f>IF(AND($C10=Overview!$P$2,$Q10="Open",$R10="OK"),COUNTIFS($C$9:$C10,Overview!$P$2,$Q$9:$Q10,"Open",$R$9:$R10,"OK"),"")</f>
        <v/>
      </c>
    </row>
    <row r="11" spans="1:25" ht="23.1" customHeight="1" x14ac:dyDescent="0.25">
      <c r="A11" s="18" t="str">
        <f>IF(_EngineCycles!A11="","",_EngineCycles!B11&amp;IF(_EngineCycles!C11&gt;1," / "&amp;_EngineCycles!C11,""))</f>
        <v>demo-direct</v>
      </c>
      <c r="B11" s="18" t="str">
        <f>IF(_EngineCycles!A11="","",_EngineCycles!D11)</f>
        <v>DEF</v>
      </c>
      <c r="C11" s="18" t="str">
        <f>IF(_EngineCycles!A11="","",IFERROR(INDEX(Trades!$D$9:$D$508,_EngineCycles!AG11-8),""))</f>
        <v>USD</v>
      </c>
      <c r="D11" s="25" t="str">
        <f>IF(_EngineCycles!A11="","",IF($R11&lt;&gt;"OK","Review",IF(_EngineCycles!E11="Closed","Closed",IF(_EngineCycles!P11&gt;0,IF(IFERROR(LOOKUP(2,1/((_EngineTrades!$AU$9:$AU$508=_EngineCycles!A11)),_EngineTrades!$AQ$9:$AQ$508),0)&gt;0,"Covered Call","Shares Held"),"Cash-Secured Put"))))</f>
        <v>Closed</v>
      </c>
      <c r="E11" s="26">
        <f>IF(NOT(_EngineCycles!A11&lt;&gt;""),"",IF(NOT($R11="OK"),"",_EngineCycles!P11))</f>
        <v>0</v>
      </c>
      <c r="F11" s="17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AH$9:$AH$508),0),"")))</f>
        <v/>
      </c>
      <c r="G11" s="17" t="str">
        <f>IF(NOT(_EngineCycles!A11&lt;&gt;""),"",IF(NOT($R11="OK"),"",_EngineCycles!Q11))</f>
        <v/>
      </c>
      <c r="H11" s="27">
        <f>IF(NOT(_EngineCycles!A11&lt;&gt;""),"",IF(NOT($R11="OK"),"",_EngineCycles!J11))</f>
        <v>40</v>
      </c>
      <c r="I11" s="17">
        <f>IF(NOT(_EngineCycles!A11&lt;&gt;""),"",IF(NOT($R11="OK"),"",_EngineCycles!I11))</f>
        <v>10</v>
      </c>
      <c r="J11" s="17">
        <f>IF(NOT(_EngineCycles!A11&lt;&gt;""),"",IF(NOT($R11="OK"),"",_EngineCycles!L11))</f>
        <v>3.3</v>
      </c>
      <c r="K11" s="17" t="str">
        <f>IF(NOT(_EngineCycles!A11&lt;&gt;""),"",IF(NOT($R11="OK"),"",_EngineCycles!U11))</f>
        <v/>
      </c>
      <c r="L11" s="27" t="str">
        <f>IF(NOT(_EngineCycles!A11&lt;&gt;""),"",IF(NOT($R11="OK"),"",_EngineCycles!AE11))</f>
        <v/>
      </c>
      <c r="M11" s="17">
        <f>IF(NOT(_EngineCycles!A11&lt;&gt;""),"",IF(NOT($R11="OK"),"",_EngineCycles!O11))</f>
        <v>136.69999999999999</v>
      </c>
      <c r="N11" s="27">
        <f>IF(NOT(_EngineCycles!A11&lt;&gt;""),"",IF(NOT($R11="OK"),"",IF(_EngineCycles!E11="Closed",_EngineCycles!O11,"")))</f>
        <v>136.69999999999999</v>
      </c>
      <c r="O11" s="28">
        <f>IF(NOT(_EngineCycles!A11&lt;&gt;""),"",IF(NOT($R11="OK"),"",_EngineCycles!Y11))</f>
        <v>0.71279300000000001</v>
      </c>
      <c r="P11" s="17">
        <f>IF(NOT(_EngineCycles!A11&lt;&gt;""),"",IF(NOT($R11="OK"),"",_EngineCycles!S11))</f>
        <v>0</v>
      </c>
      <c r="Q11" s="25" t="str">
        <f>IF(_EngineCycles!A11="","",IF($R11&lt;&gt;"OK","Review",IF(_EngineCycles!E11="Closed","Closed","Open")))</f>
        <v>Closed</v>
      </c>
      <c r="R11" s="18" t="str">
        <f>IF(_EngineCycles!A11="","",IF(COUNTIFS(Trades!$B$9:$B$508,_EngineCycles!B11,Trades!$C$9:$C$508,"&lt;&gt;"&amp;$B11,Trades!$A$9:$A$508,"&lt;&gt;")&gt;0,"Ticker mismatch",IF(COUNTIFS(Trades!$B$9:$B$508,_EngineCycles!B11,Trades!$D$9:$D$508,"&lt;&gt;"&amp;$C11,Trades!$A$9:$A$508,"&lt;&gt;")&gt;0,"Currency mismatch",IF(COUNTIFS(Trades!$B$9:$B$508,_EngineCycles!B11,Trades!$S$9:$S$508,"&lt;&gt;OK",Trades!$A$9:$A$508,"&lt;&gt;")&gt;0,"Check trades","OK"))))</f>
        <v>OK</v>
      </c>
      <c r="S11" s="29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P$9:$P$508),0),"")))</f>
        <v/>
      </c>
      <c r="T11" s="26">
        <f>IF(NOT(_EngineCycles!A11&lt;&gt;""),"",IF(NOT($R11="OK"),"",_EngineCycles!W11))</f>
        <v>28</v>
      </c>
      <c r="U11" s="16"/>
      <c r="V11" s="16"/>
      <c r="W11" s="16"/>
      <c r="X11" s="16"/>
      <c r="Y11" t="str">
        <f>IF(AND($C11=Overview!$P$2,$Q11="Open",$R11="OK"),COUNTIFS($C$9:$C11,Overview!$P$2,$Q$9:$Q11,"Open",$R$9:$R11,"OK"),"")</f>
        <v/>
      </c>
    </row>
    <row r="12" spans="1:25" ht="23.1" customHeight="1" x14ac:dyDescent="0.25">
      <c r="A12" s="24" t="str">
        <f>IF(_EngineCycles!A12="","",_EngineCycles!B12&amp;IF(_EngineCycles!C12&gt;1," / "&amp;_EngineCycles!C12,""))</f>
        <v>demo-eur</v>
      </c>
      <c r="B12" s="24" t="str">
        <f>IF(_EngineCycles!A12="","",_EngineCycles!D12)</f>
        <v>EURX</v>
      </c>
      <c r="C12" s="24" t="str">
        <f>IF(_EngineCycles!A12="","",IFERROR(INDEX(Trades!$D$9:$D$508,_EngineCycles!AG12-8),""))</f>
        <v>EUR</v>
      </c>
      <c r="D12" s="30" t="str">
        <f>IF(_EngineCycles!A12="","",IF($R12&lt;&gt;"OK","Review",IF(_EngineCycles!E12="Closed","Closed",IF(_EngineCycles!P12&gt;0,IF(IFERROR(LOOKUP(2,1/((_EngineTrades!$AU$9:$AU$508=_EngineCycles!A12)),_EngineTrades!$AQ$9:$AQ$508),0)&gt;0,"Covered Call","Shares Held"),"Cash-Secured Put"))))</f>
        <v>Closed</v>
      </c>
      <c r="E12" s="31">
        <f>IF(NOT(_EngineCycles!A12&lt;&gt;""),"",IF(NOT($R12="OK"),"",_EngineCycles!P12))</f>
        <v>0</v>
      </c>
      <c r="F12" s="23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AH$9:$AH$508),0),"")))</f>
        <v/>
      </c>
      <c r="G12" s="23" t="str">
        <f>IF(NOT(_EngineCycles!A12&lt;&gt;""),"",IF(NOT($R12="OK"),"",_EngineCycles!Q12))</f>
        <v/>
      </c>
      <c r="H12" s="32">
        <f>IF(NOT(_EngineCycles!A12&lt;&gt;""),"",IF(NOT($R12="OK"),"",_EngineCycles!J12))</f>
        <v>60</v>
      </c>
      <c r="I12" s="23">
        <f>IF(NOT(_EngineCycles!A12&lt;&gt;""),"",IF(NOT($R12="OK"),"",_EngineCycles!I12))</f>
        <v>0</v>
      </c>
      <c r="J12" s="23">
        <f>IF(NOT(_EngineCycles!A12&lt;&gt;""),"",IF(NOT($R12="OK"),"",_EngineCycles!L12))</f>
        <v>0.65</v>
      </c>
      <c r="K12" s="23" t="str">
        <f>IF(NOT(_EngineCycles!A12&lt;&gt;""),"",IF(NOT($R12="OK"),"",_EngineCycles!U12))</f>
        <v/>
      </c>
      <c r="L12" s="32" t="str">
        <f>IF(NOT(_EngineCycles!A12&lt;&gt;""),"",IF(NOT($R12="OK"),"",_EngineCycles!AE12))</f>
        <v/>
      </c>
      <c r="M12" s="23">
        <f>IF(NOT(_EngineCycles!A12&lt;&gt;""),"",IF(NOT($R12="OK"),"",_EngineCycles!O12))</f>
        <v>59.35</v>
      </c>
      <c r="N12" s="32">
        <f>IF(NOT(_EngineCycles!A12&lt;&gt;""),"",IF(NOT($R12="OK"),"",IF(_EngineCycles!E12="Closed",_EngineCycles!O12,"")))</f>
        <v>59.35</v>
      </c>
      <c r="O12" s="33">
        <f>IF(NOT(_EngineCycles!A12&lt;&gt;""),"",IF(NOT($R12="OK"),"",_EngineCycles!Y12))</f>
        <v>0.22104799999999999</v>
      </c>
      <c r="P12" s="23">
        <f>IF(NOT(_EngineCycles!A12&lt;&gt;""),"",IF(NOT($R12="OK"),"",_EngineCycles!S12))</f>
        <v>0</v>
      </c>
      <c r="Q12" s="30" t="str">
        <f>IF(_EngineCycles!A12="","",IF($R12&lt;&gt;"OK","Review",IF(_EngineCycles!E12="Closed","Closed","Open")))</f>
        <v>Closed</v>
      </c>
      <c r="R12" s="24" t="str">
        <f>IF(_EngineCycles!A12="","",IF(COUNTIFS(Trades!$B$9:$B$508,_EngineCycles!B12,Trades!$C$9:$C$508,"&lt;&gt;"&amp;$B12,Trades!$A$9:$A$508,"&lt;&gt;")&gt;0,"Ticker mismatch",IF(COUNTIFS(Trades!$B$9:$B$508,_EngineCycles!B12,Trades!$D$9:$D$508,"&lt;&gt;"&amp;$C12,Trades!$A$9:$A$508,"&lt;&gt;")&gt;0,"Currency mismatch",IF(COUNTIFS(Trades!$B$9:$B$508,_EngineCycles!B12,Trades!$S$9:$S$508,"&lt;&gt;OK",Trades!$A$9:$A$508,"&lt;&gt;")&gt;0,"Check trades","OK"))))</f>
        <v>OK</v>
      </c>
      <c r="S12" s="34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P$9:$P$508),0),"")))</f>
        <v/>
      </c>
      <c r="T12" s="31">
        <f>IF(NOT(_EngineCycles!A12&lt;&gt;""),"",IF(NOT($R12="OK"),"",_EngineCycles!W12))</f>
        <v>28</v>
      </c>
      <c r="U12" s="22"/>
      <c r="V12" s="22"/>
      <c r="W12" s="22"/>
      <c r="X12" s="22"/>
      <c r="Y12" t="str">
        <f>IF(AND($C12=Overview!$P$2,$Q12="Open",$R12="OK"),COUNTIFS($C$9:$C12,Overview!$P$2,$Q$9:$Q12,"Open",$R$9:$R12,"OK"),"")</f>
        <v/>
      </c>
    </row>
    <row r="13" spans="1:25" ht="23.1" customHeight="1" x14ac:dyDescent="0.25">
      <c r="A13" s="18" t="str">
        <f>IF(_EngineCycles!A13="","",_EngineCycles!B13&amp;IF(_EngineCycles!C13&gt;1," / "&amp;_EngineCycles!C13,""))</f>
        <v>sample-abc</v>
      </c>
      <c r="B13" s="18" t="str">
        <f>IF(_EngineCycles!A13="","",_EngineCycles!D13)</f>
        <v>ABC</v>
      </c>
      <c r="C13" s="18" t="str">
        <f>IF(_EngineCycles!A13="","",IFERROR(INDEX(Trades!$D$9:$D$508,_EngineCycles!AG13-8),""))</f>
        <v>USD</v>
      </c>
      <c r="D13" s="25" t="str">
        <f>IF(_EngineCycles!A13="","",IF($R13&lt;&gt;"OK","Review",IF(_EngineCycles!E13="Closed","Closed",IF(_EngineCycles!P13&gt;0,IF(IFERROR(LOOKUP(2,1/((_EngineTrades!$AU$9:$AU$508=_EngineCycles!A13)),_EngineTrades!$AQ$9:$AQ$508),0)&gt;0,"Covered Call","Shares Held"),"Cash-Secured Put"))))</f>
        <v>Closed</v>
      </c>
      <c r="E13" s="26">
        <f>IF(NOT(_EngineCycles!A13&lt;&gt;""),"",IF(NOT($R13="OK"),"",_EngineCycles!P13))</f>
        <v>0</v>
      </c>
      <c r="F13" s="17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AH$9:$AH$508),0),"")))</f>
        <v/>
      </c>
      <c r="G13" s="17" t="str">
        <f>IF(NOT(_EngineCycles!A13&lt;&gt;""),"",IF(NOT($R13="OK"),"",_EngineCycles!Q13))</f>
        <v/>
      </c>
      <c r="H13" s="27">
        <f>IF(NOT(_EngineCycles!A13&lt;&gt;""),"",IF(NOT($R13="OK"),"",_EngineCycles!J13))</f>
        <v>70</v>
      </c>
      <c r="I13" s="17">
        <f>IF(NOT(_EngineCycles!A13&lt;&gt;""),"",IF(NOT($R13="OK"),"",_EngineCycles!I13))</f>
        <v>20</v>
      </c>
      <c r="J13" s="17">
        <f>IF(NOT(_EngineCycles!A13&lt;&gt;""),"",IF(NOT($R13="OK"),"",_EngineCycles!L13))</f>
        <v>2.6</v>
      </c>
      <c r="K13" s="17" t="str">
        <f>IF(NOT(_EngineCycles!A13&lt;&gt;""),"",IF(NOT($R13="OK"),"",_EngineCycles!U13))</f>
        <v/>
      </c>
      <c r="L13" s="27" t="str">
        <f>IF(NOT(_EngineCycles!A13&lt;&gt;""),"",IF(NOT($R13="OK"),"",_EngineCycles!AE13))</f>
        <v/>
      </c>
      <c r="M13" s="17">
        <f>IF(NOT(_EngineCycles!A13&lt;&gt;""),"",IF(NOT($R13="OK"),"",_EngineCycles!O13))</f>
        <v>67.400000000000006</v>
      </c>
      <c r="N13" s="27">
        <f>IF(NOT(_EngineCycles!A13&lt;&gt;""),"",IF(NOT($R13="OK"),"",IF(_EngineCycles!E13="Closed",_EngineCycles!O13,"")))</f>
        <v>67.400000000000006</v>
      </c>
      <c r="O13" s="28">
        <f>IF(NOT(_EngineCycles!A13&lt;&gt;""),"",IF(NOT($R13="OK"),"",_EngineCycles!Y13))</f>
        <v>0.32369700000000001</v>
      </c>
      <c r="P13" s="17">
        <f>IF(NOT(_EngineCycles!A13&lt;&gt;""),"",IF(NOT($R13="OK"),"",_EngineCycles!S13))</f>
        <v>0</v>
      </c>
      <c r="Q13" s="25" t="str">
        <f>IF(_EngineCycles!A13="","",IF($R13&lt;&gt;"OK","Review",IF(_EngineCycles!E13="Closed","Closed","Open")))</f>
        <v>Closed</v>
      </c>
      <c r="R13" s="18" t="str">
        <f>IF(_EngineCycles!A13="","",IF(COUNTIFS(Trades!$B$9:$B$508,_EngineCycles!B13,Trades!$C$9:$C$508,"&lt;&gt;"&amp;$B13,Trades!$A$9:$A$508,"&lt;&gt;")&gt;0,"Ticker mismatch",IF(COUNTIFS(Trades!$B$9:$B$508,_EngineCycles!B13,Trades!$D$9:$D$508,"&lt;&gt;"&amp;$C13,Trades!$A$9:$A$508,"&lt;&gt;")&gt;0,"Currency mismatch",IF(COUNTIFS(Trades!$B$9:$B$508,_EngineCycles!B13,Trades!$S$9:$S$508,"&lt;&gt;OK",Trades!$A$9:$A$508,"&lt;&gt;")&gt;0,"Check trades","OK"))))</f>
        <v>OK</v>
      </c>
      <c r="S13" s="29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P$9:$P$508),0),"")))</f>
        <v/>
      </c>
      <c r="T13" s="26">
        <f>IF(NOT(_EngineCycles!A13&lt;&gt;""),"",IF(NOT($R13="OK"),"",_EngineCycles!W13))</f>
        <v>19</v>
      </c>
      <c r="U13" s="16"/>
      <c r="V13" s="16"/>
      <c r="W13" s="16"/>
      <c r="X13" s="16"/>
      <c r="Y13" t="str">
        <f>IF(AND($C13=Overview!$P$2,$Q13="Open",$R13="OK"),COUNTIFS($C$9:$C13,Overview!$P$2,$Q$9:$Q13,"Open",$R$9:$R13,"OK"),"")</f>
        <v/>
      </c>
    </row>
    <row r="14" spans="1:25" ht="23.1" customHeight="1" x14ac:dyDescent="0.25">
      <c r="A14" s="24" t="str">
        <f>IF(_EngineCycles!A14="","",_EngineCycles!B14&amp;IF(_EngineCycles!C14&gt;1," / "&amp;_EngineCycles!C14,""))</f>
        <v>demo-held</v>
      </c>
      <c r="B14" s="24" t="str">
        <f>IF(_EngineCycles!A14="","",_EngineCycles!D14)</f>
        <v>GHI</v>
      </c>
      <c r="C14" s="24" t="str">
        <f>IF(_EngineCycles!A14="","",IFERROR(INDEX(Trades!$D$9:$D$508,_EngineCycles!AG14-8),""))</f>
        <v>USD</v>
      </c>
      <c r="D14" s="30" t="str">
        <f>IF(_EngineCycles!A14="","",IF($R14&lt;&gt;"OK","Review",IF(_EngineCycles!E14="Closed","Closed",IF(_EngineCycles!P14&gt;0,IF(IFERROR(LOOKUP(2,1/((_EngineTrades!$AU$9:$AU$508=_EngineCycles!A14)),_EngineTrades!$AQ$9:$AQ$508),0)&gt;0,"Covered Call","Shares Held"),"Cash-Secured Put"))))</f>
        <v>Shares Held</v>
      </c>
      <c r="E14" s="31">
        <f>IF(NOT(_EngineCycles!A14&lt;&gt;""),"",IF(NOT($R14="OK"),"",_EngineCycles!P14))</f>
        <v>100</v>
      </c>
      <c r="F14" s="23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AH$9:$AH$508),0),"")))</f>
        <v/>
      </c>
      <c r="G14" s="23">
        <f>IF(NOT(_EngineCycles!A14&lt;&gt;""),"",IF(NOT($R14="OK"),"",_EngineCycles!Q14))</f>
        <v>30</v>
      </c>
      <c r="H14" s="32">
        <f>IF(NOT(_EngineCycles!A14&lt;&gt;""),"",IF(NOT($R14="OK"),"",_EngineCycles!J14))</f>
        <v>80</v>
      </c>
      <c r="I14" s="23">
        <f>IF(NOT(_EngineCycles!A14&lt;&gt;""),"",IF(NOT($R14="OK"),"",_EngineCycles!I14))</f>
        <v>0</v>
      </c>
      <c r="J14" s="23">
        <f>IF(NOT(_EngineCycles!A14&lt;&gt;""),"",IF(NOT($R14="OK"),"",_EngineCycles!L14))</f>
        <v>1.3</v>
      </c>
      <c r="K14" s="23">
        <f>IF(NOT(_EngineCycles!A14&lt;&gt;""),"",IF(NOT($R14="OK"),"",_EngineCycles!U14))</f>
        <v>29.213000000000001</v>
      </c>
      <c r="L14" s="32">
        <f>IF(NOT(_EngineCycles!A14&lt;&gt;""),"",IF(NOT($R14="OK"),"",_EngineCycles!AE14))</f>
        <v>29.213000000000001</v>
      </c>
      <c r="M14" s="23">
        <f>IF(NOT(_EngineCycles!A14&lt;&gt;""),"",IF(NOT($R14="OK"),"",_EngineCycles!O14))</f>
        <v>-2921.3</v>
      </c>
      <c r="N14" s="32" t="str">
        <f>IF(NOT(_EngineCycles!A14&lt;&gt;""),"",IF(NOT($R14="OK"),"",IF(_EngineCycles!E14="Closed",_EngineCycles!O14,"")))</f>
        <v/>
      </c>
      <c r="O14" s="33">
        <f>IF(NOT(_EngineCycles!A14&lt;&gt;""),"",IF(NOT($R14="OK"),"",_EngineCycles!Y14))</f>
        <v>0.31917200000000001</v>
      </c>
      <c r="P14" s="23">
        <f>IF(NOT(_EngineCycles!A14&lt;&gt;""),"",IF(NOT($R14="OK"),"",_EngineCycles!S14))</f>
        <v>3000</v>
      </c>
      <c r="Q14" s="30" t="str">
        <f>IF(_EngineCycles!A14="","",IF($R14&lt;&gt;"OK","Review",IF(_EngineCycles!E14="Closed","Closed","Open")))</f>
        <v>Open</v>
      </c>
      <c r="R14" s="24" t="str">
        <f>IF(_EngineCycles!A14="","",IF(COUNTIFS(Trades!$B$9:$B$508,_EngineCycles!B14,Trades!$C$9:$C$508,"&lt;&gt;"&amp;$B14,Trades!$A$9:$A$508,"&lt;&gt;")&gt;0,"Ticker mismatch",IF(COUNTIFS(Trades!$B$9:$B$508,_EngineCycles!B14,Trades!$D$9:$D$508,"&lt;&gt;"&amp;$C14,Trades!$A$9:$A$508,"&lt;&gt;")&gt;0,"Currency mismatch",IF(COUNTIFS(Trades!$B$9:$B$508,_EngineCycles!B14,Trades!$S$9:$S$508,"&lt;&gt;OK",Trades!$A$9:$A$508,"&lt;&gt;")&gt;0,"Check trades","OK"))))</f>
        <v>OK</v>
      </c>
      <c r="S14" s="34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P$9:$P$508),0),"")))</f>
        <v/>
      </c>
      <c r="T14" s="31">
        <f>IF(NOT(_EngineCycles!A14&lt;&gt;""),"",IF(NOT($R14="OK"),"",_EngineCycles!W14))</f>
        <v>30</v>
      </c>
      <c r="U14" s="22"/>
      <c r="V14" s="22"/>
      <c r="W14" s="22"/>
      <c r="X14" s="22"/>
      <c r="Y14">
        <f>IF(AND($C14=Overview!$P$2,$Q14="Open",$R14="OK"),COUNTIFS($C$9:$C14,Overview!$P$2,$Q$9:$Q14,"Open",$R$9:$R14,"OK"),"")</f>
        <v>1</v>
      </c>
    </row>
    <row r="15" spans="1:25" ht="23.1" customHeight="1" x14ac:dyDescent="0.25">
      <c r="A15" s="18" t="str">
        <f>IF(_EngineCycles!A15="","",_EngineCycles!B15&amp;IF(_EngineCycles!C15&gt;1," / "&amp;_EngineCycles!C15,""))</f>
        <v>sample-xyz / 2</v>
      </c>
      <c r="B15" s="18" t="str">
        <f>IF(_EngineCycles!A15="","",_EngineCycles!D15)</f>
        <v>XYZ</v>
      </c>
      <c r="C15" s="18" t="str">
        <f>IF(_EngineCycles!A15="","",IFERROR(INDEX(Trades!$D$9:$D$508,_EngineCycles!AG15-8),""))</f>
        <v>USD</v>
      </c>
      <c r="D15" s="25" t="str">
        <f>IF(_EngineCycles!A15="","",IF($R15&lt;&gt;"OK","Review",IF(_EngineCycles!E15="Closed","Closed",IF(_EngineCycles!P15&gt;0,IF(IFERROR(LOOKUP(2,1/((_EngineTrades!$AU$9:$AU$508=_EngineCycles!A15)),_EngineTrades!$AQ$9:$AQ$508),0)&gt;0,"Covered Call","Shares Held"),"Cash-Secured Put"))))</f>
        <v>Cash-Secured Put</v>
      </c>
      <c r="E15" s="26">
        <f>IF(NOT(_EngineCycles!A15&lt;&gt;""),"",IF(NOT($R15="OK"),"",_EngineCycles!P15))</f>
        <v>0</v>
      </c>
      <c r="F15" s="17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AH$9:$AH$508),0),"")))</f>
        <v>48</v>
      </c>
      <c r="G15" s="17" t="str">
        <f>IF(NOT(_EngineCycles!A15&lt;&gt;""),"",IF(NOT($R15="OK"),"",_EngineCycles!Q15))</f>
        <v/>
      </c>
      <c r="H15" s="27">
        <f>IF(NOT(_EngineCycles!A15&lt;&gt;""),"",IF(NOT($R15="OK"),"",_EngineCycles!J15))</f>
        <v>180</v>
      </c>
      <c r="I15" s="17">
        <f>IF(NOT(_EngineCycles!A15&lt;&gt;""),"",IF(NOT($R15="OK"),"",_EngineCycles!I15))</f>
        <v>90</v>
      </c>
      <c r="J15" s="17">
        <f>IF(NOT(_EngineCycles!A15&lt;&gt;""),"",IF(NOT($R15="OK"),"",_EngineCycles!L15))</f>
        <v>1.95</v>
      </c>
      <c r="K15" s="17" t="str">
        <f>IF(NOT(_EngineCycles!A15&lt;&gt;""),"",IF(NOT($R15="OK"),"",_EngineCycles!U15))</f>
        <v/>
      </c>
      <c r="L15" s="27" t="str">
        <f>IF(NOT(_EngineCycles!A15&lt;&gt;""),"",IF(NOT($R15="OK"),"",_EngineCycles!AE15))</f>
        <v/>
      </c>
      <c r="M15" s="17">
        <f>IF(NOT(_EngineCycles!A15&lt;&gt;""),"",IF(NOT($R15="OK"),"",_EngineCycles!O15))</f>
        <v>178.05</v>
      </c>
      <c r="N15" s="27" t="str">
        <f>IF(NOT(_EngineCycles!A15&lt;&gt;""),"",IF(NOT($R15="OK"),"",IF(_EngineCycles!E15="Closed",_EngineCycles!O15,"")))</f>
        <v/>
      </c>
      <c r="O15" s="28">
        <f>IF(NOT(_EngineCycles!A15&lt;&gt;""),"",IF(NOT($R15="OK"),"",_EngineCycles!Y15))</f>
        <v>0.53051599999999999</v>
      </c>
      <c r="P15" s="17">
        <f>IF(NOT(_EngineCycles!A15&lt;&gt;""),"",IF(NOT($R15="OK"),"",_EngineCycles!S15))</f>
        <v>4800</v>
      </c>
      <c r="Q15" s="25" t="str">
        <f>IF(_EngineCycles!A15="","",IF($R15&lt;&gt;"OK","Review",IF(_EngineCycles!E15="Closed","Closed","Open")))</f>
        <v>Open</v>
      </c>
      <c r="R15" s="18" t="str">
        <f>IF(_EngineCycles!A15="","",IF(COUNTIFS(Trades!$B$9:$B$508,_EngineCycles!B15,Trades!$C$9:$C$508,"&lt;&gt;"&amp;$B15,Trades!$A$9:$A$508,"&lt;&gt;")&gt;0,"Ticker mismatch",IF(COUNTIFS(Trades!$B$9:$B$508,_EngineCycles!B15,Trades!$D$9:$D$508,"&lt;&gt;"&amp;$C15,Trades!$A$9:$A$508,"&lt;&gt;")&gt;0,"Currency mismatch",IF(COUNTIFS(Trades!$B$9:$B$508,_EngineCycles!B15,Trades!$S$9:$S$508,"&lt;&gt;OK",Trades!$A$9:$A$508,"&lt;&gt;")&gt;0,"Check trades","OK"))))</f>
        <v>OK</v>
      </c>
      <c r="S15" s="29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P$9:$P$508),0),"")))</f>
        <v>46337</v>
      </c>
      <c r="T15" s="26">
        <f>IF(NOT(_EngineCycles!A15&lt;&gt;""),"",IF(NOT($R15="OK"),"",_EngineCycles!W15))</f>
        <v>25</v>
      </c>
      <c r="U15" s="16"/>
      <c r="V15" s="16"/>
      <c r="W15" s="16"/>
      <c r="X15" s="16"/>
      <c r="Y15">
        <f>IF(AND($C15=Overview!$P$2,$Q15="Open",$R15="OK"),COUNTIFS($C$9:$C15,Overview!$P$2,$Q$9:$Q15,"Open",$R$9:$R15,"OK"),"")</f>
        <v>2</v>
      </c>
    </row>
    <row r="16" spans="1:25" ht="23.1" customHeight="1" x14ac:dyDescent="0.25">
      <c r="A16" s="24" t="str">
        <f>IF(_EngineCycles!A16="","",_EngineCycles!B16&amp;IF(_EngineCycles!C16&gt;1," / "&amp;_EngineCycles!C16,""))</f>
        <v>demo-covered</v>
      </c>
      <c r="B16" s="24" t="str">
        <f>IF(_EngineCycles!A16="","",_EngineCycles!D16)</f>
        <v>JKL</v>
      </c>
      <c r="C16" s="24" t="str">
        <f>IF(_EngineCycles!A16="","",IFERROR(INDEX(Trades!$D$9:$D$508,_EngineCycles!AG16-8),""))</f>
        <v>USD</v>
      </c>
      <c r="D16" s="30" t="str">
        <f>IF(_EngineCycles!A16="","",IF($R16&lt;&gt;"OK","Review",IF(_EngineCycles!E16="Closed","Closed",IF(_EngineCycles!P16&gt;0,IF(IFERROR(LOOKUP(2,1/((_EngineTrades!$AU$9:$AU$508=_EngineCycles!A16)),_EngineTrades!$AQ$9:$AQ$508),0)&gt;0,"Covered Call","Shares Held"),"Cash-Secured Put"))))</f>
        <v>Covered Call</v>
      </c>
      <c r="E16" s="31">
        <f>IF(NOT(_EngineCycles!A16&lt;&gt;""),"",IF(NOT($R16="OK"),"",_EngineCycles!P16))</f>
        <v>100</v>
      </c>
      <c r="F16" s="23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AH$9:$AH$508),0),"")))</f>
        <v>48</v>
      </c>
      <c r="G16" s="23">
        <f>IF(NOT(_EngineCycles!A16&lt;&gt;""),"",IF(NOT($R16="OK"),"",_EngineCycles!Q16))</f>
        <v>45</v>
      </c>
      <c r="H16" s="32">
        <f>IF(NOT(_EngineCycles!A16&lt;&gt;""),"",IF(NOT($R16="OK"),"",_EngineCycles!J16))</f>
        <v>110</v>
      </c>
      <c r="I16" s="23">
        <f>IF(NOT(_EngineCycles!A16&lt;&gt;""),"",IF(NOT($R16="OK"),"",_EngineCycles!I16))</f>
        <v>0</v>
      </c>
      <c r="J16" s="23">
        <f>IF(NOT(_EngineCycles!A16&lt;&gt;""),"",IF(NOT($R16="OK"),"",_EngineCycles!L16))</f>
        <v>1.65</v>
      </c>
      <c r="K16" s="23">
        <f>IF(NOT(_EngineCycles!A16&lt;&gt;""),"",IF(NOT($R16="OK"),"",_EngineCycles!U16))</f>
        <v>43.916499999999999</v>
      </c>
      <c r="L16" s="32">
        <f>IF(NOT(_EngineCycles!A16&lt;&gt;""),"",IF(NOT($R16="OK"),"",_EngineCycles!AE16))</f>
        <v>43.916499999999999</v>
      </c>
      <c r="M16" s="23">
        <f>IF(NOT(_EngineCycles!A16&lt;&gt;""),"",IF(NOT($R16="OK"),"",_EngineCycles!O16))</f>
        <v>-4391.6499999999996</v>
      </c>
      <c r="N16" s="32" t="str">
        <f>IF(NOT(_EngineCycles!A16&lt;&gt;""),"",IF(NOT($R16="OK"),"",IF(_EngineCycles!E16="Closed",_EngineCycles!O16,"")))</f>
        <v/>
      </c>
      <c r="O16" s="33">
        <f>IF(NOT(_EngineCycles!A16&lt;&gt;""),"",IF(NOT($R16="OK"),"",_EngineCycles!Y16))</f>
        <v>0.48824400000000001</v>
      </c>
      <c r="P16" s="23">
        <f>IF(NOT(_EngineCycles!A16&lt;&gt;""),"",IF(NOT($R16="OK"),"",_EngineCycles!S16))</f>
        <v>4500</v>
      </c>
      <c r="Q16" s="30" t="str">
        <f>IF(_EngineCycles!A16="","",IF($R16&lt;&gt;"OK","Review",IF(_EngineCycles!E16="Closed","Closed","Open")))</f>
        <v>Open</v>
      </c>
      <c r="R16" s="24" t="str">
        <f>IF(_EngineCycles!A16="","",IF(COUNTIFS(Trades!$B$9:$B$508,_EngineCycles!B16,Trades!$C$9:$C$508,"&lt;&gt;"&amp;$B16,Trades!$A$9:$A$508,"&lt;&gt;")&gt;0,"Ticker mismatch",IF(COUNTIFS(Trades!$B$9:$B$508,_EngineCycles!B16,Trades!$D$9:$D$508,"&lt;&gt;"&amp;$C16,Trades!$A$9:$A$508,"&lt;&gt;")&gt;0,"Currency mismatch",IF(COUNTIFS(Trades!$B$9:$B$508,_EngineCycles!B16,Trades!$S$9:$S$508,"&lt;&gt;OK",Trades!$A$9:$A$508,"&lt;&gt;")&gt;0,"Check trades","OK"))))</f>
        <v>OK</v>
      </c>
      <c r="S16" s="34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P$9:$P$508),0),"")))</f>
        <v>46323</v>
      </c>
      <c r="T16" s="31">
        <f>IF(NOT(_EngineCycles!A16&lt;&gt;""),"",IF(NOT($R16="OK"),"",_EngineCycles!W16))</f>
        <v>18</v>
      </c>
      <c r="U16" s="22"/>
      <c r="V16" s="22"/>
      <c r="W16" s="22"/>
      <c r="X16" s="22"/>
      <c r="Y16">
        <f>IF(AND($C16=Overview!$P$2,$Q16="Open",$R16="OK"),COUNTIFS($C$9:$C16,Overview!$P$2,$Q$9:$Q16,"Open",$R$9:$R16,"OK"),"")</f>
        <v>3</v>
      </c>
    </row>
    <row r="17" spans="1:25" ht="23.1" customHeight="1" x14ac:dyDescent="0.25">
      <c r="A17" s="18" t="str">
        <f>IF(_EngineCycles!A17="","",_EngineCycles!B17&amp;IF(_EngineCycles!C17&gt;1," / "&amp;_EngineCycles!C17,""))</f>
        <v>sample-abc / 2</v>
      </c>
      <c r="B17" s="18" t="str">
        <f>IF(_EngineCycles!A17="","",_EngineCycles!D17)</f>
        <v>ABC</v>
      </c>
      <c r="C17" s="18" t="str">
        <f>IF(_EngineCycles!A17="","",IFERROR(INDEX(Trades!$D$9:$D$508,_EngineCycles!AG17-8),""))</f>
        <v>USD</v>
      </c>
      <c r="D17" s="25" t="str">
        <f>IF(_EngineCycles!A17="","",IF($R17&lt;&gt;"OK","Review",IF(_EngineCycles!E17="Closed","Closed",IF(_EngineCycles!P17&gt;0,IF(IFERROR(LOOKUP(2,1/((_EngineTrades!$AU$9:$AU$508=_EngineCycles!A17)),_EngineTrades!$AQ$9:$AQ$508),0)&gt;0,"Covered Call","Shares Held"),"Cash-Secured Put"))))</f>
        <v>Cash-Secured Put</v>
      </c>
      <c r="E17" s="26">
        <f>IF(NOT(_EngineCycles!A17&lt;&gt;""),"",IF(NOT($R17="OK"),"",_EngineCycles!P17))</f>
        <v>0</v>
      </c>
      <c r="F17" s="17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AH$9:$AH$508),0),"")))</f>
        <v>19</v>
      </c>
      <c r="G17" s="17" t="str">
        <f>IF(NOT(_EngineCycles!A17&lt;&gt;""),"",IF(NOT($R17="OK"),"",_EngineCycles!Q17))</f>
        <v/>
      </c>
      <c r="H17" s="27">
        <f>IF(NOT(_EngineCycles!A17&lt;&gt;""),"",IF(NOT($R17="OK"),"",_EngineCycles!J17))</f>
        <v>100</v>
      </c>
      <c r="I17" s="17">
        <f>IF(NOT(_EngineCycles!A17&lt;&gt;""),"",IF(NOT($R17="OK"),"",_EngineCycles!I17))</f>
        <v>0</v>
      </c>
      <c r="J17" s="17">
        <f>IF(NOT(_EngineCycles!A17&lt;&gt;""),"",IF(NOT($R17="OK"),"",_EngineCycles!L17))</f>
        <v>1.3</v>
      </c>
      <c r="K17" s="17" t="str">
        <f>IF(NOT(_EngineCycles!A17&lt;&gt;""),"",IF(NOT($R17="OK"),"",_EngineCycles!U17))</f>
        <v/>
      </c>
      <c r="L17" s="27" t="str">
        <f>IF(NOT(_EngineCycles!A17&lt;&gt;""),"",IF(NOT($R17="OK"),"",_EngineCycles!AE17))</f>
        <v/>
      </c>
      <c r="M17" s="17">
        <f>IF(NOT(_EngineCycles!A17&lt;&gt;""),"",IF(NOT($R17="OK"),"",_EngineCycles!O17))</f>
        <v>98.7</v>
      </c>
      <c r="N17" s="27" t="str">
        <f>IF(NOT(_EngineCycles!A17&lt;&gt;""),"",IF(NOT($R17="OK"),"",IF(_EngineCycles!E17="Closed",_EngineCycles!O17,"")))</f>
        <v/>
      </c>
      <c r="O17" s="28">
        <f>IF(NOT(_EngineCycles!A17&lt;&gt;""),"",IF(NOT($R17="OK"),"",_EngineCycles!Y17))</f>
        <v>3.1601319999999999</v>
      </c>
      <c r="P17" s="17">
        <f>IF(NOT(_EngineCycles!A17&lt;&gt;""),"",IF(NOT($R17="OK"),"",_EngineCycles!S17))</f>
        <v>3800</v>
      </c>
      <c r="Q17" s="25" t="str">
        <f>IF(_EngineCycles!A17="","",IF($R17&lt;&gt;"OK","Review",IF(_EngineCycles!E17="Closed","Closed","Open")))</f>
        <v>Open</v>
      </c>
      <c r="R17" s="18" t="str">
        <f>IF(_EngineCycles!A17="","",IF(COUNTIFS(Trades!$B$9:$B$508,_EngineCycles!B17,Trades!$C$9:$C$508,"&lt;&gt;"&amp;$B17,Trades!$A$9:$A$508,"&lt;&gt;")&gt;0,"Ticker mismatch",IF(COUNTIFS(Trades!$B$9:$B$508,_EngineCycles!B17,Trades!$D$9:$D$508,"&lt;&gt;"&amp;$C17,Trades!$A$9:$A$508,"&lt;&gt;")&gt;0,"Currency mismatch",IF(COUNTIFS(Trades!$B$9:$B$508,_EngineCycles!B17,Trades!$S$9:$S$508,"&lt;&gt;OK",Trades!$A$9:$A$508,"&lt;&gt;")&gt;0,"Check trades","OK"))))</f>
        <v>OK</v>
      </c>
      <c r="S17" s="29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P$9:$P$508),0),"")))</f>
        <v>46338</v>
      </c>
      <c r="T17" s="26">
        <f>IF(NOT(_EngineCycles!A17&lt;&gt;""),"",IF(NOT($R17="OK"),"",_EngineCycles!W17))</f>
        <v>3</v>
      </c>
      <c r="U17" s="16"/>
      <c r="V17" s="16"/>
      <c r="W17" s="16"/>
      <c r="X17" s="16"/>
      <c r="Y17">
        <f>IF(AND($C17=Overview!$P$2,$Q17="Open",$R17="OK"),COUNTIFS($C$9:$C17,Overview!$P$2,$Q$9:$Q17,"Open",$R$9:$R17,"OK"),"")</f>
        <v>4</v>
      </c>
    </row>
    <row r="18" spans="1:25" ht="23.1" customHeight="1" x14ac:dyDescent="0.25">
      <c r="A18" s="24" t="str">
        <f>IF(_EngineCycles!A18="","",_EngineCycles!B18&amp;IF(_EngineCycles!C18&gt;1," / "&amp;_EngineCycles!C18,""))</f>
        <v/>
      </c>
      <c r="B18" s="24" t="str">
        <f>IF(_EngineCycles!A18="","",_EngineCycles!D18)</f>
        <v/>
      </c>
      <c r="C18" s="24" t="str">
        <f>IF(_EngineCycles!A18="","",IFERROR(INDEX(Trades!$D$9:$D$508,_EngineCycles!AG18-8),""))</f>
        <v/>
      </c>
      <c r="D18" s="30" t="str">
        <f>IF(_EngineCycles!A18="","",IF($R18&lt;&gt;"OK","Review",IF(_EngineCycles!E18="Closed","Closed",IF(_EngineCycles!P18&gt;0,IF(IFERROR(LOOKUP(2,1/((_EngineTrades!$AU$9:$AU$508=_EngineCycles!A18)),_EngineTrades!$AQ$9:$AQ$508),0)&gt;0,"Covered Call","Shares Held"),"Cash-Secured Put"))))</f>
        <v/>
      </c>
      <c r="E18" s="31" t="str">
        <f>IF(NOT(_EngineCycles!A18&lt;&gt;""),"",IF(NOT($R18="OK"),"",_EngineCycles!P18))</f>
        <v/>
      </c>
      <c r="F18" s="23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AH$9:$AH$508),0),"")))</f>
        <v/>
      </c>
      <c r="G18" s="23" t="str">
        <f>IF(NOT(_EngineCycles!A18&lt;&gt;""),"",IF(NOT($R18="OK"),"",_EngineCycles!Q18))</f>
        <v/>
      </c>
      <c r="H18" s="32" t="str">
        <f>IF(NOT(_EngineCycles!A18&lt;&gt;""),"",IF(NOT($R18="OK"),"",_EngineCycles!J18))</f>
        <v/>
      </c>
      <c r="I18" s="23" t="str">
        <f>IF(NOT(_EngineCycles!A18&lt;&gt;""),"",IF(NOT($R18="OK"),"",_EngineCycles!I18))</f>
        <v/>
      </c>
      <c r="J18" s="23" t="str">
        <f>IF(NOT(_EngineCycles!A18&lt;&gt;""),"",IF(NOT($R18="OK"),"",_EngineCycles!L18))</f>
        <v/>
      </c>
      <c r="K18" s="23" t="str">
        <f>IF(NOT(_EngineCycles!A18&lt;&gt;""),"",IF(NOT($R18="OK"),"",_EngineCycles!U18))</f>
        <v/>
      </c>
      <c r="L18" s="32" t="str">
        <f>IF(NOT(_EngineCycles!A18&lt;&gt;""),"",IF(NOT($R18="OK"),"",_EngineCycles!AE18))</f>
        <v/>
      </c>
      <c r="M18" s="23" t="str">
        <f>IF(NOT(_EngineCycles!A18&lt;&gt;""),"",IF(NOT($R18="OK"),"",_EngineCycles!O18))</f>
        <v/>
      </c>
      <c r="N18" s="32" t="str">
        <f>IF(NOT(_EngineCycles!A18&lt;&gt;""),"",IF(NOT($R18="OK"),"",IF(_EngineCycles!E18="Closed",_EngineCycles!O18,"")))</f>
        <v/>
      </c>
      <c r="O18" s="33" t="str">
        <f>IF(NOT(_EngineCycles!A18&lt;&gt;""),"",IF(NOT($R18="OK"),"",_EngineCycles!Y18))</f>
        <v/>
      </c>
      <c r="P18" s="23" t="str">
        <f>IF(NOT(_EngineCycles!A18&lt;&gt;""),"",IF(NOT($R18="OK"),"",_EngineCycles!S18))</f>
        <v/>
      </c>
      <c r="Q18" s="30" t="str">
        <f>IF(_EngineCycles!A18="","",IF($R18&lt;&gt;"OK","Review",IF(_EngineCycles!E18="Closed","Closed","Open")))</f>
        <v/>
      </c>
      <c r="R18" s="24" t="str">
        <f>IF(_EngineCycles!A18="","",IF(COUNTIFS(Trades!$B$9:$B$508,_EngineCycles!B18,Trades!$C$9:$C$508,"&lt;&gt;"&amp;$B18,Trades!$A$9:$A$508,"&lt;&gt;")&gt;0,"Ticker mismatch",IF(COUNTIFS(Trades!$B$9:$B$508,_EngineCycles!B18,Trades!$D$9:$D$508,"&lt;&gt;"&amp;$C18,Trades!$A$9:$A$508,"&lt;&gt;")&gt;0,"Currency mismatch",IF(COUNTIFS(Trades!$B$9:$B$508,_EngineCycles!B18,Trades!$S$9:$S$508,"&lt;&gt;OK",Trades!$A$9:$A$508,"&lt;&gt;")&gt;0,"Check trades","OK"))))</f>
        <v/>
      </c>
      <c r="S18" s="34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P$9:$P$508),0),"")))</f>
        <v/>
      </c>
      <c r="T18" s="31" t="str">
        <f>IF(NOT(_EngineCycles!A18&lt;&gt;""),"",IF(NOT($R18="OK"),"",_EngineCycles!W18))</f>
        <v/>
      </c>
      <c r="U18" s="22"/>
      <c r="V18" s="22"/>
      <c r="W18" s="22"/>
      <c r="X18" s="22"/>
      <c r="Y18" t="str">
        <f>IF(AND($C18=Overview!$P$2,$Q18="Open",$R18="OK"),COUNTIFS($C$9:$C18,Overview!$P$2,$Q$9:$Q18,"Open",$R$9:$R18,"OK"),"")</f>
        <v/>
      </c>
    </row>
    <row r="19" spans="1:25" ht="23.1" customHeight="1" x14ac:dyDescent="0.25">
      <c r="A19" s="18" t="str">
        <f>IF(_EngineCycles!A19="","",_EngineCycles!B19&amp;IF(_EngineCycles!C19&gt;1," / "&amp;_EngineCycles!C19,""))</f>
        <v/>
      </c>
      <c r="B19" s="18" t="str">
        <f>IF(_EngineCycles!A19="","",_EngineCycles!D19)</f>
        <v/>
      </c>
      <c r="C19" s="18" t="str">
        <f>IF(_EngineCycles!A19="","",IFERROR(INDEX(Trades!$D$9:$D$508,_EngineCycles!AG19-8),""))</f>
        <v/>
      </c>
      <c r="D19" s="25" t="str">
        <f>IF(_EngineCycles!A19="","",IF($R19&lt;&gt;"OK","Review",IF(_EngineCycles!E19="Closed","Closed",IF(_EngineCycles!P19&gt;0,IF(IFERROR(LOOKUP(2,1/((_EngineTrades!$AU$9:$AU$508=_EngineCycles!A19)),_EngineTrades!$AQ$9:$AQ$508),0)&gt;0,"Covered Call","Shares Held"),"Cash-Secured Put"))))</f>
        <v/>
      </c>
      <c r="E19" s="26" t="str">
        <f>IF(NOT(_EngineCycles!A19&lt;&gt;""),"",IF(NOT($R19="OK"),"",_EngineCycles!P19))</f>
        <v/>
      </c>
      <c r="F19" s="17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AH$9:$AH$508),0),"")))</f>
        <v/>
      </c>
      <c r="G19" s="17" t="str">
        <f>IF(NOT(_EngineCycles!A19&lt;&gt;""),"",IF(NOT($R19="OK"),"",_EngineCycles!Q19))</f>
        <v/>
      </c>
      <c r="H19" s="27" t="str">
        <f>IF(NOT(_EngineCycles!A19&lt;&gt;""),"",IF(NOT($R19="OK"),"",_EngineCycles!J19))</f>
        <v/>
      </c>
      <c r="I19" s="17" t="str">
        <f>IF(NOT(_EngineCycles!A19&lt;&gt;""),"",IF(NOT($R19="OK"),"",_EngineCycles!I19))</f>
        <v/>
      </c>
      <c r="J19" s="17" t="str">
        <f>IF(NOT(_EngineCycles!A19&lt;&gt;""),"",IF(NOT($R19="OK"),"",_EngineCycles!L19))</f>
        <v/>
      </c>
      <c r="K19" s="17" t="str">
        <f>IF(NOT(_EngineCycles!A19&lt;&gt;""),"",IF(NOT($R19="OK"),"",_EngineCycles!U19))</f>
        <v/>
      </c>
      <c r="L19" s="27" t="str">
        <f>IF(NOT(_EngineCycles!A19&lt;&gt;""),"",IF(NOT($R19="OK"),"",_EngineCycles!AE19))</f>
        <v/>
      </c>
      <c r="M19" s="17" t="str">
        <f>IF(NOT(_EngineCycles!A19&lt;&gt;""),"",IF(NOT($R19="OK"),"",_EngineCycles!O19))</f>
        <v/>
      </c>
      <c r="N19" s="27" t="str">
        <f>IF(NOT(_EngineCycles!A19&lt;&gt;""),"",IF(NOT($R19="OK"),"",IF(_EngineCycles!E19="Closed",_EngineCycles!O19,"")))</f>
        <v/>
      </c>
      <c r="O19" s="28" t="str">
        <f>IF(NOT(_EngineCycles!A19&lt;&gt;""),"",IF(NOT($R19="OK"),"",_EngineCycles!Y19))</f>
        <v/>
      </c>
      <c r="P19" s="17" t="str">
        <f>IF(NOT(_EngineCycles!A19&lt;&gt;""),"",IF(NOT($R19="OK"),"",_EngineCycles!S19))</f>
        <v/>
      </c>
      <c r="Q19" s="25" t="str">
        <f>IF(_EngineCycles!A19="","",IF($R19&lt;&gt;"OK","Review",IF(_EngineCycles!E19="Closed","Closed","Open")))</f>
        <v/>
      </c>
      <c r="R19" s="18" t="str">
        <f>IF(_EngineCycles!A19="","",IF(COUNTIFS(Trades!$B$9:$B$508,_EngineCycles!B19,Trades!$C$9:$C$508,"&lt;&gt;"&amp;$B19,Trades!$A$9:$A$508,"&lt;&gt;")&gt;0,"Ticker mismatch",IF(COUNTIFS(Trades!$B$9:$B$508,_EngineCycles!B19,Trades!$D$9:$D$508,"&lt;&gt;"&amp;$C19,Trades!$A$9:$A$508,"&lt;&gt;")&gt;0,"Currency mismatch",IF(COUNTIFS(Trades!$B$9:$B$508,_EngineCycles!B19,Trades!$S$9:$S$508,"&lt;&gt;OK",Trades!$A$9:$A$508,"&lt;&gt;")&gt;0,"Check trades","OK"))))</f>
        <v/>
      </c>
      <c r="S19" s="29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P$9:$P$508),0),"")))</f>
        <v/>
      </c>
      <c r="T19" s="26" t="str">
        <f>IF(NOT(_EngineCycles!A19&lt;&gt;""),"",IF(NOT($R19="OK"),"",_EngineCycles!W19))</f>
        <v/>
      </c>
      <c r="U19" s="16"/>
      <c r="V19" s="16"/>
      <c r="W19" s="16"/>
      <c r="X19" s="16"/>
      <c r="Y19" t="str">
        <f>IF(AND($C19=Overview!$P$2,$Q19="Open",$R19="OK"),COUNTIFS($C$9:$C19,Overview!$P$2,$Q$9:$Q19,"Open",$R$9:$R19,"OK"),"")</f>
        <v/>
      </c>
    </row>
    <row r="20" spans="1:25" ht="23.1" customHeight="1" x14ac:dyDescent="0.25">
      <c r="A20" s="24" t="str">
        <f>IF(_EngineCycles!A20="","",_EngineCycles!B20&amp;IF(_EngineCycles!C20&gt;1," / "&amp;_EngineCycles!C20,""))</f>
        <v/>
      </c>
      <c r="B20" s="24" t="str">
        <f>IF(_EngineCycles!A20="","",_EngineCycles!D20)</f>
        <v/>
      </c>
      <c r="C20" s="24" t="str">
        <f>IF(_EngineCycles!A20="","",IFERROR(INDEX(Trades!$D$9:$D$508,_EngineCycles!AG20-8),""))</f>
        <v/>
      </c>
      <c r="D20" s="30" t="str">
        <f>IF(_EngineCycles!A20="","",IF($R20&lt;&gt;"OK","Review",IF(_EngineCycles!E20="Closed","Closed",IF(_EngineCycles!P20&gt;0,IF(IFERROR(LOOKUP(2,1/((_EngineTrades!$AU$9:$AU$508=_EngineCycles!A20)),_EngineTrades!$AQ$9:$AQ$508),0)&gt;0,"Covered Call","Shares Held"),"Cash-Secured Put"))))</f>
        <v/>
      </c>
      <c r="E20" s="31" t="str">
        <f>IF(NOT(_EngineCycles!A20&lt;&gt;""),"",IF(NOT($R20="OK"),"",_EngineCycles!P20))</f>
        <v/>
      </c>
      <c r="F20" s="23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AH$9:$AH$508),0),"")))</f>
        <v/>
      </c>
      <c r="G20" s="23" t="str">
        <f>IF(NOT(_EngineCycles!A20&lt;&gt;""),"",IF(NOT($R20="OK"),"",_EngineCycles!Q20))</f>
        <v/>
      </c>
      <c r="H20" s="32" t="str">
        <f>IF(NOT(_EngineCycles!A20&lt;&gt;""),"",IF(NOT($R20="OK"),"",_EngineCycles!J20))</f>
        <v/>
      </c>
      <c r="I20" s="23" t="str">
        <f>IF(NOT(_EngineCycles!A20&lt;&gt;""),"",IF(NOT($R20="OK"),"",_EngineCycles!I20))</f>
        <v/>
      </c>
      <c r="J20" s="23" t="str">
        <f>IF(NOT(_EngineCycles!A20&lt;&gt;""),"",IF(NOT($R20="OK"),"",_EngineCycles!L20))</f>
        <v/>
      </c>
      <c r="K20" s="23" t="str">
        <f>IF(NOT(_EngineCycles!A20&lt;&gt;""),"",IF(NOT($R20="OK"),"",_EngineCycles!U20))</f>
        <v/>
      </c>
      <c r="L20" s="32" t="str">
        <f>IF(NOT(_EngineCycles!A20&lt;&gt;""),"",IF(NOT($R20="OK"),"",_EngineCycles!AE20))</f>
        <v/>
      </c>
      <c r="M20" s="23" t="str">
        <f>IF(NOT(_EngineCycles!A20&lt;&gt;""),"",IF(NOT($R20="OK"),"",_EngineCycles!O20))</f>
        <v/>
      </c>
      <c r="N20" s="32" t="str">
        <f>IF(NOT(_EngineCycles!A20&lt;&gt;""),"",IF(NOT($R20="OK"),"",IF(_EngineCycles!E20="Closed",_EngineCycles!O20,"")))</f>
        <v/>
      </c>
      <c r="O20" s="33" t="str">
        <f>IF(NOT(_EngineCycles!A20&lt;&gt;""),"",IF(NOT($R20="OK"),"",_EngineCycles!Y20))</f>
        <v/>
      </c>
      <c r="P20" s="23" t="str">
        <f>IF(NOT(_EngineCycles!A20&lt;&gt;""),"",IF(NOT($R20="OK"),"",_EngineCycles!S20))</f>
        <v/>
      </c>
      <c r="Q20" s="30" t="str">
        <f>IF(_EngineCycles!A20="","",IF($R20&lt;&gt;"OK","Review",IF(_EngineCycles!E20="Closed","Closed","Open")))</f>
        <v/>
      </c>
      <c r="R20" s="24" t="str">
        <f>IF(_EngineCycles!A20="","",IF(COUNTIFS(Trades!$B$9:$B$508,_EngineCycles!B20,Trades!$C$9:$C$508,"&lt;&gt;"&amp;$B20,Trades!$A$9:$A$508,"&lt;&gt;")&gt;0,"Ticker mismatch",IF(COUNTIFS(Trades!$B$9:$B$508,_EngineCycles!B20,Trades!$D$9:$D$508,"&lt;&gt;"&amp;$C20,Trades!$A$9:$A$508,"&lt;&gt;")&gt;0,"Currency mismatch",IF(COUNTIFS(Trades!$B$9:$B$508,_EngineCycles!B20,Trades!$S$9:$S$508,"&lt;&gt;OK",Trades!$A$9:$A$508,"&lt;&gt;")&gt;0,"Check trades","OK"))))</f>
        <v/>
      </c>
      <c r="S20" s="34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P$9:$P$508),0),"")))</f>
        <v/>
      </c>
      <c r="T20" s="31" t="str">
        <f>IF(NOT(_EngineCycles!A20&lt;&gt;""),"",IF(NOT($R20="OK"),"",_EngineCycles!W20))</f>
        <v/>
      </c>
      <c r="U20" s="22"/>
      <c r="V20" s="22"/>
      <c r="W20" s="22"/>
      <c r="X20" s="22"/>
      <c r="Y20" t="str">
        <f>IF(AND($C20=Overview!$P$2,$Q20="Open",$R20="OK"),COUNTIFS($C$9:$C20,Overview!$P$2,$Q$9:$Q20,"Open",$R$9:$R20,"OK"),"")</f>
        <v/>
      </c>
    </row>
    <row r="21" spans="1:25" ht="23.1" customHeight="1" x14ac:dyDescent="0.25">
      <c r="A21" s="18" t="str">
        <f>IF(_EngineCycles!A21="","",_EngineCycles!B21&amp;IF(_EngineCycles!C21&gt;1," / "&amp;_EngineCycles!C21,""))</f>
        <v/>
      </c>
      <c r="B21" s="18" t="str">
        <f>IF(_EngineCycles!A21="","",_EngineCycles!D21)</f>
        <v/>
      </c>
      <c r="C21" s="18" t="str">
        <f>IF(_EngineCycles!A21="","",IFERROR(INDEX(Trades!$D$9:$D$508,_EngineCycles!AG21-8),""))</f>
        <v/>
      </c>
      <c r="D21" s="25" t="str">
        <f>IF(_EngineCycles!A21="","",IF($R21&lt;&gt;"OK","Review",IF(_EngineCycles!E21="Closed","Closed",IF(_EngineCycles!P21&gt;0,IF(IFERROR(LOOKUP(2,1/((_EngineTrades!$AU$9:$AU$508=_EngineCycles!A21)),_EngineTrades!$AQ$9:$AQ$508),0)&gt;0,"Covered Call","Shares Held"),"Cash-Secured Put"))))</f>
        <v/>
      </c>
      <c r="E21" s="26" t="str">
        <f>IF(NOT(_EngineCycles!A21&lt;&gt;""),"",IF(NOT($R21="OK"),"",_EngineCycles!P21))</f>
        <v/>
      </c>
      <c r="F21" s="17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AH$9:$AH$508),0),"")))</f>
        <v/>
      </c>
      <c r="G21" s="17" t="str">
        <f>IF(NOT(_EngineCycles!A21&lt;&gt;""),"",IF(NOT($R21="OK"),"",_EngineCycles!Q21))</f>
        <v/>
      </c>
      <c r="H21" s="27" t="str">
        <f>IF(NOT(_EngineCycles!A21&lt;&gt;""),"",IF(NOT($R21="OK"),"",_EngineCycles!J21))</f>
        <v/>
      </c>
      <c r="I21" s="17" t="str">
        <f>IF(NOT(_EngineCycles!A21&lt;&gt;""),"",IF(NOT($R21="OK"),"",_EngineCycles!I21))</f>
        <v/>
      </c>
      <c r="J21" s="17" t="str">
        <f>IF(NOT(_EngineCycles!A21&lt;&gt;""),"",IF(NOT($R21="OK"),"",_EngineCycles!L21))</f>
        <v/>
      </c>
      <c r="K21" s="17" t="str">
        <f>IF(NOT(_EngineCycles!A21&lt;&gt;""),"",IF(NOT($R21="OK"),"",_EngineCycles!U21))</f>
        <v/>
      </c>
      <c r="L21" s="27" t="str">
        <f>IF(NOT(_EngineCycles!A21&lt;&gt;""),"",IF(NOT($R21="OK"),"",_EngineCycles!AE21))</f>
        <v/>
      </c>
      <c r="M21" s="17" t="str">
        <f>IF(NOT(_EngineCycles!A21&lt;&gt;""),"",IF(NOT($R21="OK"),"",_EngineCycles!O21))</f>
        <v/>
      </c>
      <c r="N21" s="27" t="str">
        <f>IF(NOT(_EngineCycles!A21&lt;&gt;""),"",IF(NOT($R21="OK"),"",IF(_EngineCycles!E21="Closed",_EngineCycles!O21,"")))</f>
        <v/>
      </c>
      <c r="O21" s="28" t="str">
        <f>IF(NOT(_EngineCycles!A21&lt;&gt;""),"",IF(NOT($R21="OK"),"",_EngineCycles!Y21))</f>
        <v/>
      </c>
      <c r="P21" s="17" t="str">
        <f>IF(NOT(_EngineCycles!A21&lt;&gt;""),"",IF(NOT($R21="OK"),"",_EngineCycles!S21))</f>
        <v/>
      </c>
      <c r="Q21" s="25" t="str">
        <f>IF(_EngineCycles!A21="","",IF($R21&lt;&gt;"OK","Review",IF(_EngineCycles!E21="Closed","Closed","Open")))</f>
        <v/>
      </c>
      <c r="R21" s="18" t="str">
        <f>IF(_EngineCycles!A21="","",IF(COUNTIFS(Trades!$B$9:$B$508,_EngineCycles!B21,Trades!$C$9:$C$508,"&lt;&gt;"&amp;$B21,Trades!$A$9:$A$508,"&lt;&gt;")&gt;0,"Ticker mismatch",IF(COUNTIFS(Trades!$B$9:$B$508,_EngineCycles!B21,Trades!$D$9:$D$508,"&lt;&gt;"&amp;$C21,Trades!$A$9:$A$508,"&lt;&gt;")&gt;0,"Currency mismatch",IF(COUNTIFS(Trades!$B$9:$B$508,_EngineCycles!B21,Trades!$S$9:$S$508,"&lt;&gt;OK",Trades!$A$9:$A$508,"&lt;&gt;")&gt;0,"Check trades","OK"))))</f>
        <v/>
      </c>
      <c r="S21" s="29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P$9:$P$508),0),"")))</f>
        <v/>
      </c>
      <c r="T21" s="26" t="str">
        <f>IF(NOT(_EngineCycles!A21&lt;&gt;""),"",IF(NOT($R21="OK"),"",_EngineCycles!W21))</f>
        <v/>
      </c>
      <c r="U21" s="16"/>
      <c r="V21" s="16"/>
      <c r="W21" s="16"/>
      <c r="X21" s="16"/>
      <c r="Y21" t="str">
        <f>IF(AND($C21=Overview!$P$2,$Q21="Open",$R21="OK"),COUNTIFS($C$9:$C21,Overview!$P$2,$Q$9:$Q21,"Open",$R$9:$R21,"OK"),"")</f>
        <v/>
      </c>
    </row>
    <row r="22" spans="1:25" ht="23.1" customHeight="1" x14ac:dyDescent="0.25">
      <c r="A22" s="24" t="str">
        <f>IF(_EngineCycles!A22="","",_EngineCycles!B22&amp;IF(_EngineCycles!C22&gt;1," / "&amp;_EngineCycles!C22,""))</f>
        <v/>
      </c>
      <c r="B22" s="24" t="str">
        <f>IF(_EngineCycles!A22="","",_EngineCycles!D22)</f>
        <v/>
      </c>
      <c r="C22" s="24" t="str">
        <f>IF(_EngineCycles!A22="","",IFERROR(INDEX(Trades!$D$9:$D$508,_EngineCycles!AG22-8),""))</f>
        <v/>
      </c>
      <c r="D22" s="30" t="str">
        <f>IF(_EngineCycles!A22="","",IF($R22&lt;&gt;"OK","Review",IF(_EngineCycles!E22="Closed","Closed",IF(_EngineCycles!P22&gt;0,IF(IFERROR(LOOKUP(2,1/((_EngineTrades!$AU$9:$AU$508=_EngineCycles!A22)),_EngineTrades!$AQ$9:$AQ$508),0)&gt;0,"Covered Call","Shares Held"),"Cash-Secured Put"))))</f>
        <v/>
      </c>
      <c r="E22" s="31" t="str">
        <f>IF(NOT(_EngineCycles!A22&lt;&gt;""),"",IF(NOT($R22="OK"),"",_EngineCycles!P22))</f>
        <v/>
      </c>
      <c r="F22" s="23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AH$9:$AH$508),0),"")))</f>
        <v/>
      </c>
      <c r="G22" s="23" t="str">
        <f>IF(NOT(_EngineCycles!A22&lt;&gt;""),"",IF(NOT($R22="OK"),"",_EngineCycles!Q22))</f>
        <v/>
      </c>
      <c r="H22" s="32" t="str">
        <f>IF(NOT(_EngineCycles!A22&lt;&gt;""),"",IF(NOT($R22="OK"),"",_EngineCycles!J22))</f>
        <v/>
      </c>
      <c r="I22" s="23" t="str">
        <f>IF(NOT(_EngineCycles!A22&lt;&gt;""),"",IF(NOT($R22="OK"),"",_EngineCycles!I22))</f>
        <v/>
      </c>
      <c r="J22" s="23" t="str">
        <f>IF(NOT(_EngineCycles!A22&lt;&gt;""),"",IF(NOT($R22="OK"),"",_EngineCycles!L22))</f>
        <v/>
      </c>
      <c r="K22" s="23" t="str">
        <f>IF(NOT(_EngineCycles!A22&lt;&gt;""),"",IF(NOT($R22="OK"),"",_EngineCycles!U22))</f>
        <v/>
      </c>
      <c r="L22" s="32" t="str">
        <f>IF(NOT(_EngineCycles!A22&lt;&gt;""),"",IF(NOT($R22="OK"),"",_EngineCycles!AE22))</f>
        <v/>
      </c>
      <c r="M22" s="23" t="str">
        <f>IF(NOT(_EngineCycles!A22&lt;&gt;""),"",IF(NOT($R22="OK"),"",_EngineCycles!O22))</f>
        <v/>
      </c>
      <c r="N22" s="32" t="str">
        <f>IF(NOT(_EngineCycles!A22&lt;&gt;""),"",IF(NOT($R22="OK"),"",IF(_EngineCycles!E22="Closed",_EngineCycles!O22,"")))</f>
        <v/>
      </c>
      <c r="O22" s="33" t="str">
        <f>IF(NOT(_EngineCycles!A22&lt;&gt;""),"",IF(NOT($R22="OK"),"",_EngineCycles!Y22))</f>
        <v/>
      </c>
      <c r="P22" s="23" t="str">
        <f>IF(NOT(_EngineCycles!A22&lt;&gt;""),"",IF(NOT($R22="OK"),"",_EngineCycles!S22))</f>
        <v/>
      </c>
      <c r="Q22" s="30" t="str">
        <f>IF(_EngineCycles!A22="","",IF($R22&lt;&gt;"OK","Review",IF(_EngineCycles!E22="Closed","Closed","Open")))</f>
        <v/>
      </c>
      <c r="R22" s="24" t="str">
        <f>IF(_EngineCycles!A22="","",IF(COUNTIFS(Trades!$B$9:$B$508,_EngineCycles!B22,Trades!$C$9:$C$508,"&lt;&gt;"&amp;$B22,Trades!$A$9:$A$508,"&lt;&gt;")&gt;0,"Ticker mismatch",IF(COUNTIFS(Trades!$B$9:$B$508,_EngineCycles!B22,Trades!$D$9:$D$508,"&lt;&gt;"&amp;$C22,Trades!$A$9:$A$508,"&lt;&gt;")&gt;0,"Currency mismatch",IF(COUNTIFS(Trades!$B$9:$B$508,_EngineCycles!B22,Trades!$S$9:$S$508,"&lt;&gt;OK",Trades!$A$9:$A$508,"&lt;&gt;")&gt;0,"Check trades","OK"))))</f>
        <v/>
      </c>
      <c r="S22" s="34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P$9:$P$508),0),"")))</f>
        <v/>
      </c>
      <c r="T22" s="31" t="str">
        <f>IF(NOT(_EngineCycles!A22&lt;&gt;""),"",IF(NOT($R22="OK"),"",_EngineCycles!W22))</f>
        <v/>
      </c>
      <c r="U22" s="22"/>
      <c r="V22" s="22"/>
      <c r="W22" s="22"/>
      <c r="X22" s="22"/>
      <c r="Y22" t="str">
        <f>IF(AND($C22=Overview!$P$2,$Q22="Open",$R22="OK"),COUNTIFS($C$9:$C22,Overview!$P$2,$Q$9:$Q22,"Open",$R$9:$R22,"OK"),"")</f>
        <v/>
      </c>
    </row>
    <row r="23" spans="1:25" ht="23.1" customHeight="1" x14ac:dyDescent="0.25">
      <c r="A23" s="18" t="str">
        <f>IF(_EngineCycles!A23="","",_EngineCycles!B23&amp;IF(_EngineCycles!C23&gt;1," / "&amp;_EngineCycles!C23,""))</f>
        <v/>
      </c>
      <c r="B23" s="18" t="str">
        <f>IF(_EngineCycles!A23="","",_EngineCycles!D23)</f>
        <v/>
      </c>
      <c r="C23" s="18" t="str">
        <f>IF(_EngineCycles!A23="","",IFERROR(INDEX(Trades!$D$9:$D$508,_EngineCycles!AG23-8),""))</f>
        <v/>
      </c>
      <c r="D23" s="25" t="str">
        <f>IF(_EngineCycles!A23="","",IF($R23&lt;&gt;"OK","Review",IF(_EngineCycles!E23="Closed","Closed",IF(_EngineCycles!P23&gt;0,IF(IFERROR(LOOKUP(2,1/((_EngineTrades!$AU$9:$AU$508=_EngineCycles!A23)),_EngineTrades!$AQ$9:$AQ$508),0)&gt;0,"Covered Call","Shares Held"),"Cash-Secured Put"))))</f>
        <v/>
      </c>
      <c r="E23" s="26" t="str">
        <f>IF(NOT(_EngineCycles!A23&lt;&gt;""),"",IF(NOT($R23="OK"),"",_EngineCycles!P23))</f>
        <v/>
      </c>
      <c r="F23" s="17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AH$9:$AH$508),0),"")))</f>
        <v/>
      </c>
      <c r="G23" s="17" t="str">
        <f>IF(NOT(_EngineCycles!A23&lt;&gt;""),"",IF(NOT($R23="OK"),"",_EngineCycles!Q23))</f>
        <v/>
      </c>
      <c r="H23" s="27" t="str">
        <f>IF(NOT(_EngineCycles!A23&lt;&gt;""),"",IF(NOT($R23="OK"),"",_EngineCycles!J23))</f>
        <v/>
      </c>
      <c r="I23" s="17" t="str">
        <f>IF(NOT(_EngineCycles!A23&lt;&gt;""),"",IF(NOT($R23="OK"),"",_EngineCycles!I23))</f>
        <v/>
      </c>
      <c r="J23" s="17" t="str">
        <f>IF(NOT(_EngineCycles!A23&lt;&gt;""),"",IF(NOT($R23="OK"),"",_EngineCycles!L23))</f>
        <v/>
      </c>
      <c r="K23" s="17" t="str">
        <f>IF(NOT(_EngineCycles!A23&lt;&gt;""),"",IF(NOT($R23="OK"),"",_EngineCycles!U23))</f>
        <v/>
      </c>
      <c r="L23" s="27" t="str">
        <f>IF(NOT(_EngineCycles!A23&lt;&gt;""),"",IF(NOT($R23="OK"),"",_EngineCycles!AE23))</f>
        <v/>
      </c>
      <c r="M23" s="17" t="str">
        <f>IF(NOT(_EngineCycles!A23&lt;&gt;""),"",IF(NOT($R23="OK"),"",_EngineCycles!O23))</f>
        <v/>
      </c>
      <c r="N23" s="27" t="str">
        <f>IF(NOT(_EngineCycles!A23&lt;&gt;""),"",IF(NOT($R23="OK"),"",IF(_EngineCycles!E23="Closed",_EngineCycles!O23,"")))</f>
        <v/>
      </c>
      <c r="O23" s="28" t="str">
        <f>IF(NOT(_EngineCycles!A23&lt;&gt;""),"",IF(NOT($R23="OK"),"",_EngineCycles!Y23))</f>
        <v/>
      </c>
      <c r="P23" s="17" t="str">
        <f>IF(NOT(_EngineCycles!A23&lt;&gt;""),"",IF(NOT($R23="OK"),"",_EngineCycles!S23))</f>
        <v/>
      </c>
      <c r="Q23" s="25" t="str">
        <f>IF(_EngineCycles!A23="","",IF($R23&lt;&gt;"OK","Review",IF(_EngineCycles!E23="Closed","Closed","Open")))</f>
        <v/>
      </c>
      <c r="R23" s="18" t="str">
        <f>IF(_EngineCycles!A23="","",IF(COUNTIFS(Trades!$B$9:$B$508,_EngineCycles!B23,Trades!$C$9:$C$508,"&lt;&gt;"&amp;$B23,Trades!$A$9:$A$508,"&lt;&gt;")&gt;0,"Ticker mismatch",IF(COUNTIFS(Trades!$B$9:$B$508,_EngineCycles!B23,Trades!$D$9:$D$508,"&lt;&gt;"&amp;$C23,Trades!$A$9:$A$508,"&lt;&gt;")&gt;0,"Currency mismatch",IF(COUNTIFS(Trades!$B$9:$B$508,_EngineCycles!B23,Trades!$S$9:$S$508,"&lt;&gt;OK",Trades!$A$9:$A$508,"&lt;&gt;")&gt;0,"Check trades","OK"))))</f>
        <v/>
      </c>
      <c r="S23" s="29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P$9:$P$508),0),"")))</f>
        <v/>
      </c>
      <c r="T23" s="26" t="str">
        <f>IF(NOT(_EngineCycles!A23&lt;&gt;""),"",IF(NOT($R23="OK"),"",_EngineCycles!W23))</f>
        <v/>
      </c>
      <c r="U23" s="16"/>
      <c r="V23" s="16"/>
      <c r="W23" s="16"/>
      <c r="X23" s="16"/>
      <c r="Y23" t="str">
        <f>IF(AND($C23=Overview!$P$2,$Q23="Open",$R23="OK"),COUNTIFS($C$9:$C23,Overview!$P$2,$Q$9:$Q23,"Open",$R$9:$R23,"OK"),"")</f>
        <v/>
      </c>
    </row>
    <row r="24" spans="1:25" ht="23.1" customHeight="1" x14ac:dyDescent="0.25">
      <c r="A24" s="24" t="str">
        <f>IF(_EngineCycles!A24="","",_EngineCycles!B24&amp;IF(_EngineCycles!C24&gt;1," / "&amp;_EngineCycles!C24,""))</f>
        <v/>
      </c>
      <c r="B24" s="24" t="str">
        <f>IF(_EngineCycles!A24="","",_EngineCycles!D24)</f>
        <v/>
      </c>
      <c r="C24" s="24" t="str">
        <f>IF(_EngineCycles!A24="","",IFERROR(INDEX(Trades!$D$9:$D$508,_EngineCycles!AG24-8),""))</f>
        <v/>
      </c>
      <c r="D24" s="30" t="str">
        <f>IF(_EngineCycles!A24="","",IF($R24&lt;&gt;"OK","Review",IF(_EngineCycles!E24="Closed","Closed",IF(_EngineCycles!P24&gt;0,IF(IFERROR(LOOKUP(2,1/((_EngineTrades!$AU$9:$AU$508=_EngineCycles!A24)),_EngineTrades!$AQ$9:$AQ$508),0)&gt;0,"Covered Call","Shares Held"),"Cash-Secured Put"))))</f>
        <v/>
      </c>
      <c r="E24" s="31" t="str">
        <f>IF(NOT(_EngineCycles!A24&lt;&gt;""),"",IF(NOT($R24="OK"),"",_EngineCycles!P24))</f>
        <v/>
      </c>
      <c r="F24" s="23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AH$9:$AH$508),0),"")))</f>
        <v/>
      </c>
      <c r="G24" s="23" t="str">
        <f>IF(NOT(_EngineCycles!A24&lt;&gt;""),"",IF(NOT($R24="OK"),"",_EngineCycles!Q24))</f>
        <v/>
      </c>
      <c r="H24" s="32" t="str">
        <f>IF(NOT(_EngineCycles!A24&lt;&gt;""),"",IF(NOT($R24="OK"),"",_EngineCycles!J24))</f>
        <v/>
      </c>
      <c r="I24" s="23" t="str">
        <f>IF(NOT(_EngineCycles!A24&lt;&gt;""),"",IF(NOT($R24="OK"),"",_EngineCycles!I24))</f>
        <v/>
      </c>
      <c r="J24" s="23" t="str">
        <f>IF(NOT(_EngineCycles!A24&lt;&gt;""),"",IF(NOT($R24="OK"),"",_EngineCycles!L24))</f>
        <v/>
      </c>
      <c r="K24" s="23" t="str">
        <f>IF(NOT(_EngineCycles!A24&lt;&gt;""),"",IF(NOT($R24="OK"),"",_EngineCycles!U24))</f>
        <v/>
      </c>
      <c r="L24" s="32" t="str">
        <f>IF(NOT(_EngineCycles!A24&lt;&gt;""),"",IF(NOT($R24="OK"),"",_EngineCycles!AE24))</f>
        <v/>
      </c>
      <c r="M24" s="23" t="str">
        <f>IF(NOT(_EngineCycles!A24&lt;&gt;""),"",IF(NOT($R24="OK"),"",_EngineCycles!O24))</f>
        <v/>
      </c>
      <c r="N24" s="32" t="str">
        <f>IF(NOT(_EngineCycles!A24&lt;&gt;""),"",IF(NOT($R24="OK"),"",IF(_EngineCycles!E24="Closed",_EngineCycles!O24,"")))</f>
        <v/>
      </c>
      <c r="O24" s="33" t="str">
        <f>IF(NOT(_EngineCycles!A24&lt;&gt;""),"",IF(NOT($R24="OK"),"",_EngineCycles!Y24))</f>
        <v/>
      </c>
      <c r="P24" s="23" t="str">
        <f>IF(NOT(_EngineCycles!A24&lt;&gt;""),"",IF(NOT($R24="OK"),"",_EngineCycles!S24))</f>
        <v/>
      </c>
      <c r="Q24" s="30" t="str">
        <f>IF(_EngineCycles!A24="","",IF($R24&lt;&gt;"OK","Review",IF(_EngineCycles!E24="Closed","Closed","Open")))</f>
        <v/>
      </c>
      <c r="R24" s="24" t="str">
        <f>IF(_EngineCycles!A24="","",IF(COUNTIFS(Trades!$B$9:$B$508,_EngineCycles!B24,Trades!$C$9:$C$508,"&lt;&gt;"&amp;$B24,Trades!$A$9:$A$508,"&lt;&gt;")&gt;0,"Ticker mismatch",IF(COUNTIFS(Trades!$B$9:$B$508,_EngineCycles!B24,Trades!$D$9:$D$508,"&lt;&gt;"&amp;$C24,Trades!$A$9:$A$508,"&lt;&gt;")&gt;0,"Currency mismatch",IF(COUNTIFS(Trades!$B$9:$B$508,_EngineCycles!B24,Trades!$S$9:$S$508,"&lt;&gt;OK",Trades!$A$9:$A$508,"&lt;&gt;")&gt;0,"Check trades","OK"))))</f>
        <v/>
      </c>
      <c r="S24" s="34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P$9:$P$508),0),"")))</f>
        <v/>
      </c>
      <c r="T24" s="31" t="str">
        <f>IF(NOT(_EngineCycles!A24&lt;&gt;""),"",IF(NOT($R24="OK"),"",_EngineCycles!W24))</f>
        <v/>
      </c>
      <c r="U24" s="22"/>
      <c r="V24" s="22"/>
      <c r="W24" s="22"/>
      <c r="X24" s="22"/>
      <c r="Y24" t="str">
        <f>IF(AND($C24=Overview!$P$2,$Q24="Open",$R24="OK"),COUNTIFS($C$9:$C24,Overview!$P$2,$Q$9:$Q24,"Open",$R$9:$R24,"OK"),"")</f>
        <v/>
      </c>
    </row>
    <row r="25" spans="1:25" ht="23.1" customHeight="1" x14ac:dyDescent="0.25">
      <c r="A25" s="18" t="str">
        <f>IF(_EngineCycles!A25="","",_EngineCycles!B25&amp;IF(_EngineCycles!C25&gt;1," / "&amp;_EngineCycles!C25,""))</f>
        <v/>
      </c>
      <c r="B25" s="18" t="str">
        <f>IF(_EngineCycles!A25="","",_EngineCycles!D25)</f>
        <v/>
      </c>
      <c r="C25" s="18" t="str">
        <f>IF(_EngineCycles!A25="","",IFERROR(INDEX(Trades!$D$9:$D$508,_EngineCycles!AG25-8),""))</f>
        <v/>
      </c>
      <c r="D25" s="25" t="str">
        <f>IF(_EngineCycles!A25="","",IF($R25&lt;&gt;"OK","Review",IF(_EngineCycles!E25="Closed","Closed",IF(_EngineCycles!P25&gt;0,IF(IFERROR(LOOKUP(2,1/((_EngineTrades!$AU$9:$AU$508=_EngineCycles!A25)),_EngineTrades!$AQ$9:$AQ$508),0)&gt;0,"Covered Call","Shares Held"),"Cash-Secured Put"))))</f>
        <v/>
      </c>
      <c r="E25" s="26" t="str">
        <f>IF(NOT(_EngineCycles!A25&lt;&gt;""),"",IF(NOT($R25="OK"),"",_EngineCycles!P25))</f>
        <v/>
      </c>
      <c r="F25" s="17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AH$9:$AH$508),0),"")))</f>
        <v/>
      </c>
      <c r="G25" s="17" t="str">
        <f>IF(NOT(_EngineCycles!A25&lt;&gt;""),"",IF(NOT($R25="OK"),"",_EngineCycles!Q25))</f>
        <v/>
      </c>
      <c r="H25" s="27" t="str">
        <f>IF(NOT(_EngineCycles!A25&lt;&gt;""),"",IF(NOT($R25="OK"),"",_EngineCycles!J25))</f>
        <v/>
      </c>
      <c r="I25" s="17" t="str">
        <f>IF(NOT(_EngineCycles!A25&lt;&gt;""),"",IF(NOT($R25="OK"),"",_EngineCycles!I25))</f>
        <v/>
      </c>
      <c r="J25" s="17" t="str">
        <f>IF(NOT(_EngineCycles!A25&lt;&gt;""),"",IF(NOT($R25="OK"),"",_EngineCycles!L25))</f>
        <v/>
      </c>
      <c r="K25" s="17" t="str">
        <f>IF(NOT(_EngineCycles!A25&lt;&gt;""),"",IF(NOT($R25="OK"),"",_EngineCycles!U25))</f>
        <v/>
      </c>
      <c r="L25" s="27" t="str">
        <f>IF(NOT(_EngineCycles!A25&lt;&gt;""),"",IF(NOT($R25="OK"),"",_EngineCycles!AE25))</f>
        <v/>
      </c>
      <c r="M25" s="17" t="str">
        <f>IF(NOT(_EngineCycles!A25&lt;&gt;""),"",IF(NOT($R25="OK"),"",_EngineCycles!O25))</f>
        <v/>
      </c>
      <c r="N25" s="27" t="str">
        <f>IF(NOT(_EngineCycles!A25&lt;&gt;""),"",IF(NOT($R25="OK"),"",IF(_EngineCycles!E25="Closed",_EngineCycles!O25,"")))</f>
        <v/>
      </c>
      <c r="O25" s="28" t="str">
        <f>IF(NOT(_EngineCycles!A25&lt;&gt;""),"",IF(NOT($R25="OK"),"",_EngineCycles!Y25))</f>
        <v/>
      </c>
      <c r="P25" s="17" t="str">
        <f>IF(NOT(_EngineCycles!A25&lt;&gt;""),"",IF(NOT($R25="OK"),"",_EngineCycles!S25))</f>
        <v/>
      </c>
      <c r="Q25" s="25" t="str">
        <f>IF(_EngineCycles!A25="","",IF($R25&lt;&gt;"OK","Review",IF(_EngineCycles!E25="Closed","Closed","Open")))</f>
        <v/>
      </c>
      <c r="R25" s="18" t="str">
        <f>IF(_EngineCycles!A25="","",IF(COUNTIFS(Trades!$B$9:$B$508,_EngineCycles!B25,Trades!$C$9:$C$508,"&lt;&gt;"&amp;$B25,Trades!$A$9:$A$508,"&lt;&gt;")&gt;0,"Ticker mismatch",IF(COUNTIFS(Trades!$B$9:$B$508,_EngineCycles!B25,Trades!$D$9:$D$508,"&lt;&gt;"&amp;$C25,Trades!$A$9:$A$508,"&lt;&gt;")&gt;0,"Currency mismatch",IF(COUNTIFS(Trades!$B$9:$B$508,_EngineCycles!B25,Trades!$S$9:$S$508,"&lt;&gt;OK",Trades!$A$9:$A$508,"&lt;&gt;")&gt;0,"Check trades","OK"))))</f>
        <v/>
      </c>
      <c r="S25" s="29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P$9:$P$508),0),"")))</f>
        <v/>
      </c>
      <c r="T25" s="26" t="str">
        <f>IF(NOT(_EngineCycles!A25&lt;&gt;""),"",IF(NOT($R25="OK"),"",_EngineCycles!W25))</f>
        <v/>
      </c>
      <c r="U25" s="16"/>
      <c r="V25" s="16"/>
      <c r="W25" s="16"/>
      <c r="X25" s="16"/>
      <c r="Y25" t="str">
        <f>IF(AND($C25=Overview!$P$2,$Q25="Open",$R25="OK"),COUNTIFS($C$9:$C25,Overview!$P$2,$Q$9:$Q25,"Open",$R$9:$R25,"OK"),"")</f>
        <v/>
      </c>
    </row>
    <row r="26" spans="1:25" ht="23.1" customHeight="1" x14ac:dyDescent="0.25">
      <c r="A26" s="24" t="str">
        <f>IF(_EngineCycles!A26="","",_EngineCycles!B26&amp;IF(_EngineCycles!C26&gt;1," / "&amp;_EngineCycles!C26,""))</f>
        <v/>
      </c>
      <c r="B26" s="24" t="str">
        <f>IF(_EngineCycles!A26="","",_EngineCycles!D26)</f>
        <v/>
      </c>
      <c r="C26" s="24" t="str">
        <f>IF(_EngineCycles!A26="","",IFERROR(INDEX(Trades!$D$9:$D$508,_EngineCycles!AG26-8),""))</f>
        <v/>
      </c>
      <c r="D26" s="30" t="str">
        <f>IF(_EngineCycles!A26="","",IF($R26&lt;&gt;"OK","Review",IF(_EngineCycles!E26="Closed","Closed",IF(_EngineCycles!P26&gt;0,IF(IFERROR(LOOKUP(2,1/((_EngineTrades!$AU$9:$AU$508=_EngineCycles!A26)),_EngineTrades!$AQ$9:$AQ$508),0)&gt;0,"Covered Call","Shares Held"),"Cash-Secured Put"))))</f>
        <v/>
      </c>
      <c r="E26" s="31" t="str">
        <f>IF(NOT(_EngineCycles!A26&lt;&gt;""),"",IF(NOT($R26="OK"),"",_EngineCycles!P26))</f>
        <v/>
      </c>
      <c r="F26" s="23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AH$9:$AH$508),0),"")))</f>
        <v/>
      </c>
      <c r="G26" s="23" t="str">
        <f>IF(NOT(_EngineCycles!A26&lt;&gt;""),"",IF(NOT($R26="OK"),"",_EngineCycles!Q26))</f>
        <v/>
      </c>
      <c r="H26" s="32" t="str">
        <f>IF(NOT(_EngineCycles!A26&lt;&gt;""),"",IF(NOT($R26="OK"),"",_EngineCycles!J26))</f>
        <v/>
      </c>
      <c r="I26" s="23" t="str">
        <f>IF(NOT(_EngineCycles!A26&lt;&gt;""),"",IF(NOT($R26="OK"),"",_EngineCycles!I26))</f>
        <v/>
      </c>
      <c r="J26" s="23" t="str">
        <f>IF(NOT(_EngineCycles!A26&lt;&gt;""),"",IF(NOT($R26="OK"),"",_EngineCycles!L26))</f>
        <v/>
      </c>
      <c r="K26" s="23" t="str">
        <f>IF(NOT(_EngineCycles!A26&lt;&gt;""),"",IF(NOT($R26="OK"),"",_EngineCycles!U26))</f>
        <v/>
      </c>
      <c r="L26" s="32" t="str">
        <f>IF(NOT(_EngineCycles!A26&lt;&gt;""),"",IF(NOT($R26="OK"),"",_EngineCycles!AE26))</f>
        <v/>
      </c>
      <c r="M26" s="23" t="str">
        <f>IF(NOT(_EngineCycles!A26&lt;&gt;""),"",IF(NOT($R26="OK"),"",_EngineCycles!O26))</f>
        <v/>
      </c>
      <c r="N26" s="32" t="str">
        <f>IF(NOT(_EngineCycles!A26&lt;&gt;""),"",IF(NOT($R26="OK"),"",IF(_EngineCycles!E26="Closed",_EngineCycles!O26,"")))</f>
        <v/>
      </c>
      <c r="O26" s="33" t="str">
        <f>IF(NOT(_EngineCycles!A26&lt;&gt;""),"",IF(NOT($R26="OK"),"",_EngineCycles!Y26))</f>
        <v/>
      </c>
      <c r="P26" s="23" t="str">
        <f>IF(NOT(_EngineCycles!A26&lt;&gt;""),"",IF(NOT($R26="OK"),"",_EngineCycles!S26))</f>
        <v/>
      </c>
      <c r="Q26" s="30" t="str">
        <f>IF(_EngineCycles!A26="","",IF($R26&lt;&gt;"OK","Review",IF(_EngineCycles!E26="Closed","Closed","Open")))</f>
        <v/>
      </c>
      <c r="R26" s="24" t="str">
        <f>IF(_EngineCycles!A26="","",IF(COUNTIFS(Trades!$B$9:$B$508,_EngineCycles!B26,Trades!$C$9:$C$508,"&lt;&gt;"&amp;$B26,Trades!$A$9:$A$508,"&lt;&gt;")&gt;0,"Ticker mismatch",IF(COUNTIFS(Trades!$B$9:$B$508,_EngineCycles!B26,Trades!$D$9:$D$508,"&lt;&gt;"&amp;$C26,Trades!$A$9:$A$508,"&lt;&gt;")&gt;0,"Currency mismatch",IF(COUNTIFS(Trades!$B$9:$B$508,_EngineCycles!B26,Trades!$S$9:$S$508,"&lt;&gt;OK",Trades!$A$9:$A$508,"&lt;&gt;")&gt;0,"Check trades","OK"))))</f>
        <v/>
      </c>
      <c r="S26" s="34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P$9:$P$508),0),"")))</f>
        <v/>
      </c>
      <c r="T26" s="31" t="str">
        <f>IF(NOT(_EngineCycles!A26&lt;&gt;""),"",IF(NOT($R26="OK"),"",_EngineCycles!W26))</f>
        <v/>
      </c>
      <c r="U26" s="22"/>
      <c r="V26" s="22"/>
      <c r="W26" s="22"/>
      <c r="X26" s="22"/>
      <c r="Y26" t="str">
        <f>IF(AND($C26=Overview!$P$2,$Q26="Open",$R26="OK"),COUNTIFS($C$9:$C26,Overview!$P$2,$Q$9:$Q26,"Open",$R$9:$R26,"OK"),"")</f>
        <v/>
      </c>
    </row>
    <row r="27" spans="1:25" ht="23.1" customHeight="1" x14ac:dyDescent="0.25">
      <c r="A27" s="18" t="str">
        <f>IF(_EngineCycles!A27="","",_EngineCycles!B27&amp;IF(_EngineCycles!C27&gt;1," / "&amp;_EngineCycles!C27,""))</f>
        <v/>
      </c>
      <c r="B27" s="18" t="str">
        <f>IF(_EngineCycles!A27="","",_EngineCycles!D27)</f>
        <v/>
      </c>
      <c r="C27" s="18" t="str">
        <f>IF(_EngineCycles!A27="","",IFERROR(INDEX(Trades!$D$9:$D$508,_EngineCycles!AG27-8),""))</f>
        <v/>
      </c>
      <c r="D27" s="25" t="str">
        <f>IF(_EngineCycles!A27="","",IF($R27&lt;&gt;"OK","Review",IF(_EngineCycles!E27="Closed","Closed",IF(_EngineCycles!P27&gt;0,IF(IFERROR(LOOKUP(2,1/((_EngineTrades!$AU$9:$AU$508=_EngineCycles!A27)),_EngineTrades!$AQ$9:$AQ$508),0)&gt;0,"Covered Call","Shares Held"),"Cash-Secured Put"))))</f>
        <v/>
      </c>
      <c r="E27" s="26" t="str">
        <f>IF(NOT(_EngineCycles!A27&lt;&gt;""),"",IF(NOT($R27="OK"),"",_EngineCycles!P27))</f>
        <v/>
      </c>
      <c r="F27" s="17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AH$9:$AH$508),0),"")))</f>
        <v/>
      </c>
      <c r="G27" s="17" t="str">
        <f>IF(NOT(_EngineCycles!A27&lt;&gt;""),"",IF(NOT($R27="OK"),"",_EngineCycles!Q27))</f>
        <v/>
      </c>
      <c r="H27" s="27" t="str">
        <f>IF(NOT(_EngineCycles!A27&lt;&gt;""),"",IF(NOT($R27="OK"),"",_EngineCycles!J27))</f>
        <v/>
      </c>
      <c r="I27" s="17" t="str">
        <f>IF(NOT(_EngineCycles!A27&lt;&gt;""),"",IF(NOT($R27="OK"),"",_EngineCycles!I27))</f>
        <v/>
      </c>
      <c r="J27" s="17" t="str">
        <f>IF(NOT(_EngineCycles!A27&lt;&gt;""),"",IF(NOT($R27="OK"),"",_EngineCycles!L27))</f>
        <v/>
      </c>
      <c r="K27" s="17" t="str">
        <f>IF(NOT(_EngineCycles!A27&lt;&gt;""),"",IF(NOT($R27="OK"),"",_EngineCycles!U27))</f>
        <v/>
      </c>
      <c r="L27" s="27" t="str">
        <f>IF(NOT(_EngineCycles!A27&lt;&gt;""),"",IF(NOT($R27="OK"),"",_EngineCycles!AE27))</f>
        <v/>
      </c>
      <c r="M27" s="17" t="str">
        <f>IF(NOT(_EngineCycles!A27&lt;&gt;""),"",IF(NOT($R27="OK"),"",_EngineCycles!O27))</f>
        <v/>
      </c>
      <c r="N27" s="27" t="str">
        <f>IF(NOT(_EngineCycles!A27&lt;&gt;""),"",IF(NOT($R27="OK"),"",IF(_EngineCycles!E27="Closed",_EngineCycles!O27,"")))</f>
        <v/>
      </c>
      <c r="O27" s="28" t="str">
        <f>IF(NOT(_EngineCycles!A27&lt;&gt;""),"",IF(NOT($R27="OK"),"",_EngineCycles!Y27))</f>
        <v/>
      </c>
      <c r="P27" s="17" t="str">
        <f>IF(NOT(_EngineCycles!A27&lt;&gt;""),"",IF(NOT($R27="OK"),"",_EngineCycles!S27))</f>
        <v/>
      </c>
      <c r="Q27" s="25" t="str">
        <f>IF(_EngineCycles!A27="","",IF($R27&lt;&gt;"OK","Review",IF(_EngineCycles!E27="Closed","Closed","Open")))</f>
        <v/>
      </c>
      <c r="R27" s="18" t="str">
        <f>IF(_EngineCycles!A27="","",IF(COUNTIFS(Trades!$B$9:$B$508,_EngineCycles!B27,Trades!$C$9:$C$508,"&lt;&gt;"&amp;$B27,Trades!$A$9:$A$508,"&lt;&gt;")&gt;0,"Ticker mismatch",IF(COUNTIFS(Trades!$B$9:$B$508,_EngineCycles!B27,Trades!$D$9:$D$508,"&lt;&gt;"&amp;$C27,Trades!$A$9:$A$508,"&lt;&gt;")&gt;0,"Currency mismatch",IF(COUNTIFS(Trades!$B$9:$B$508,_EngineCycles!B27,Trades!$S$9:$S$508,"&lt;&gt;OK",Trades!$A$9:$A$508,"&lt;&gt;")&gt;0,"Check trades","OK"))))</f>
        <v/>
      </c>
      <c r="S27" s="29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P$9:$P$508),0),"")))</f>
        <v/>
      </c>
      <c r="T27" s="26" t="str">
        <f>IF(NOT(_EngineCycles!A27&lt;&gt;""),"",IF(NOT($R27="OK"),"",_EngineCycles!W27))</f>
        <v/>
      </c>
      <c r="U27" s="16"/>
      <c r="V27" s="16"/>
      <c r="W27" s="16"/>
      <c r="X27" s="16"/>
      <c r="Y27" t="str">
        <f>IF(AND($C27=Overview!$P$2,$Q27="Open",$R27="OK"),COUNTIFS($C$9:$C27,Overview!$P$2,$Q$9:$Q27,"Open",$R$9:$R27,"OK"),"")</f>
        <v/>
      </c>
    </row>
    <row r="28" spans="1:25" ht="23.1" customHeight="1" x14ac:dyDescent="0.25">
      <c r="A28" s="24" t="str">
        <f>IF(_EngineCycles!A28="","",_EngineCycles!B28&amp;IF(_EngineCycles!C28&gt;1," / "&amp;_EngineCycles!C28,""))</f>
        <v/>
      </c>
      <c r="B28" s="24" t="str">
        <f>IF(_EngineCycles!A28="","",_EngineCycles!D28)</f>
        <v/>
      </c>
      <c r="C28" s="24" t="str">
        <f>IF(_EngineCycles!A28="","",IFERROR(INDEX(Trades!$D$9:$D$508,_EngineCycles!AG28-8),""))</f>
        <v/>
      </c>
      <c r="D28" s="30" t="str">
        <f>IF(_EngineCycles!A28="","",IF($R28&lt;&gt;"OK","Review",IF(_EngineCycles!E28="Closed","Closed",IF(_EngineCycles!P28&gt;0,IF(IFERROR(LOOKUP(2,1/((_EngineTrades!$AU$9:$AU$508=_EngineCycles!A28)),_EngineTrades!$AQ$9:$AQ$508),0)&gt;0,"Covered Call","Shares Held"),"Cash-Secured Put"))))</f>
        <v/>
      </c>
      <c r="E28" s="31" t="str">
        <f>IF(NOT(_EngineCycles!A28&lt;&gt;""),"",IF(NOT($R28="OK"),"",_EngineCycles!P28))</f>
        <v/>
      </c>
      <c r="F28" s="23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AH$9:$AH$508),0),"")))</f>
        <v/>
      </c>
      <c r="G28" s="23" t="str">
        <f>IF(NOT(_EngineCycles!A28&lt;&gt;""),"",IF(NOT($R28="OK"),"",_EngineCycles!Q28))</f>
        <v/>
      </c>
      <c r="H28" s="32" t="str">
        <f>IF(NOT(_EngineCycles!A28&lt;&gt;""),"",IF(NOT($R28="OK"),"",_EngineCycles!J28))</f>
        <v/>
      </c>
      <c r="I28" s="23" t="str">
        <f>IF(NOT(_EngineCycles!A28&lt;&gt;""),"",IF(NOT($R28="OK"),"",_EngineCycles!I28))</f>
        <v/>
      </c>
      <c r="J28" s="23" t="str">
        <f>IF(NOT(_EngineCycles!A28&lt;&gt;""),"",IF(NOT($R28="OK"),"",_EngineCycles!L28))</f>
        <v/>
      </c>
      <c r="K28" s="23" t="str">
        <f>IF(NOT(_EngineCycles!A28&lt;&gt;""),"",IF(NOT($R28="OK"),"",_EngineCycles!U28))</f>
        <v/>
      </c>
      <c r="L28" s="32" t="str">
        <f>IF(NOT(_EngineCycles!A28&lt;&gt;""),"",IF(NOT($R28="OK"),"",_EngineCycles!AE28))</f>
        <v/>
      </c>
      <c r="M28" s="23" t="str">
        <f>IF(NOT(_EngineCycles!A28&lt;&gt;""),"",IF(NOT($R28="OK"),"",_EngineCycles!O28))</f>
        <v/>
      </c>
      <c r="N28" s="32" t="str">
        <f>IF(NOT(_EngineCycles!A28&lt;&gt;""),"",IF(NOT($R28="OK"),"",IF(_EngineCycles!E28="Closed",_EngineCycles!O28,"")))</f>
        <v/>
      </c>
      <c r="O28" s="33" t="str">
        <f>IF(NOT(_EngineCycles!A28&lt;&gt;""),"",IF(NOT($R28="OK"),"",_EngineCycles!Y28))</f>
        <v/>
      </c>
      <c r="P28" s="23" t="str">
        <f>IF(NOT(_EngineCycles!A28&lt;&gt;""),"",IF(NOT($R28="OK"),"",_EngineCycles!S28))</f>
        <v/>
      </c>
      <c r="Q28" s="30" t="str">
        <f>IF(_EngineCycles!A28="","",IF($R28&lt;&gt;"OK","Review",IF(_EngineCycles!E28="Closed","Closed","Open")))</f>
        <v/>
      </c>
      <c r="R28" s="24" t="str">
        <f>IF(_EngineCycles!A28="","",IF(COUNTIFS(Trades!$B$9:$B$508,_EngineCycles!B28,Trades!$C$9:$C$508,"&lt;&gt;"&amp;$B28,Trades!$A$9:$A$508,"&lt;&gt;")&gt;0,"Ticker mismatch",IF(COUNTIFS(Trades!$B$9:$B$508,_EngineCycles!B28,Trades!$D$9:$D$508,"&lt;&gt;"&amp;$C28,Trades!$A$9:$A$508,"&lt;&gt;")&gt;0,"Currency mismatch",IF(COUNTIFS(Trades!$B$9:$B$508,_EngineCycles!B28,Trades!$S$9:$S$508,"&lt;&gt;OK",Trades!$A$9:$A$508,"&lt;&gt;")&gt;0,"Check trades","OK"))))</f>
        <v/>
      </c>
      <c r="S28" s="34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P$9:$P$508),0),"")))</f>
        <v/>
      </c>
      <c r="T28" s="31" t="str">
        <f>IF(NOT(_EngineCycles!A28&lt;&gt;""),"",IF(NOT($R28="OK"),"",_EngineCycles!W28))</f>
        <v/>
      </c>
      <c r="U28" s="22"/>
      <c r="V28" s="22"/>
      <c r="W28" s="22"/>
      <c r="X28" s="22"/>
      <c r="Y28" t="str">
        <f>IF(AND($C28=Overview!$P$2,$Q28="Open",$R28="OK"),COUNTIFS($C$9:$C28,Overview!$P$2,$Q$9:$Q28,"Open",$R$9:$R28,"OK"),"")</f>
        <v/>
      </c>
    </row>
    <row r="29" spans="1:25" ht="23.1" customHeight="1" x14ac:dyDescent="0.25">
      <c r="A29" s="18" t="str">
        <f>IF(_EngineCycles!A29="","",_EngineCycles!B29&amp;IF(_EngineCycles!C29&gt;1," / "&amp;_EngineCycles!C29,""))</f>
        <v/>
      </c>
      <c r="B29" s="18" t="str">
        <f>IF(_EngineCycles!A29="","",_EngineCycles!D29)</f>
        <v/>
      </c>
      <c r="C29" s="18" t="str">
        <f>IF(_EngineCycles!A29="","",IFERROR(INDEX(Trades!$D$9:$D$508,_EngineCycles!AG29-8),""))</f>
        <v/>
      </c>
      <c r="D29" s="25" t="str">
        <f>IF(_EngineCycles!A29="","",IF($R29&lt;&gt;"OK","Review",IF(_EngineCycles!E29="Closed","Closed",IF(_EngineCycles!P29&gt;0,IF(IFERROR(LOOKUP(2,1/((_EngineTrades!$AU$9:$AU$508=_EngineCycles!A29)),_EngineTrades!$AQ$9:$AQ$508),0)&gt;0,"Covered Call","Shares Held"),"Cash-Secured Put"))))</f>
        <v/>
      </c>
      <c r="E29" s="26" t="str">
        <f>IF(NOT(_EngineCycles!A29&lt;&gt;""),"",IF(NOT($R29="OK"),"",_EngineCycles!P29))</f>
        <v/>
      </c>
      <c r="F29" s="17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AH$9:$AH$508),0),"")))</f>
        <v/>
      </c>
      <c r="G29" s="17" t="str">
        <f>IF(NOT(_EngineCycles!A29&lt;&gt;""),"",IF(NOT($R29="OK"),"",_EngineCycles!Q29))</f>
        <v/>
      </c>
      <c r="H29" s="27" t="str">
        <f>IF(NOT(_EngineCycles!A29&lt;&gt;""),"",IF(NOT($R29="OK"),"",_EngineCycles!J29))</f>
        <v/>
      </c>
      <c r="I29" s="17" t="str">
        <f>IF(NOT(_EngineCycles!A29&lt;&gt;""),"",IF(NOT($R29="OK"),"",_EngineCycles!I29))</f>
        <v/>
      </c>
      <c r="J29" s="17" t="str">
        <f>IF(NOT(_EngineCycles!A29&lt;&gt;""),"",IF(NOT($R29="OK"),"",_EngineCycles!L29))</f>
        <v/>
      </c>
      <c r="K29" s="17" t="str">
        <f>IF(NOT(_EngineCycles!A29&lt;&gt;""),"",IF(NOT($R29="OK"),"",_EngineCycles!U29))</f>
        <v/>
      </c>
      <c r="L29" s="27" t="str">
        <f>IF(NOT(_EngineCycles!A29&lt;&gt;""),"",IF(NOT($R29="OK"),"",_EngineCycles!AE29))</f>
        <v/>
      </c>
      <c r="M29" s="17" t="str">
        <f>IF(NOT(_EngineCycles!A29&lt;&gt;""),"",IF(NOT($R29="OK"),"",_EngineCycles!O29))</f>
        <v/>
      </c>
      <c r="N29" s="27" t="str">
        <f>IF(NOT(_EngineCycles!A29&lt;&gt;""),"",IF(NOT($R29="OK"),"",IF(_EngineCycles!E29="Closed",_EngineCycles!O29,"")))</f>
        <v/>
      </c>
      <c r="O29" s="28" t="str">
        <f>IF(NOT(_EngineCycles!A29&lt;&gt;""),"",IF(NOT($R29="OK"),"",_EngineCycles!Y29))</f>
        <v/>
      </c>
      <c r="P29" s="17" t="str">
        <f>IF(NOT(_EngineCycles!A29&lt;&gt;""),"",IF(NOT($R29="OK"),"",_EngineCycles!S29))</f>
        <v/>
      </c>
      <c r="Q29" s="25" t="str">
        <f>IF(_EngineCycles!A29="","",IF($R29&lt;&gt;"OK","Review",IF(_EngineCycles!E29="Closed","Closed","Open")))</f>
        <v/>
      </c>
      <c r="R29" s="18" t="str">
        <f>IF(_EngineCycles!A29="","",IF(COUNTIFS(Trades!$B$9:$B$508,_EngineCycles!B29,Trades!$C$9:$C$508,"&lt;&gt;"&amp;$B29,Trades!$A$9:$A$508,"&lt;&gt;")&gt;0,"Ticker mismatch",IF(COUNTIFS(Trades!$B$9:$B$508,_EngineCycles!B29,Trades!$D$9:$D$508,"&lt;&gt;"&amp;$C29,Trades!$A$9:$A$508,"&lt;&gt;")&gt;0,"Currency mismatch",IF(COUNTIFS(Trades!$B$9:$B$508,_EngineCycles!B29,Trades!$S$9:$S$508,"&lt;&gt;OK",Trades!$A$9:$A$508,"&lt;&gt;")&gt;0,"Check trades","OK"))))</f>
        <v/>
      </c>
      <c r="S29" s="29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P$9:$P$508),0),"")))</f>
        <v/>
      </c>
      <c r="T29" s="26" t="str">
        <f>IF(NOT(_EngineCycles!A29&lt;&gt;""),"",IF(NOT($R29="OK"),"",_EngineCycles!W29))</f>
        <v/>
      </c>
      <c r="U29" s="16"/>
      <c r="V29" s="16"/>
      <c r="W29" s="16"/>
      <c r="X29" s="16"/>
      <c r="Y29" t="str">
        <f>IF(AND($C29=Overview!$P$2,$Q29="Open",$R29="OK"),COUNTIFS($C$9:$C29,Overview!$P$2,$Q$9:$Q29,"Open",$R$9:$R29,"OK"),"")</f>
        <v/>
      </c>
    </row>
    <row r="30" spans="1:25" ht="23.1" customHeight="1" x14ac:dyDescent="0.25">
      <c r="A30" s="24" t="str">
        <f>IF(_EngineCycles!A30="","",_EngineCycles!B30&amp;IF(_EngineCycles!C30&gt;1," / "&amp;_EngineCycles!C30,""))</f>
        <v/>
      </c>
      <c r="B30" s="24" t="str">
        <f>IF(_EngineCycles!A30="","",_EngineCycles!D30)</f>
        <v/>
      </c>
      <c r="C30" s="24" t="str">
        <f>IF(_EngineCycles!A30="","",IFERROR(INDEX(Trades!$D$9:$D$508,_EngineCycles!AG30-8),""))</f>
        <v/>
      </c>
      <c r="D30" s="30" t="str">
        <f>IF(_EngineCycles!A30="","",IF($R30&lt;&gt;"OK","Review",IF(_EngineCycles!E30="Closed","Closed",IF(_EngineCycles!P30&gt;0,IF(IFERROR(LOOKUP(2,1/((_EngineTrades!$AU$9:$AU$508=_EngineCycles!A30)),_EngineTrades!$AQ$9:$AQ$508),0)&gt;0,"Covered Call","Shares Held"),"Cash-Secured Put"))))</f>
        <v/>
      </c>
      <c r="E30" s="31" t="str">
        <f>IF(NOT(_EngineCycles!A30&lt;&gt;""),"",IF(NOT($R30="OK"),"",_EngineCycles!P30))</f>
        <v/>
      </c>
      <c r="F30" s="23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AH$9:$AH$508),0),"")))</f>
        <v/>
      </c>
      <c r="G30" s="23" t="str">
        <f>IF(NOT(_EngineCycles!A30&lt;&gt;""),"",IF(NOT($R30="OK"),"",_EngineCycles!Q30))</f>
        <v/>
      </c>
      <c r="H30" s="32" t="str">
        <f>IF(NOT(_EngineCycles!A30&lt;&gt;""),"",IF(NOT($R30="OK"),"",_EngineCycles!J30))</f>
        <v/>
      </c>
      <c r="I30" s="23" t="str">
        <f>IF(NOT(_EngineCycles!A30&lt;&gt;""),"",IF(NOT($R30="OK"),"",_EngineCycles!I30))</f>
        <v/>
      </c>
      <c r="J30" s="23" t="str">
        <f>IF(NOT(_EngineCycles!A30&lt;&gt;""),"",IF(NOT($R30="OK"),"",_EngineCycles!L30))</f>
        <v/>
      </c>
      <c r="K30" s="23" t="str">
        <f>IF(NOT(_EngineCycles!A30&lt;&gt;""),"",IF(NOT($R30="OK"),"",_EngineCycles!U30))</f>
        <v/>
      </c>
      <c r="L30" s="32" t="str">
        <f>IF(NOT(_EngineCycles!A30&lt;&gt;""),"",IF(NOT($R30="OK"),"",_EngineCycles!AE30))</f>
        <v/>
      </c>
      <c r="M30" s="23" t="str">
        <f>IF(NOT(_EngineCycles!A30&lt;&gt;""),"",IF(NOT($R30="OK"),"",_EngineCycles!O30))</f>
        <v/>
      </c>
      <c r="N30" s="32" t="str">
        <f>IF(NOT(_EngineCycles!A30&lt;&gt;""),"",IF(NOT($R30="OK"),"",IF(_EngineCycles!E30="Closed",_EngineCycles!O30,"")))</f>
        <v/>
      </c>
      <c r="O30" s="33" t="str">
        <f>IF(NOT(_EngineCycles!A30&lt;&gt;""),"",IF(NOT($R30="OK"),"",_EngineCycles!Y30))</f>
        <v/>
      </c>
      <c r="P30" s="23" t="str">
        <f>IF(NOT(_EngineCycles!A30&lt;&gt;""),"",IF(NOT($R30="OK"),"",_EngineCycles!S30))</f>
        <v/>
      </c>
      <c r="Q30" s="30" t="str">
        <f>IF(_EngineCycles!A30="","",IF($R30&lt;&gt;"OK","Review",IF(_EngineCycles!E30="Closed","Closed","Open")))</f>
        <v/>
      </c>
      <c r="R30" s="24" t="str">
        <f>IF(_EngineCycles!A30="","",IF(COUNTIFS(Trades!$B$9:$B$508,_EngineCycles!B30,Trades!$C$9:$C$508,"&lt;&gt;"&amp;$B30,Trades!$A$9:$A$508,"&lt;&gt;")&gt;0,"Ticker mismatch",IF(COUNTIFS(Trades!$B$9:$B$508,_EngineCycles!B30,Trades!$D$9:$D$508,"&lt;&gt;"&amp;$C30,Trades!$A$9:$A$508,"&lt;&gt;")&gt;0,"Currency mismatch",IF(COUNTIFS(Trades!$B$9:$B$508,_EngineCycles!B30,Trades!$S$9:$S$508,"&lt;&gt;OK",Trades!$A$9:$A$508,"&lt;&gt;")&gt;0,"Check trades","OK"))))</f>
        <v/>
      </c>
      <c r="S30" s="34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P$9:$P$508),0),"")))</f>
        <v/>
      </c>
      <c r="T30" s="31" t="str">
        <f>IF(NOT(_EngineCycles!A30&lt;&gt;""),"",IF(NOT($R30="OK"),"",_EngineCycles!W30))</f>
        <v/>
      </c>
      <c r="U30" s="22"/>
      <c r="V30" s="22"/>
      <c r="W30" s="22"/>
      <c r="X30" s="22"/>
      <c r="Y30" t="str">
        <f>IF(AND($C30=Overview!$P$2,$Q30="Open",$R30="OK"),COUNTIFS($C$9:$C30,Overview!$P$2,$Q$9:$Q30,"Open",$R$9:$R30,"OK"),"")</f>
        <v/>
      </c>
    </row>
    <row r="31" spans="1:25" ht="23.1" customHeight="1" x14ac:dyDescent="0.25">
      <c r="A31" s="18" t="str">
        <f>IF(_EngineCycles!A31="","",_EngineCycles!B31&amp;IF(_EngineCycles!C31&gt;1," / "&amp;_EngineCycles!C31,""))</f>
        <v/>
      </c>
      <c r="B31" s="18" t="str">
        <f>IF(_EngineCycles!A31="","",_EngineCycles!D31)</f>
        <v/>
      </c>
      <c r="C31" s="18" t="str">
        <f>IF(_EngineCycles!A31="","",IFERROR(INDEX(Trades!$D$9:$D$508,_EngineCycles!AG31-8),""))</f>
        <v/>
      </c>
      <c r="D31" s="25" t="str">
        <f>IF(_EngineCycles!A31="","",IF($R31&lt;&gt;"OK","Review",IF(_EngineCycles!E31="Closed","Closed",IF(_EngineCycles!P31&gt;0,IF(IFERROR(LOOKUP(2,1/((_EngineTrades!$AU$9:$AU$508=_EngineCycles!A31)),_EngineTrades!$AQ$9:$AQ$508),0)&gt;0,"Covered Call","Shares Held"),"Cash-Secured Put"))))</f>
        <v/>
      </c>
      <c r="E31" s="26" t="str">
        <f>IF(NOT(_EngineCycles!A31&lt;&gt;""),"",IF(NOT($R31="OK"),"",_EngineCycles!P31))</f>
        <v/>
      </c>
      <c r="F31" s="17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AH$9:$AH$508),0),"")))</f>
        <v/>
      </c>
      <c r="G31" s="17" t="str">
        <f>IF(NOT(_EngineCycles!A31&lt;&gt;""),"",IF(NOT($R31="OK"),"",_EngineCycles!Q31))</f>
        <v/>
      </c>
      <c r="H31" s="27" t="str">
        <f>IF(NOT(_EngineCycles!A31&lt;&gt;""),"",IF(NOT($R31="OK"),"",_EngineCycles!J31))</f>
        <v/>
      </c>
      <c r="I31" s="17" t="str">
        <f>IF(NOT(_EngineCycles!A31&lt;&gt;""),"",IF(NOT($R31="OK"),"",_EngineCycles!I31))</f>
        <v/>
      </c>
      <c r="J31" s="17" t="str">
        <f>IF(NOT(_EngineCycles!A31&lt;&gt;""),"",IF(NOT($R31="OK"),"",_EngineCycles!L31))</f>
        <v/>
      </c>
      <c r="K31" s="17" t="str">
        <f>IF(NOT(_EngineCycles!A31&lt;&gt;""),"",IF(NOT($R31="OK"),"",_EngineCycles!U31))</f>
        <v/>
      </c>
      <c r="L31" s="27" t="str">
        <f>IF(NOT(_EngineCycles!A31&lt;&gt;""),"",IF(NOT($R31="OK"),"",_EngineCycles!AE31))</f>
        <v/>
      </c>
      <c r="M31" s="17" t="str">
        <f>IF(NOT(_EngineCycles!A31&lt;&gt;""),"",IF(NOT($R31="OK"),"",_EngineCycles!O31))</f>
        <v/>
      </c>
      <c r="N31" s="27" t="str">
        <f>IF(NOT(_EngineCycles!A31&lt;&gt;""),"",IF(NOT($R31="OK"),"",IF(_EngineCycles!E31="Closed",_EngineCycles!O31,"")))</f>
        <v/>
      </c>
      <c r="O31" s="28" t="str">
        <f>IF(NOT(_EngineCycles!A31&lt;&gt;""),"",IF(NOT($R31="OK"),"",_EngineCycles!Y31))</f>
        <v/>
      </c>
      <c r="P31" s="17" t="str">
        <f>IF(NOT(_EngineCycles!A31&lt;&gt;""),"",IF(NOT($R31="OK"),"",_EngineCycles!S31))</f>
        <v/>
      </c>
      <c r="Q31" s="25" t="str">
        <f>IF(_EngineCycles!A31="","",IF($R31&lt;&gt;"OK","Review",IF(_EngineCycles!E31="Closed","Closed","Open")))</f>
        <v/>
      </c>
      <c r="R31" s="18" t="str">
        <f>IF(_EngineCycles!A31="","",IF(COUNTIFS(Trades!$B$9:$B$508,_EngineCycles!B31,Trades!$C$9:$C$508,"&lt;&gt;"&amp;$B31,Trades!$A$9:$A$508,"&lt;&gt;")&gt;0,"Ticker mismatch",IF(COUNTIFS(Trades!$B$9:$B$508,_EngineCycles!B31,Trades!$D$9:$D$508,"&lt;&gt;"&amp;$C31,Trades!$A$9:$A$508,"&lt;&gt;")&gt;0,"Currency mismatch",IF(COUNTIFS(Trades!$B$9:$B$508,_EngineCycles!B31,Trades!$S$9:$S$508,"&lt;&gt;OK",Trades!$A$9:$A$508,"&lt;&gt;")&gt;0,"Check trades","OK"))))</f>
        <v/>
      </c>
      <c r="S31" s="29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P$9:$P$508),0),"")))</f>
        <v/>
      </c>
      <c r="T31" s="26" t="str">
        <f>IF(NOT(_EngineCycles!A31&lt;&gt;""),"",IF(NOT($R31="OK"),"",_EngineCycles!W31))</f>
        <v/>
      </c>
      <c r="U31" s="16"/>
      <c r="V31" s="16"/>
      <c r="W31" s="16"/>
      <c r="X31" s="16"/>
      <c r="Y31" t="str">
        <f>IF(AND($C31=Overview!$P$2,$Q31="Open",$R31="OK"),COUNTIFS($C$9:$C31,Overview!$P$2,$Q$9:$Q31,"Open",$R$9:$R31,"OK"),"")</f>
        <v/>
      </c>
    </row>
    <row r="32" spans="1:25" ht="23.1" customHeight="1" x14ac:dyDescent="0.25">
      <c r="A32" s="24" t="str">
        <f>IF(_EngineCycles!A32="","",_EngineCycles!B32&amp;IF(_EngineCycles!C32&gt;1," / "&amp;_EngineCycles!C32,""))</f>
        <v/>
      </c>
      <c r="B32" s="24" t="str">
        <f>IF(_EngineCycles!A32="","",_EngineCycles!D32)</f>
        <v/>
      </c>
      <c r="C32" s="24" t="str">
        <f>IF(_EngineCycles!A32="","",IFERROR(INDEX(Trades!$D$9:$D$508,_EngineCycles!AG32-8),""))</f>
        <v/>
      </c>
      <c r="D32" s="30" t="str">
        <f>IF(_EngineCycles!A32="","",IF($R32&lt;&gt;"OK","Review",IF(_EngineCycles!E32="Closed","Closed",IF(_EngineCycles!P32&gt;0,IF(IFERROR(LOOKUP(2,1/((_EngineTrades!$AU$9:$AU$508=_EngineCycles!A32)),_EngineTrades!$AQ$9:$AQ$508),0)&gt;0,"Covered Call","Shares Held"),"Cash-Secured Put"))))</f>
        <v/>
      </c>
      <c r="E32" s="31" t="str">
        <f>IF(NOT(_EngineCycles!A32&lt;&gt;""),"",IF(NOT($R32="OK"),"",_EngineCycles!P32))</f>
        <v/>
      </c>
      <c r="F32" s="23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AH$9:$AH$508),0),"")))</f>
        <v/>
      </c>
      <c r="G32" s="23" t="str">
        <f>IF(NOT(_EngineCycles!A32&lt;&gt;""),"",IF(NOT($R32="OK"),"",_EngineCycles!Q32))</f>
        <v/>
      </c>
      <c r="H32" s="32" t="str">
        <f>IF(NOT(_EngineCycles!A32&lt;&gt;""),"",IF(NOT($R32="OK"),"",_EngineCycles!J32))</f>
        <v/>
      </c>
      <c r="I32" s="23" t="str">
        <f>IF(NOT(_EngineCycles!A32&lt;&gt;""),"",IF(NOT($R32="OK"),"",_EngineCycles!I32))</f>
        <v/>
      </c>
      <c r="J32" s="23" t="str">
        <f>IF(NOT(_EngineCycles!A32&lt;&gt;""),"",IF(NOT($R32="OK"),"",_EngineCycles!L32))</f>
        <v/>
      </c>
      <c r="K32" s="23" t="str">
        <f>IF(NOT(_EngineCycles!A32&lt;&gt;""),"",IF(NOT($R32="OK"),"",_EngineCycles!U32))</f>
        <v/>
      </c>
      <c r="L32" s="32" t="str">
        <f>IF(NOT(_EngineCycles!A32&lt;&gt;""),"",IF(NOT($R32="OK"),"",_EngineCycles!AE32))</f>
        <v/>
      </c>
      <c r="M32" s="23" t="str">
        <f>IF(NOT(_EngineCycles!A32&lt;&gt;""),"",IF(NOT($R32="OK"),"",_EngineCycles!O32))</f>
        <v/>
      </c>
      <c r="N32" s="32" t="str">
        <f>IF(NOT(_EngineCycles!A32&lt;&gt;""),"",IF(NOT($R32="OK"),"",IF(_EngineCycles!E32="Closed",_EngineCycles!O32,"")))</f>
        <v/>
      </c>
      <c r="O32" s="33" t="str">
        <f>IF(NOT(_EngineCycles!A32&lt;&gt;""),"",IF(NOT($R32="OK"),"",_EngineCycles!Y32))</f>
        <v/>
      </c>
      <c r="P32" s="23" t="str">
        <f>IF(NOT(_EngineCycles!A32&lt;&gt;""),"",IF(NOT($R32="OK"),"",_EngineCycles!S32))</f>
        <v/>
      </c>
      <c r="Q32" s="30" t="str">
        <f>IF(_EngineCycles!A32="","",IF($R32&lt;&gt;"OK","Review",IF(_EngineCycles!E32="Closed","Closed","Open")))</f>
        <v/>
      </c>
      <c r="R32" s="24" t="str">
        <f>IF(_EngineCycles!A32="","",IF(COUNTIFS(Trades!$B$9:$B$508,_EngineCycles!B32,Trades!$C$9:$C$508,"&lt;&gt;"&amp;$B32,Trades!$A$9:$A$508,"&lt;&gt;")&gt;0,"Ticker mismatch",IF(COUNTIFS(Trades!$B$9:$B$508,_EngineCycles!B32,Trades!$D$9:$D$508,"&lt;&gt;"&amp;$C32,Trades!$A$9:$A$508,"&lt;&gt;")&gt;0,"Currency mismatch",IF(COUNTIFS(Trades!$B$9:$B$508,_EngineCycles!B32,Trades!$S$9:$S$508,"&lt;&gt;OK",Trades!$A$9:$A$508,"&lt;&gt;")&gt;0,"Check trades","OK"))))</f>
        <v/>
      </c>
      <c r="S32" s="34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P$9:$P$508),0),"")))</f>
        <v/>
      </c>
      <c r="T32" s="31" t="str">
        <f>IF(NOT(_EngineCycles!A32&lt;&gt;""),"",IF(NOT($R32="OK"),"",_EngineCycles!W32))</f>
        <v/>
      </c>
      <c r="U32" s="22"/>
      <c r="V32" s="22"/>
      <c r="W32" s="22"/>
      <c r="X32" s="22"/>
      <c r="Y32" t="str">
        <f>IF(AND($C32=Overview!$P$2,$Q32="Open",$R32="OK"),COUNTIFS($C$9:$C32,Overview!$P$2,$Q$9:$Q32,"Open",$R$9:$R32,"OK"),"")</f>
        <v/>
      </c>
    </row>
    <row r="33" spans="1:25" ht="23.1" customHeight="1" x14ac:dyDescent="0.25">
      <c r="A33" s="18" t="str">
        <f>IF(_EngineCycles!A33="","",_EngineCycles!B33&amp;IF(_EngineCycles!C33&gt;1," / "&amp;_EngineCycles!C33,""))</f>
        <v/>
      </c>
      <c r="B33" s="18" t="str">
        <f>IF(_EngineCycles!A33="","",_EngineCycles!D33)</f>
        <v/>
      </c>
      <c r="C33" s="18" t="str">
        <f>IF(_EngineCycles!A33="","",IFERROR(INDEX(Trades!$D$9:$D$508,_EngineCycles!AG33-8),""))</f>
        <v/>
      </c>
      <c r="D33" s="25" t="str">
        <f>IF(_EngineCycles!A33="","",IF($R33&lt;&gt;"OK","Review",IF(_EngineCycles!E33="Closed","Closed",IF(_EngineCycles!P33&gt;0,IF(IFERROR(LOOKUP(2,1/((_EngineTrades!$AU$9:$AU$508=_EngineCycles!A33)),_EngineTrades!$AQ$9:$AQ$508),0)&gt;0,"Covered Call","Shares Held"),"Cash-Secured Put"))))</f>
        <v/>
      </c>
      <c r="E33" s="26" t="str">
        <f>IF(NOT(_EngineCycles!A33&lt;&gt;""),"",IF(NOT($R33="OK"),"",_EngineCycles!P33))</f>
        <v/>
      </c>
      <c r="F33" s="17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AH$9:$AH$508),0),"")))</f>
        <v/>
      </c>
      <c r="G33" s="17" t="str">
        <f>IF(NOT(_EngineCycles!A33&lt;&gt;""),"",IF(NOT($R33="OK"),"",_EngineCycles!Q33))</f>
        <v/>
      </c>
      <c r="H33" s="27" t="str">
        <f>IF(NOT(_EngineCycles!A33&lt;&gt;""),"",IF(NOT($R33="OK"),"",_EngineCycles!J33))</f>
        <v/>
      </c>
      <c r="I33" s="17" t="str">
        <f>IF(NOT(_EngineCycles!A33&lt;&gt;""),"",IF(NOT($R33="OK"),"",_EngineCycles!I33))</f>
        <v/>
      </c>
      <c r="J33" s="17" t="str">
        <f>IF(NOT(_EngineCycles!A33&lt;&gt;""),"",IF(NOT($R33="OK"),"",_EngineCycles!L33))</f>
        <v/>
      </c>
      <c r="K33" s="17" t="str">
        <f>IF(NOT(_EngineCycles!A33&lt;&gt;""),"",IF(NOT($R33="OK"),"",_EngineCycles!U33))</f>
        <v/>
      </c>
      <c r="L33" s="27" t="str">
        <f>IF(NOT(_EngineCycles!A33&lt;&gt;""),"",IF(NOT($R33="OK"),"",_EngineCycles!AE33))</f>
        <v/>
      </c>
      <c r="M33" s="17" t="str">
        <f>IF(NOT(_EngineCycles!A33&lt;&gt;""),"",IF(NOT($R33="OK"),"",_EngineCycles!O33))</f>
        <v/>
      </c>
      <c r="N33" s="27" t="str">
        <f>IF(NOT(_EngineCycles!A33&lt;&gt;""),"",IF(NOT($R33="OK"),"",IF(_EngineCycles!E33="Closed",_EngineCycles!O33,"")))</f>
        <v/>
      </c>
      <c r="O33" s="28" t="str">
        <f>IF(NOT(_EngineCycles!A33&lt;&gt;""),"",IF(NOT($R33="OK"),"",_EngineCycles!Y33))</f>
        <v/>
      </c>
      <c r="P33" s="17" t="str">
        <f>IF(NOT(_EngineCycles!A33&lt;&gt;""),"",IF(NOT($R33="OK"),"",_EngineCycles!S33))</f>
        <v/>
      </c>
      <c r="Q33" s="25" t="str">
        <f>IF(_EngineCycles!A33="","",IF($R33&lt;&gt;"OK","Review",IF(_EngineCycles!E33="Closed","Closed","Open")))</f>
        <v/>
      </c>
      <c r="R33" s="18" t="str">
        <f>IF(_EngineCycles!A33="","",IF(COUNTIFS(Trades!$B$9:$B$508,_EngineCycles!B33,Trades!$C$9:$C$508,"&lt;&gt;"&amp;$B33,Trades!$A$9:$A$508,"&lt;&gt;")&gt;0,"Ticker mismatch",IF(COUNTIFS(Trades!$B$9:$B$508,_EngineCycles!B33,Trades!$D$9:$D$508,"&lt;&gt;"&amp;$C33,Trades!$A$9:$A$508,"&lt;&gt;")&gt;0,"Currency mismatch",IF(COUNTIFS(Trades!$B$9:$B$508,_EngineCycles!B33,Trades!$S$9:$S$508,"&lt;&gt;OK",Trades!$A$9:$A$508,"&lt;&gt;")&gt;0,"Check trades","OK"))))</f>
        <v/>
      </c>
      <c r="S33" s="29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P$9:$P$508),0),"")))</f>
        <v/>
      </c>
      <c r="T33" s="26" t="str">
        <f>IF(NOT(_EngineCycles!A33&lt;&gt;""),"",IF(NOT($R33="OK"),"",_EngineCycles!W33))</f>
        <v/>
      </c>
      <c r="U33" s="16"/>
      <c r="V33" s="16"/>
      <c r="W33" s="16"/>
      <c r="X33" s="16"/>
      <c r="Y33" t="str">
        <f>IF(AND($C33=Overview!$P$2,$Q33="Open",$R33="OK"),COUNTIFS($C$9:$C33,Overview!$P$2,$Q$9:$Q33,"Open",$R$9:$R33,"OK"),"")</f>
        <v/>
      </c>
    </row>
    <row r="34" spans="1:25" ht="23.1" customHeight="1" x14ac:dyDescent="0.25">
      <c r="A34" s="24" t="str">
        <f>IF(_EngineCycles!A34="","",_EngineCycles!B34&amp;IF(_EngineCycles!C34&gt;1," / "&amp;_EngineCycles!C34,""))</f>
        <v/>
      </c>
      <c r="B34" s="24" t="str">
        <f>IF(_EngineCycles!A34="","",_EngineCycles!D34)</f>
        <v/>
      </c>
      <c r="C34" s="24" t="str">
        <f>IF(_EngineCycles!A34="","",IFERROR(INDEX(Trades!$D$9:$D$508,_EngineCycles!AG34-8),""))</f>
        <v/>
      </c>
      <c r="D34" s="30" t="str">
        <f>IF(_EngineCycles!A34="","",IF($R34&lt;&gt;"OK","Review",IF(_EngineCycles!E34="Closed","Closed",IF(_EngineCycles!P34&gt;0,IF(IFERROR(LOOKUP(2,1/((_EngineTrades!$AU$9:$AU$508=_EngineCycles!A34)),_EngineTrades!$AQ$9:$AQ$508),0)&gt;0,"Covered Call","Shares Held"),"Cash-Secured Put"))))</f>
        <v/>
      </c>
      <c r="E34" s="31" t="str">
        <f>IF(NOT(_EngineCycles!A34&lt;&gt;""),"",IF(NOT($R34="OK"),"",_EngineCycles!P34))</f>
        <v/>
      </c>
      <c r="F34" s="23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AH$9:$AH$508),0),"")))</f>
        <v/>
      </c>
      <c r="G34" s="23" t="str">
        <f>IF(NOT(_EngineCycles!A34&lt;&gt;""),"",IF(NOT($R34="OK"),"",_EngineCycles!Q34))</f>
        <v/>
      </c>
      <c r="H34" s="32" t="str">
        <f>IF(NOT(_EngineCycles!A34&lt;&gt;""),"",IF(NOT($R34="OK"),"",_EngineCycles!J34))</f>
        <v/>
      </c>
      <c r="I34" s="23" t="str">
        <f>IF(NOT(_EngineCycles!A34&lt;&gt;""),"",IF(NOT($R34="OK"),"",_EngineCycles!I34))</f>
        <v/>
      </c>
      <c r="J34" s="23" t="str">
        <f>IF(NOT(_EngineCycles!A34&lt;&gt;""),"",IF(NOT($R34="OK"),"",_EngineCycles!L34))</f>
        <v/>
      </c>
      <c r="K34" s="23" t="str">
        <f>IF(NOT(_EngineCycles!A34&lt;&gt;""),"",IF(NOT($R34="OK"),"",_EngineCycles!U34))</f>
        <v/>
      </c>
      <c r="L34" s="32" t="str">
        <f>IF(NOT(_EngineCycles!A34&lt;&gt;""),"",IF(NOT($R34="OK"),"",_EngineCycles!AE34))</f>
        <v/>
      </c>
      <c r="M34" s="23" t="str">
        <f>IF(NOT(_EngineCycles!A34&lt;&gt;""),"",IF(NOT($R34="OK"),"",_EngineCycles!O34))</f>
        <v/>
      </c>
      <c r="N34" s="32" t="str">
        <f>IF(NOT(_EngineCycles!A34&lt;&gt;""),"",IF(NOT($R34="OK"),"",IF(_EngineCycles!E34="Closed",_EngineCycles!O34,"")))</f>
        <v/>
      </c>
      <c r="O34" s="33" t="str">
        <f>IF(NOT(_EngineCycles!A34&lt;&gt;""),"",IF(NOT($R34="OK"),"",_EngineCycles!Y34))</f>
        <v/>
      </c>
      <c r="P34" s="23" t="str">
        <f>IF(NOT(_EngineCycles!A34&lt;&gt;""),"",IF(NOT($R34="OK"),"",_EngineCycles!S34))</f>
        <v/>
      </c>
      <c r="Q34" s="30" t="str">
        <f>IF(_EngineCycles!A34="","",IF($R34&lt;&gt;"OK","Review",IF(_EngineCycles!E34="Closed","Closed","Open")))</f>
        <v/>
      </c>
      <c r="R34" s="24" t="str">
        <f>IF(_EngineCycles!A34="","",IF(COUNTIFS(Trades!$B$9:$B$508,_EngineCycles!B34,Trades!$C$9:$C$508,"&lt;&gt;"&amp;$B34,Trades!$A$9:$A$508,"&lt;&gt;")&gt;0,"Ticker mismatch",IF(COUNTIFS(Trades!$B$9:$B$508,_EngineCycles!B34,Trades!$D$9:$D$508,"&lt;&gt;"&amp;$C34,Trades!$A$9:$A$508,"&lt;&gt;")&gt;0,"Currency mismatch",IF(COUNTIFS(Trades!$B$9:$B$508,_EngineCycles!B34,Trades!$S$9:$S$508,"&lt;&gt;OK",Trades!$A$9:$A$508,"&lt;&gt;")&gt;0,"Check trades","OK"))))</f>
        <v/>
      </c>
      <c r="S34" s="34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P$9:$P$508),0),"")))</f>
        <v/>
      </c>
      <c r="T34" s="31" t="str">
        <f>IF(NOT(_EngineCycles!A34&lt;&gt;""),"",IF(NOT($R34="OK"),"",_EngineCycles!W34))</f>
        <v/>
      </c>
      <c r="U34" s="22"/>
      <c r="V34" s="22"/>
      <c r="W34" s="22"/>
      <c r="X34" s="22"/>
      <c r="Y34" t="str">
        <f>IF(AND($C34=Overview!$P$2,$Q34="Open",$R34="OK"),COUNTIFS($C$9:$C34,Overview!$P$2,$Q$9:$Q34,"Open",$R$9:$R34,"OK"),"")</f>
        <v/>
      </c>
    </row>
    <row r="35" spans="1:25" ht="23.1" customHeight="1" x14ac:dyDescent="0.25">
      <c r="A35" s="18" t="str">
        <f>IF(_EngineCycles!A35="","",_EngineCycles!B35&amp;IF(_EngineCycles!C35&gt;1," / "&amp;_EngineCycles!C35,""))</f>
        <v/>
      </c>
      <c r="B35" s="18" t="str">
        <f>IF(_EngineCycles!A35="","",_EngineCycles!D35)</f>
        <v/>
      </c>
      <c r="C35" s="18" t="str">
        <f>IF(_EngineCycles!A35="","",IFERROR(INDEX(Trades!$D$9:$D$508,_EngineCycles!AG35-8),""))</f>
        <v/>
      </c>
      <c r="D35" s="25" t="str">
        <f>IF(_EngineCycles!A35="","",IF($R35&lt;&gt;"OK","Review",IF(_EngineCycles!E35="Closed","Closed",IF(_EngineCycles!P35&gt;0,IF(IFERROR(LOOKUP(2,1/((_EngineTrades!$AU$9:$AU$508=_EngineCycles!A35)),_EngineTrades!$AQ$9:$AQ$508),0)&gt;0,"Covered Call","Shares Held"),"Cash-Secured Put"))))</f>
        <v/>
      </c>
      <c r="E35" s="26" t="str">
        <f>IF(NOT(_EngineCycles!A35&lt;&gt;""),"",IF(NOT($R35="OK"),"",_EngineCycles!P35))</f>
        <v/>
      </c>
      <c r="F35" s="17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AH$9:$AH$508),0),"")))</f>
        <v/>
      </c>
      <c r="G35" s="17" t="str">
        <f>IF(NOT(_EngineCycles!A35&lt;&gt;""),"",IF(NOT($R35="OK"),"",_EngineCycles!Q35))</f>
        <v/>
      </c>
      <c r="H35" s="27" t="str">
        <f>IF(NOT(_EngineCycles!A35&lt;&gt;""),"",IF(NOT($R35="OK"),"",_EngineCycles!J35))</f>
        <v/>
      </c>
      <c r="I35" s="17" t="str">
        <f>IF(NOT(_EngineCycles!A35&lt;&gt;""),"",IF(NOT($R35="OK"),"",_EngineCycles!I35))</f>
        <v/>
      </c>
      <c r="J35" s="17" t="str">
        <f>IF(NOT(_EngineCycles!A35&lt;&gt;""),"",IF(NOT($R35="OK"),"",_EngineCycles!L35))</f>
        <v/>
      </c>
      <c r="K35" s="17" t="str">
        <f>IF(NOT(_EngineCycles!A35&lt;&gt;""),"",IF(NOT($R35="OK"),"",_EngineCycles!U35))</f>
        <v/>
      </c>
      <c r="L35" s="27" t="str">
        <f>IF(NOT(_EngineCycles!A35&lt;&gt;""),"",IF(NOT($R35="OK"),"",_EngineCycles!AE35))</f>
        <v/>
      </c>
      <c r="M35" s="17" t="str">
        <f>IF(NOT(_EngineCycles!A35&lt;&gt;""),"",IF(NOT($R35="OK"),"",_EngineCycles!O35))</f>
        <v/>
      </c>
      <c r="N35" s="27" t="str">
        <f>IF(NOT(_EngineCycles!A35&lt;&gt;""),"",IF(NOT($R35="OK"),"",IF(_EngineCycles!E35="Closed",_EngineCycles!O35,"")))</f>
        <v/>
      </c>
      <c r="O35" s="28" t="str">
        <f>IF(NOT(_EngineCycles!A35&lt;&gt;""),"",IF(NOT($R35="OK"),"",_EngineCycles!Y35))</f>
        <v/>
      </c>
      <c r="P35" s="17" t="str">
        <f>IF(NOT(_EngineCycles!A35&lt;&gt;""),"",IF(NOT($R35="OK"),"",_EngineCycles!S35))</f>
        <v/>
      </c>
      <c r="Q35" s="25" t="str">
        <f>IF(_EngineCycles!A35="","",IF($R35&lt;&gt;"OK","Review",IF(_EngineCycles!E35="Closed","Closed","Open")))</f>
        <v/>
      </c>
      <c r="R35" s="18" t="str">
        <f>IF(_EngineCycles!A35="","",IF(COUNTIFS(Trades!$B$9:$B$508,_EngineCycles!B35,Trades!$C$9:$C$508,"&lt;&gt;"&amp;$B35,Trades!$A$9:$A$508,"&lt;&gt;")&gt;0,"Ticker mismatch",IF(COUNTIFS(Trades!$B$9:$B$508,_EngineCycles!B35,Trades!$D$9:$D$508,"&lt;&gt;"&amp;$C35,Trades!$A$9:$A$508,"&lt;&gt;")&gt;0,"Currency mismatch",IF(COUNTIFS(Trades!$B$9:$B$508,_EngineCycles!B35,Trades!$S$9:$S$508,"&lt;&gt;OK",Trades!$A$9:$A$508,"&lt;&gt;")&gt;0,"Check trades","OK"))))</f>
        <v/>
      </c>
      <c r="S35" s="29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P$9:$P$508),0),"")))</f>
        <v/>
      </c>
      <c r="T35" s="26" t="str">
        <f>IF(NOT(_EngineCycles!A35&lt;&gt;""),"",IF(NOT($R35="OK"),"",_EngineCycles!W35))</f>
        <v/>
      </c>
      <c r="U35" s="16"/>
      <c r="V35" s="16"/>
      <c r="W35" s="16"/>
      <c r="X35" s="16"/>
      <c r="Y35" t="str">
        <f>IF(AND($C35=Overview!$P$2,$Q35="Open",$R35="OK"),COUNTIFS($C$9:$C35,Overview!$P$2,$Q$9:$Q35,"Open",$R$9:$R35,"OK"),"")</f>
        <v/>
      </c>
    </row>
    <row r="36" spans="1:25" ht="23.1" customHeight="1" x14ac:dyDescent="0.25">
      <c r="A36" s="24" t="str">
        <f>IF(_EngineCycles!A36="","",_EngineCycles!B36&amp;IF(_EngineCycles!C36&gt;1," / "&amp;_EngineCycles!C36,""))</f>
        <v/>
      </c>
      <c r="B36" s="24" t="str">
        <f>IF(_EngineCycles!A36="","",_EngineCycles!D36)</f>
        <v/>
      </c>
      <c r="C36" s="24" t="str">
        <f>IF(_EngineCycles!A36="","",IFERROR(INDEX(Trades!$D$9:$D$508,_EngineCycles!AG36-8),""))</f>
        <v/>
      </c>
      <c r="D36" s="30" t="str">
        <f>IF(_EngineCycles!A36="","",IF($R36&lt;&gt;"OK","Review",IF(_EngineCycles!E36="Closed","Closed",IF(_EngineCycles!P36&gt;0,IF(IFERROR(LOOKUP(2,1/((_EngineTrades!$AU$9:$AU$508=_EngineCycles!A36)),_EngineTrades!$AQ$9:$AQ$508),0)&gt;0,"Covered Call","Shares Held"),"Cash-Secured Put"))))</f>
        <v/>
      </c>
      <c r="E36" s="31" t="str">
        <f>IF(NOT(_EngineCycles!A36&lt;&gt;""),"",IF(NOT($R36="OK"),"",_EngineCycles!P36))</f>
        <v/>
      </c>
      <c r="F36" s="23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AH$9:$AH$508),0),"")))</f>
        <v/>
      </c>
      <c r="G36" s="23" t="str">
        <f>IF(NOT(_EngineCycles!A36&lt;&gt;""),"",IF(NOT($R36="OK"),"",_EngineCycles!Q36))</f>
        <v/>
      </c>
      <c r="H36" s="32" t="str">
        <f>IF(NOT(_EngineCycles!A36&lt;&gt;""),"",IF(NOT($R36="OK"),"",_EngineCycles!J36))</f>
        <v/>
      </c>
      <c r="I36" s="23" t="str">
        <f>IF(NOT(_EngineCycles!A36&lt;&gt;""),"",IF(NOT($R36="OK"),"",_EngineCycles!I36))</f>
        <v/>
      </c>
      <c r="J36" s="23" t="str">
        <f>IF(NOT(_EngineCycles!A36&lt;&gt;""),"",IF(NOT($R36="OK"),"",_EngineCycles!L36))</f>
        <v/>
      </c>
      <c r="K36" s="23" t="str">
        <f>IF(NOT(_EngineCycles!A36&lt;&gt;""),"",IF(NOT($R36="OK"),"",_EngineCycles!U36))</f>
        <v/>
      </c>
      <c r="L36" s="32" t="str">
        <f>IF(NOT(_EngineCycles!A36&lt;&gt;""),"",IF(NOT($R36="OK"),"",_EngineCycles!AE36))</f>
        <v/>
      </c>
      <c r="M36" s="23" t="str">
        <f>IF(NOT(_EngineCycles!A36&lt;&gt;""),"",IF(NOT($R36="OK"),"",_EngineCycles!O36))</f>
        <v/>
      </c>
      <c r="N36" s="32" t="str">
        <f>IF(NOT(_EngineCycles!A36&lt;&gt;""),"",IF(NOT($R36="OK"),"",IF(_EngineCycles!E36="Closed",_EngineCycles!O36,"")))</f>
        <v/>
      </c>
      <c r="O36" s="33" t="str">
        <f>IF(NOT(_EngineCycles!A36&lt;&gt;""),"",IF(NOT($R36="OK"),"",_EngineCycles!Y36))</f>
        <v/>
      </c>
      <c r="P36" s="23" t="str">
        <f>IF(NOT(_EngineCycles!A36&lt;&gt;""),"",IF(NOT($R36="OK"),"",_EngineCycles!S36))</f>
        <v/>
      </c>
      <c r="Q36" s="30" t="str">
        <f>IF(_EngineCycles!A36="","",IF($R36&lt;&gt;"OK","Review",IF(_EngineCycles!E36="Closed","Closed","Open")))</f>
        <v/>
      </c>
      <c r="R36" s="24" t="str">
        <f>IF(_EngineCycles!A36="","",IF(COUNTIFS(Trades!$B$9:$B$508,_EngineCycles!B36,Trades!$C$9:$C$508,"&lt;&gt;"&amp;$B36,Trades!$A$9:$A$508,"&lt;&gt;")&gt;0,"Ticker mismatch",IF(COUNTIFS(Trades!$B$9:$B$508,_EngineCycles!B36,Trades!$D$9:$D$508,"&lt;&gt;"&amp;$C36,Trades!$A$9:$A$508,"&lt;&gt;")&gt;0,"Currency mismatch",IF(COUNTIFS(Trades!$B$9:$B$508,_EngineCycles!B36,Trades!$S$9:$S$508,"&lt;&gt;OK",Trades!$A$9:$A$508,"&lt;&gt;")&gt;0,"Check trades","OK"))))</f>
        <v/>
      </c>
      <c r="S36" s="34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P$9:$P$508),0),"")))</f>
        <v/>
      </c>
      <c r="T36" s="31" t="str">
        <f>IF(NOT(_EngineCycles!A36&lt;&gt;""),"",IF(NOT($R36="OK"),"",_EngineCycles!W36))</f>
        <v/>
      </c>
      <c r="U36" s="22"/>
      <c r="V36" s="22"/>
      <c r="W36" s="22"/>
      <c r="X36" s="22"/>
      <c r="Y36" t="str">
        <f>IF(AND($C36=Overview!$P$2,$Q36="Open",$R36="OK"),COUNTIFS($C$9:$C36,Overview!$P$2,$Q$9:$Q36,"Open",$R$9:$R36,"OK"),"")</f>
        <v/>
      </c>
    </row>
    <row r="37" spans="1:25" ht="23.1" customHeight="1" x14ac:dyDescent="0.25">
      <c r="A37" s="18" t="str">
        <f>IF(_EngineCycles!A37="","",_EngineCycles!B37&amp;IF(_EngineCycles!C37&gt;1," / "&amp;_EngineCycles!C37,""))</f>
        <v/>
      </c>
      <c r="B37" s="18" t="str">
        <f>IF(_EngineCycles!A37="","",_EngineCycles!D37)</f>
        <v/>
      </c>
      <c r="C37" s="18" t="str">
        <f>IF(_EngineCycles!A37="","",IFERROR(INDEX(Trades!$D$9:$D$508,_EngineCycles!AG37-8),""))</f>
        <v/>
      </c>
      <c r="D37" s="25" t="str">
        <f>IF(_EngineCycles!A37="","",IF($R37&lt;&gt;"OK","Review",IF(_EngineCycles!E37="Closed","Closed",IF(_EngineCycles!P37&gt;0,IF(IFERROR(LOOKUP(2,1/((_EngineTrades!$AU$9:$AU$508=_EngineCycles!A37)),_EngineTrades!$AQ$9:$AQ$508),0)&gt;0,"Covered Call","Shares Held"),"Cash-Secured Put"))))</f>
        <v/>
      </c>
      <c r="E37" s="26" t="str">
        <f>IF(NOT(_EngineCycles!A37&lt;&gt;""),"",IF(NOT($R37="OK"),"",_EngineCycles!P37))</f>
        <v/>
      </c>
      <c r="F37" s="17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AH$9:$AH$508),0),"")))</f>
        <v/>
      </c>
      <c r="G37" s="17" t="str">
        <f>IF(NOT(_EngineCycles!A37&lt;&gt;""),"",IF(NOT($R37="OK"),"",_EngineCycles!Q37))</f>
        <v/>
      </c>
      <c r="H37" s="27" t="str">
        <f>IF(NOT(_EngineCycles!A37&lt;&gt;""),"",IF(NOT($R37="OK"),"",_EngineCycles!J37))</f>
        <v/>
      </c>
      <c r="I37" s="17" t="str">
        <f>IF(NOT(_EngineCycles!A37&lt;&gt;""),"",IF(NOT($R37="OK"),"",_EngineCycles!I37))</f>
        <v/>
      </c>
      <c r="J37" s="17" t="str">
        <f>IF(NOT(_EngineCycles!A37&lt;&gt;""),"",IF(NOT($R37="OK"),"",_EngineCycles!L37))</f>
        <v/>
      </c>
      <c r="K37" s="17" t="str">
        <f>IF(NOT(_EngineCycles!A37&lt;&gt;""),"",IF(NOT($R37="OK"),"",_EngineCycles!U37))</f>
        <v/>
      </c>
      <c r="L37" s="27" t="str">
        <f>IF(NOT(_EngineCycles!A37&lt;&gt;""),"",IF(NOT($R37="OK"),"",_EngineCycles!AE37))</f>
        <v/>
      </c>
      <c r="M37" s="17" t="str">
        <f>IF(NOT(_EngineCycles!A37&lt;&gt;""),"",IF(NOT($R37="OK"),"",_EngineCycles!O37))</f>
        <v/>
      </c>
      <c r="N37" s="27" t="str">
        <f>IF(NOT(_EngineCycles!A37&lt;&gt;""),"",IF(NOT($R37="OK"),"",IF(_EngineCycles!E37="Closed",_EngineCycles!O37,"")))</f>
        <v/>
      </c>
      <c r="O37" s="28" t="str">
        <f>IF(NOT(_EngineCycles!A37&lt;&gt;""),"",IF(NOT($R37="OK"),"",_EngineCycles!Y37))</f>
        <v/>
      </c>
      <c r="P37" s="17" t="str">
        <f>IF(NOT(_EngineCycles!A37&lt;&gt;""),"",IF(NOT($R37="OK"),"",_EngineCycles!S37))</f>
        <v/>
      </c>
      <c r="Q37" s="25" t="str">
        <f>IF(_EngineCycles!A37="","",IF($R37&lt;&gt;"OK","Review",IF(_EngineCycles!E37="Closed","Closed","Open")))</f>
        <v/>
      </c>
      <c r="R37" s="18" t="str">
        <f>IF(_EngineCycles!A37="","",IF(COUNTIFS(Trades!$B$9:$B$508,_EngineCycles!B37,Trades!$C$9:$C$508,"&lt;&gt;"&amp;$B37,Trades!$A$9:$A$508,"&lt;&gt;")&gt;0,"Ticker mismatch",IF(COUNTIFS(Trades!$B$9:$B$508,_EngineCycles!B37,Trades!$D$9:$D$508,"&lt;&gt;"&amp;$C37,Trades!$A$9:$A$508,"&lt;&gt;")&gt;0,"Currency mismatch",IF(COUNTIFS(Trades!$B$9:$B$508,_EngineCycles!B37,Trades!$S$9:$S$508,"&lt;&gt;OK",Trades!$A$9:$A$508,"&lt;&gt;")&gt;0,"Check trades","OK"))))</f>
        <v/>
      </c>
      <c r="S37" s="29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P$9:$P$508),0),"")))</f>
        <v/>
      </c>
      <c r="T37" s="26" t="str">
        <f>IF(NOT(_EngineCycles!A37&lt;&gt;""),"",IF(NOT($R37="OK"),"",_EngineCycles!W37))</f>
        <v/>
      </c>
      <c r="U37" s="16"/>
      <c r="V37" s="16"/>
      <c r="W37" s="16"/>
      <c r="X37" s="16"/>
      <c r="Y37" t="str">
        <f>IF(AND($C37=Overview!$P$2,$Q37="Open",$R37="OK"),COUNTIFS($C$9:$C37,Overview!$P$2,$Q$9:$Q37,"Open",$R$9:$R37,"OK"),"")</f>
        <v/>
      </c>
    </row>
    <row r="38" spans="1:25" ht="23.1" customHeight="1" x14ac:dyDescent="0.25">
      <c r="A38" s="24" t="str">
        <f>IF(_EngineCycles!A38="","",_EngineCycles!B38&amp;IF(_EngineCycles!C38&gt;1," / "&amp;_EngineCycles!C38,""))</f>
        <v/>
      </c>
      <c r="B38" s="24" t="str">
        <f>IF(_EngineCycles!A38="","",_EngineCycles!D38)</f>
        <v/>
      </c>
      <c r="C38" s="24" t="str">
        <f>IF(_EngineCycles!A38="","",IFERROR(INDEX(Trades!$D$9:$D$508,_EngineCycles!AG38-8),""))</f>
        <v/>
      </c>
      <c r="D38" s="30" t="str">
        <f>IF(_EngineCycles!A38="","",IF($R38&lt;&gt;"OK","Review",IF(_EngineCycles!E38="Closed","Closed",IF(_EngineCycles!P38&gt;0,IF(IFERROR(LOOKUP(2,1/((_EngineTrades!$AU$9:$AU$508=_EngineCycles!A38)),_EngineTrades!$AQ$9:$AQ$508),0)&gt;0,"Covered Call","Shares Held"),"Cash-Secured Put"))))</f>
        <v/>
      </c>
      <c r="E38" s="31" t="str">
        <f>IF(NOT(_EngineCycles!A38&lt;&gt;""),"",IF(NOT($R38="OK"),"",_EngineCycles!P38))</f>
        <v/>
      </c>
      <c r="F38" s="23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AH$9:$AH$508),0),"")))</f>
        <v/>
      </c>
      <c r="G38" s="23" t="str">
        <f>IF(NOT(_EngineCycles!A38&lt;&gt;""),"",IF(NOT($R38="OK"),"",_EngineCycles!Q38))</f>
        <v/>
      </c>
      <c r="H38" s="32" t="str">
        <f>IF(NOT(_EngineCycles!A38&lt;&gt;""),"",IF(NOT($R38="OK"),"",_EngineCycles!J38))</f>
        <v/>
      </c>
      <c r="I38" s="23" t="str">
        <f>IF(NOT(_EngineCycles!A38&lt;&gt;""),"",IF(NOT($R38="OK"),"",_EngineCycles!I38))</f>
        <v/>
      </c>
      <c r="J38" s="23" t="str">
        <f>IF(NOT(_EngineCycles!A38&lt;&gt;""),"",IF(NOT($R38="OK"),"",_EngineCycles!L38))</f>
        <v/>
      </c>
      <c r="K38" s="23" t="str">
        <f>IF(NOT(_EngineCycles!A38&lt;&gt;""),"",IF(NOT($R38="OK"),"",_EngineCycles!U38))</f>
        <v/>
      </c>
      <c r="L38" s="32" t="str">
        <f>IF(NOT(_EngineCycles!A38&lt;&gt;""),"",IF(NOT($R38="OK"),"",_EngineCycles!AE38))</f>
        <v/>
      </c>
      <c r="M38" s="23" t="str">
        <f>IF(NOT(_EngineCycles!A38&lt;&gt;""),"",IF(NOT($R38="OK"),"",_EngineCycles!O38))</f>
        <v/>
      </c>
      <c r="N38" s="32" t="str">
        <f>IF(NOT(_EngineCycles!A38&lt;&gt;""),"",IF(NOT($R38="OK"),"",IF(_EngineCycles!E38="Closed",_EngineCycles!O38,"")))</f>
        <v/>
      </c>
      <c r="O38" s="33" t="str">
        <f>IF(NOT(_EngineCycles!A38&lt;&gt;""),"",IF(NOT($R38="OK"),"",_EngineCycles!Y38))</f>
        <v/>
      </c>
      <c r="P38" s="23" t="str">
        <f>IF(NOT(_EngineCycles!A38&lt;&gt;""),"",IF(NOT($R38="OK"),"",_EngineCycles!S38))</f>
        <v/>
      </c>
      <c r="Q38" s="30" t="str">
        <f>IF(_EngineCycles!A38="","",IF($R38&lt;&gt;"OK","Review",IF(_EngineCycles!E38="Closed","Closed","Open")))</f>
        <v/>
      </c>
      <c r="R38" s="24" t="str">
        <f>IF(_EngineCycles!A38="","",IF(COUNTIFS(Trades!$B$9:$B$508,_EngineCycles!B38,Trades!$C$9:$C$508,"&lt;&gt;"&amp;$B38,Trades!$A$9:$A$508,"&lt;&gt;")&gt;0,"Ticker mismatch",IF(COUNTIFS(Trades!$B$9:$B$508,_EngineCycles!B38,Trades!$D$9:$D$508,"&lt;&gt;"&amp;$C38,Trades!$A$9:$A$508,"&lt;&gt;")&gt;0,"Currency mismatch",IF(COUNTIFS(Trades!$B$9:$B$508,_EngineCycles!B38,Trades!$S$9:$S$508,"&lt;&gt;OK",Trades!$A$9:$A$508,"&lt;&gt;")&gt;0,"Check trades","OK"))))</f>
        <v/>
      </c>
      <c r="S38" s="34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P$9:$P$508),0),"")))</f>
        <v/>
      </c>
      <c r="T38" s="31" t="str">
        <f>IF(NOT(_EngineCycles!A38&lt;&gt;""),"",IF(NOT($R38="OK"),"",_EngineCycles!W38))</f>
        <v/>
      </c>
      <c r="U38" s="22"/>
      <c r="V38" s="22"/>
      <c r="W38" s="22"/>
      <c r="X38" s="22"/>
      <c r="Y38" t="str">
        <f>IF(AND($C38=Overview!$P$2,$Q38="Open",$R38="OK"),COUNTIFS($C$9:$C38,Overview!$P$2,$Q$9:$Q38,"Open",$R$9:$R38,"OK"),"")</f>
        <v/>
      </c>
    </row>
    <row r="39" spans="1:25" ht="23.1" customHeight="1" x14ac:dyDescent="0.25">
      <c r="A39" s="18" t="str">
        <f>IF(_EngineCycles!A39="","",_EngineCycles!B39&amp;IF(_EngineCycles!C39&gt;1," / "&amp;_EngineCycles!C39,""))</f>
        <v/>
      </c>
      <c r="B39" s="18" t="str">
        <f>IF(_EngineCycles!A39="","",_EngineCycles!D39)</f>
        <v/>
      </c>
      <c r="C39" s="18" t="str">
        <f>IF(_EngineCycles!A39="","",IFERROR(INDEX(Trades!$D$9:$D$508,_EngineCycles!AG39-8),""))</f>
        <v/>
      </c>
      <c r="D39" s="25" t="str">
        <f>IF(_EngineCycles!A39="","",IF($R39&lt;&gt;"OK","Review",IF(_EngineCycles!E39="Closed","Closed",IF(_EngineCycles!P39&gt;0,IF(IFERROR(LOOKUP(2,1/((_EngineTrades!$AU$9:$AU$508=_EngineCycles!A39)),_EngineTrades!$AQ$9:$AQ$508),0)&gt;0,"Covered Call","Shares Held"),"Cash-Secured Put"))))</f>
        <v/>
      </c>
      <c r="E39" s="26" t="str">
        <f>IF(NOT(_EngineCycles!A39&lt;&gt;""),"",IF(NOT($R39="OK"),"",_EngineCycles!P39))</f>
        <v/>
      </c>
      <c r="F39" s="17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AH$9:$AH$508),0),"")))</f>
        <v/>
      </c>
      <c r="G39" s="17" t="str">
        <f>IF(NOT(_EngineCycles!A39&lt;&gt;""),"",IF(NOT($R39="OK"),"",_EngineCycles!Q39))</f>
        <v/>
      </c>
      <c r="H39" s="27" t="str">
        <f>IF(NOT(_EngineCycles!A39&lt;&gt;""),"",IF(NOT($R39="OK"),"",_EngineCycles!J39))</f>
        <v/>
      </c>
      <c r="I39" s="17" t="str">
        <f>IF(NOT(_EngineCycles!A39&lt;&gt;""),"",IF(NOT($R39="OK"),"",_EngineCycles!I39))</f>
        <v/>
      </c>
      <c r="J39" s="17" t="str">
        <f>IF(NOT(_EngineCycles!A39&lt;&gt;""),"",IF(NOT($R39="OK"),"",_EngineCycles!L39))</f>
        <v/>
      </c>
      <c r="K39" s="17" t="str">
        <f>IF(NOT(_EngineCycles!A39&lt;&gt;""),"",IF(NOT($R39="OK"),"",_EngineCycles!U39))</f>
        <v/>
      </c>
      <c r="L39" s="27" t="str">
        <f>IF(NOT(_EngineCycles!A39&lt;&gt;""),"",IF(NOT($R39="OK"),"",_EngineCycles!AE39))</f>
        <v/>
      </c>
      <c r="M39" s="17" t="str">
        <f>IF(NOT(_EngineCycles!A39&lt;&gt;""),"",IF(NOT($R39="OK"),"",_EngineCycles!O39))</f>
        <v/>
      </c>
      <c r="N39" s="27" t="str">
        <f>IF(NOT(_EngineCycles!A39&lt;&gt;""),"",IF(NOT($R39="OK"),"",IF(_EngineCycles!E39="Closed",_EngineCycles!O39,"")))</f>
        <v/>
      </c>
      <c r="O39" s="28" t="str">
        <f>IF(NOT(_EngineCycles!A39&lt;&gt;""),"",IF(NOT($R39="OK"),"",_EngineCycles!Y39))</f>
        <v/>
      </c>
      <c r="P39" s="17" t="str">
        <f>IF(NOT(_EngineCycles!A39&lt;&gt;""),"",IF(NOT($R39="OK"),"",_EngineCycles!S39))</f>
        <v/>
      </c>
      <c r="Q39" s="25" t="str">
        <f>IF(_EngineCycles!A39="","",IF($R39&lt;&gt;"OK","Review",IF(_EngineCycles!E39="Closed","Closed","Open")))</f>
        <v/>
      </c>
      <c r="R39" s="18" t="str">
        <f>IF(_EngineCycles!A39="","",IF(COUNTIFS(Trades!$B$9:$B$508,_EngineCycles!B39,Trades!$C$9:$C$508,"&lt;&gt;"&amp;$B39,Trades!$A$9:$A$508,"&lt;&gt;")&gt;0,"Ticker mismatch",IF(COUNTIFS(Trades!$B$9:$B$508,_EngineCycles!B39,Trades!$D$9:$D$508,"&lt;&gt;"&amp;$C39,Trades!$A$9:$A$508,"&lt;&gt;")&gt;0,"Currency mismatch",IF(COUNTIFS(Trades!$B$9:$B$508,_EngineCycles!B39,Trades!$S$9:$S$508,"&lt;&gt;OK",Trades!$A$9:$A$508,"&lt;&gt;")&gt;0,"Check trades","OK"))))</f>
        <v/>
      </c>
      <c r="S39" s="29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P$9:$P$508),0),"")))</f>
        <v/>
      </c>
      <c r="T39" s="26" t="str">
        <f>IF(NOT(_EngineCycles!A39&lt;&gt;""),"",IF(NOT($R39="OK"),"",_EngineCycles!W39))</f>
        <v/>
      </c>
      <c r="U39" s="16"/>
      <c r="V39" s="16"/>
      <c r="W39" s="16"/>
      <c r="X39" s="16"/>
      <c r="Y39" t="str">
        <f>IF(AND($C39=Overview!$P$2,$Q39="Open",$R39="OK"),COUNTIFS($C$9:$C39,Overview!$P$2,$Q$9:$Q39,"Open",$R$9:$R39,"OK"),"")</f>
        <v/>
      </c>
    </row>
    <row r="40" spans="1:25" ht="23.1" customHeight="1" x14ac:dyDescent="0.25">
      <c r="A40" s="24" t="str">
        <f>IF(_EngineCycles!A40="","",_EngineCycles!B40&amp;IF(_EngineCycles!C40&gt;1," / "&amp;_EngineCycles!C40,""))</f>
        <v/>
      </c>
      <c r="B40" s="24" t="str">
        <f>IF(_EngineCycles!A40="","",_EngineCycles!D40)</f>
        <v/>
      </c>
      <c r="C40" s="24" t="str">
        <f>IF(_EngineCycles!A40="","",IFERROR(INDEX(Trades!$D$9:$D$508,_EngineCycles!AG40-8),""))</f>
        <v/>
      </c>
      <c r="D40" s="30" t="str">
        <f>IF(_EngineCycles!A40="","",IF($R40&lt;&gt;"OK","Review",IF(_EngineCycles!E40="Closed","Closed",IF(_EngineCycles!P40&gt;0,IF(IFERROR(LOOKUP(2,1/((_EngineTrades!$AU$9:$AU$508=_EngineCycles!A40)),_EngineTrades!$AQ$9:$AQ$508),0)&gt;0,"Covered Call","Shares Held"),"Cash-Secured Put"))))</f>
        <v/>
      </c>
      <c r="E40" s="31" t="str">
        <f>IF(NOT(_EngineCycles!A40&lt;&gt;""),"",IF(NOT($R40="OK"),"",_EngineCycles!P40))</f>
        <v/>
      </c>
      <c r="F40" s="23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AH$9:$AH$508),0),"")))</f>
        <v/>
      </c>
      <c r="G40" s="23" t="str">
        <f>IF(NOT(_EngineCycles!A40&lt;&gt;""),"",IF(NOT($R40="OK"),"",_EngineCycles!Q40))</f>
        <v/>
      </c>
      <c r="H40" s="32" t="str">
        <f>IF(NOT(_EngineCycles!A40&lt;&gt;""),"",IF(NOT($R40="OK"),"",_EngineCycles!J40))</f>
        <v/>
      </c>
      <c r="I40" s="23" t="str">
        <f>IF(NOT(_EngineCycles!A40&lt;&gt;""),"",IF(NOT($R40="OK"),"",_EngineCycles!I40))</f>
        <v/>
      </c>
      <c r="J40" s="23" t="str">
        <f>IF(NOT(_EngineCycles!A40&lt;&gt;""),"",IF(NOT($R40="OK"),"",_EngineCycles!L40))</f>
        <v/>
      </c>
      <c r="K40" s="23" t="str">
        <f>IF(NOT(_EngineCycles!A40&lt;&gt;""),"",IF(NOT($R40="OK"),"",_EngineCycles!U40))</f>
        <v/>
      </c>
      <c r="L40" s="32" t="str">
        <f>IF(NOT(_EngineCycles!A40&lt;&gt;""),"",IF(NOT($R40="OK"),"",_EngineCycles!AE40))</f>
        <v/>
      </c>
      <c r="M40" s="23" t="str">
        <f>IF(NOT(_EngineCycles!A40&lt;&gt;""),"",IF(NOT($R40="OK"),"",_EngineCycles!O40))</f>
        <v/>
      </c>
      <c r="N40" s="32" t="str">
        <f>IF(NOT(_EngineCycles!A40&lt;&gt;""),"",IF(NOT($R40="OK"),"",IF(_EngineCycles!E40="Closed",_EngineCycles!O40,"")))</f>
        <v/>
      </c>
      <c r="O40" s="33" t="str">
        <f>IF(NOT(_EngineCycles!A40&lt;&gt;""),"",IF(NOT($R40="OK"),"",_EngineCycles!Y40))</f>
        <v/>
      </c>
      <c r="P40" s="23" t="str">
        <f>IF(NOT(_EngineCycles!A40&lt;&gt;""),"",IF(NOT($R40="OK"),"",_EngineCycles!S40))</f>
        <v/>
      </c>
      <c r="Q40" s="30" t="str">
        <f>IF(_EngineCycles!A40="","",IF($R40&lt;&gt;"OK","Review",IF(_EngineCycles!E40="Closed","Closed","Open")))</f>
        <v/>
      </c>
      <c r="R40" s="24" t="str">
        <f>IF(_EngineCycles!A40="","",IF(COUNTIFS(Trades!$B$9:$B$508,_EngineCycles!B40,Trades!$C$9:$C$508,"&lt;&gt;"&amp;$B40,Trades!$A$9:$A$508,"&lt;&gt;")&gt;0,"Ticker mismatch",IF(COUNTIFS(Trades!$B$9:$B$508,_EngineCycles!B40,Trades!$D$9:$D$508,"&lt;&gt;"&amp;$C40,Trades!$A$9:$A$508,"&lt;&gt;")&gt;0,"Currency mismatch",IF(COUNTIFS(Trades!$B$9:$B$508,_EngineCycles!B40,Trades!$S$9:$S$508,"&lt;&gt;OK",Trades!$A$9:$A$508,"&lt;&gt;")&gt;0,"Check trades","OK"))))</f>
        <v/>
      </c>
      <c r="S40" s="34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P$9:$P$508),0),"")))</f>
        <v/>
      </c>
      <c r="T40" s="31" t="str">
        <f>IF(NOT(_EngineCycles!A40&lt;&gt;""),"",IF(NOT($R40="OK"),"",_EngineCycles!W40))</f>
        <v/>
      </c>
      <c r="U40" s="22"/>
      <c r="V40" s="22"/>
      <c r="W40" s="22"/>
      <c r="X40" s="22"/>
      <c r="Y40" t="str">
        <f>IF(AND($C40=Overview!$P$2,$Q40="Open",$R40="OK"),COUNTIFS($C$9:$C40,Overview!$P$2,$Q$9:$Q40,"Open",$R$9:$R40,"OK"),"")</f>
        <v/>
      </c>
    </row>
    <row r="41" spans="1:25" ht="23.1" customHeight="1" x14ac:dyDescent="0.25">
      <c r="A41" s="18" t="str">
        <f>IF(_EngineCycles!A41="","",_EngineCycles!B41&amp;IF(_EngineCycles!C41&gt;1," / "&amp;_EngineCycles!C41,""))</f>
        <v/>
      </c>
      <c r="B41" s="18" t="str">
        <f>IF(_EngineCycles!A41="","",_EngineCycles!D41)</f>
        <v/>
      </c>
      <c r="C41" s="18" t="str">
        <f>IF(_EngineCycles!A41="","",IFERROR(INDEX(Trades!$D$9:$D$508,_EngineCycles!AG41-8),""))</f>
        <v/>
      </c>
      <c r="D41" s="25" t="str">
        <f>IF(_EngineCycles!A41="","",IF($R41&lt;&gt;"OK","Review",IF(_EngineCycles!E41="Closed","Closed",IF(_EngineCycles!P41&gt;0,IF(IFERROR(LOOKUP(2,1/((_EngineTrades!$AU$9:$AU$508=_EngineCycles!A41)),_EngineTrades!$AQ$9:$AQ$508),0)&gt;0,"Covered Call","Shares Held"),"Cash-Secured Put"))))</f>
        <v/>
      </c>
      <c r="E41" s="26" t="str">
        <f>IF(NOT(_EngineCycles!A41&lt;&gt;""),"",IF(NOT($R41="OK"),"",_EngineCycles!P41))</f>
        <v/>
      </c>
      <c r="F41" s="17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AH$9:$AH$508),0),"")))</f>
        <v/>
      </c>
      <c r="G41" s="17" t="str">
        <f>IF(NOT(_EngineCycles!A41&lt;&gt;""),"",IF(NOT($R41="OK"),"",_EngineCycles!Q41))</f>
        <v/>
      </c>
      <c r="H41" s="27" t="str">
        <f>IF(NOT(_EngineCycles!A41&lt;&gt;""),"",IF(NOT($R41="OK"),"",_EngineCycles!J41))</f>
        <v/>
      </c>
      <c r="I41" s="17" t="str">
        <f>IF(NOT(_EngineCycles!A41&lt;&gt;""),"",IF(NOT($R41="OK"),"",_EngineCycles!I41))</f>
        <v/>
      </c>
      <c r="J41" s="17" t="str">
        <f>IF(NOT(_EngineCycles!A41&lt;&gt;""),"",IF(NOT($R41="OK"),"",_EngineCycles!L41))</f>
        <v/>
      </c>
      <c r="K41" s="17" t="str">
        <f>IF(NOT(_EngineCycles!A41&lt;&gt;""),"",IF(NOT($R41="OK"),"",_EngineCycles!U41))</f>
        <v/>
      </c>
      <c r="L41" s="27" t="str">
        <f>IF(NOT(_EngineCycles!A41&lt;&gt;""),"",IF(NOT($R41="OK"),"",_EngineCycles!AE41))</f>
        <v/>
      </c>
      <c r="M41" s="17" t="str">
        <f>IF(NOT(_EngineCycles!A41&lt;&gt;""),"",IF(NOT($R41="OK"),"",_EngineCycles!O41))</f>
        <v/>
      </c>
      <c r="N41" s="27" t="str">
        <f>IF(NOT(_EngineCycles!A41&lt;&gt;""),"",IF(NOT($R41="OK"),"",IF(_EngineCycles!E41="Closed",_EngineCycles!O41,"")))</f>
        <v/>
      </c>
      <c r="O41" s="28" t="str">
        <f>IF(NOT(_EngineCycles!A41&lt;&gt;""),"",IF(NOT($R41="OK"),"",_EngineCycles!Y41))</f>
        <v/>
      </c>
      <c r="P41" s="17" t="str">
        <f>IF(NOT(_EngineCycles!A41&lt;&gt;""),"",IF(NOT($R41="OK"),"",_EngineCycles!S41))</f>
        <v/>
      </c>
      <c r="Q41" s="25" t="str">
        <f>IF(_EngineCycles!A41="","",IF($R41&lt;&gt;"OK","Review",IF(_EngineCycles!E41="Closed","Closed","Open")))</f>
        <v/>
      </c>
      <c r="R41" s="18" t="str">
        <f>IF(_EngineCycles!A41="","",IF(COUNTIFS(Trades!$B$9:$B$508,_EngineCycles!B41,Trades!$C$9:$C$508,"&lt;&gt;"&amp;$B41,Trades!$A$9:$A$508,"&lt;&gt;")&gt;0,"Ticker mismatch",IF(COUNTIFS(Trades!$B$9:$B$508,_EngineCycles!B41,Trades!$D$9:$D$508,"&lt;&gt;"&amp;$C41,Trades!$A$9:$A$508,"&lt;&gt;")&gt;0,"Currency mismatch",IF(COUNTIFS(Trades!$B$9:$B$508,_EngineCycles!B41,Trades!$S$9:$S$508,"&lt;&gt;OK",Trades!$A$9:$A$508,"&lt;&gt;")&gt;0,"Check trades","OK"))))</f>
        <v/>
      </c>
      <c r="S41" s="29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P$9:$P$508),0),"")))</f>
        <v/>
      </c>
      <c r="T41" s="26" t="str">
        <f>IF(NOT(_EngineCycles!A41&lt;&gt;""),"",IF(NOT($R41="OK"),"",_EngineCycles!W41))</f>
        <v/>
      </c>
      <c r="U41" s="16"/>
      <c r="V41" s="16"/>
      <c r="W41" s="16"/>
      <c r="X41" s="16"/>
      <c r="Y41" t="str">
        <f>IF(AND($C41=Overview!$P$2,$Q41="Open",$R41="OK"),COUNTIFS($C$9:$C41,Overview!$P$2,$Q$9:$Q41,"Open",$R$9:$R41,"OK"),"")</f>
        <v/>
      </c>
    </row>
    <row r="42" spans="1:25" ht="23.1" customHeight="1" x14ac:dyDescent="0.25">
      <c r="A42" s="24" t="str">
        <f>IF(_EngineCycles!A42="","",_EngineCycles!B42&amp;IF(_EngineCycles!C42&gt;1," / "&amp;_EngineCycles!C42,""))</f>
        <v/>
      </c>
      <c r="B42" s="24" t="str">
        <f>IF(_EngineCycles!A42="","",_EngineCycles!D42)</f>
        <v/>
      </c>
      <c r="C42" s="24" t="str">
        <f>IF(_EngineCycles!A42="","",IFERROR(INDEX(Trades!$D$9:$D$508,_EngineCycles!AG42-8),""))</f>
        <v/>
      </c>
      <c r="D42" s="30" t="str">
        <f>IF(_EngineCycles!A42="","",IF($R42&lt;&gt;"OK","Review",IF(_EngineCycles!E42="Closed","Closed",IF(_EngineCycles!P42&gt;0,IF(IFERROR(LOOKUP(2,1/((_EngineTrades!$AU$9:$AU$508=_EngineCycles!A42)),_EngineTrades!$AQ$9:$AQ$508),0)&gt;0,"Covered Call","Shares Held"),"Cash-Secured Put"))))</f>
        <v/>
      </c>
      <c r="E42" s="31" t="str">
        <f>IF(NOT(_EngineCycles!A42&lt;&gt;""),"",IF(NOT($R42="OK"),"",_EngineCycles!P42))</f>
        <v/>
      </c>
      <c r="F42" s="23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AH$9:$AH$508),0),"")))</f>
        <v/>
      </c>
      <c r="G42" s="23" t="str">
        <f>IF(NOT(_EngineCycles!A42&lt;&gt;""),"",IF(NOT($R42="OK"),"",_EngineCycles!Q42))</f>
        <v/>
      </c>
      <c r="H42" s="32" t="str">
        <f>IF(NOT(_EngineCycles!A42&lt;&gt;""),"",IF(NOT($R42="OK"),"",_EngineCycles!J42))</f>
        <v/>
      </c>
      <c r="I42" s="23" t="str">
        <f>IF(NOT(_EngineCycles!A42&lt;&gt;""),"",IF(NOT($R42="OK"),"",_EngineCycles!I42))</f>
        <v/>
      </c>
      <c r="J42" s="23" t="str">
        <f>IF(NOT(_EngineCycles!A42&lt;&gt;""),"",IF(NOT($R42="OK"),"",_EngineCycles!L42))</f>
        <v/>
      </c>
      <c r="K42" s="23" t="str">
        <f>IF(NOT(_EngineCycles!A42&lt;&gt;""),"",IF(NOT($R42="OK"),"",_EngineCycles!U42))</f>
        <v/>
      </c>
      <c r="L42" s="32" t="str">
        <f>IF(NOT(_EngineCycles!A42&lt;&gt;""),"",IF(NOT($R42="OK"),"",_EngineCycles!AE42))</f>
        <v/>
      </c>
      <c r="M42" s="23" t="str">
        <f>IF(NOT(_EngineCycles!A42&lt;&gt;""),"",IF(NOT($R42="OK"),"",_EngineCycles!O42))</f>
        <v/>
      </c>
      <c r="N42" s="32" t="str">
        <f>IF(NOT(_EngineCycles!A42&lt;&gt;""),"",IF(NOT($R42="OK"),"",IF(_EngineCycles!E42="Closed",_EngineCycles!O42,"")))</f>
        <v/>
      </c>
      <c r="O42" s="33" t="str">
        <f>IF(NOT(_EngineCycles!A42&lt;&gt;""),"",IF(NOT($R42="OK"),"",_EngineCycles!Y42))</f>
        <v/>
      </c>
      <c r="P42" s="23" t="str">
        <f>IF(NOT(_EngineCycles!A42&lt;&gt;""),"",IF(NOT($R42="OK"),"",_EngineCycles!S42))</f>
        <v/>
      </c>
      <c r="Q42" s="30" t="str">
        <f>IF(_EngineCycles!A42="","",IF($R42&lt;&gt;"OK","Review",IF(_EngineCycles!E42="Closed","Closed","Open")))</f>
        <v/>
      </c>
      <c r="R42" s="24" t="str">
        <f>IF(_EngineCycles!A42="","",IF(COUNTIFS(Trades!$B$9:$B$508,_EngineCycles!B42,Trades!$C$9:$C$508,"&lt;&gt;"&amp;$B42,Trades!$A$9:$A$508,"&lt;&gt;")&gt;0,"Ticker mismatch",IF(COUNTIFS(Trades!$B$9:$B$508,_EngineCycles!B42,Trades!$D$9:$D$508,"&lt;&gt;"&amp;$C42,Trades!$A$9:$A$508,"&lt;&gt;")&gt;0,"Currency mismatch",IF(COUNTIFS(Trades!$B$9:$B$508,_EngineCycles!B42,Trades!$S$9:$S$508,"&lt;&gt;OK",Trades!$A$9:$A$508,"&lt;&gt;")&gt;0,"Check trades","OK"))))</f>
        <v/>
      </c>
      <c r="S42" s="34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P$9:$P$508),0),"")))</f>
        <v/>
      </c>
      <c r="T42" s="31" t="str">
        <f>IF(NOT(_EngineCycles!A42&lt;&gt;""),"",IF(NOT($R42="OK"),"",_EngineCycles!W42))</f>
        <v/>
      </c>
      <c r="U42" s="22"/>
      <c r="V42" s="22"/>
      <c r="W42" s="22"/>
      <c r="X42" s="22"/>
      <c r="Y42" t="str">
        <f>IF(AND($C42=Overview!$P$2,$Q42="Open",$R42="OK"),COUNTIFS($C$9:$C42,Overview!$P$2,$Q$9:$Q42,"Open",$R$9:$R42,"OK"),"")</f>
        <v/>
      </c>
    </row>
    <row r="43" spans="1:25" ht="23.1" customHeight="1" x14ac:dyDescent="0.25">
      <c r="A43" s="18" t="str">
        <f>IF(_EngineCycles!A43="","",_EngineCycles!B43&amp;IF(_EngineCycles!C43&gt;1," / "&amp;_EngineCycles!C43,""))</f>
        <v/>
      </c>
      <c r="B43" s="18" t="str">
        <f>IF(_EngineCycles!A43="","",_EngineCycles!D43)</f>
        <v/>
      </c>
      <c r="C43" s="18" t="str">
        <f>IF(_EngineCycles!A43="","",IFERROR(INDEX(Trades!$D$9:$D$508,_EngineCycles!AG43-8),""))</f>
        <v/>
      </c>
      <c r="D43" s="25" t="str">
        <f>IF(_EngineCycles!A43="","",IF($R43&lt;&gt;"OK","Review",IF(_EngineCycles!E43="Closed","Closed",IF(_EngineCycles!P43&gt;0,IF(IFERROR(LOOKUP(2,1/((_EngineTrades!$AU$9:$AU$508=_EngineCycles!A43)),_EngineTrades!$AQ$9:$AQ$508),0)&gt;0,"Covered Call","Shares Held"),"Cash-Secured Put"))))</f>
        <v/>
      </c>
      <c r="E43" s="26" t="str">
        <f>IF(NOT(_EngineCycles!A43&lt;&gt;""),"",IF(NOT($R43="OK"),"",_EngineCycles!P43))</f>
        <v/>
      </c>
      <c r="F43" s="17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AH$9:$AH$508),0),"")))</f>
        <v/>
      </c>
      <c r="G43" s="17" t="str">
        <f>IF(NOT(_EngineCycles!A43&lt;&gt;""),"",IF(NOT($R43="OK"),"",_EngineCycles!Q43))</f>
        <v/>
      </c>
      <c r="H43" s="27" t="str">
        <f>IF(NOT(_EngineCycles!A43&lt;&gt;""),"",IF(NOT($R43="OK"),"",_EngineCycles!J43))</f>
        <v/>
      </c>
      <c r="I43" s="17" t="str">
        <f>IF(NOT(_EngineCycles!A43&lt;&gt;""),"",IF(NOT($R43="OK"),"",_EngineCycles!I43))</f>
        <v/>
      </c>
      <c r="J43" s="17" t="str">
        <f>IF(NOT(_EngineCycles!A43&lt;&gt;""),"",IF(NOT($R43="OK"),"",_EngineCycles!L43))</f>
        <v/>
      </c>
      <c r="K43" s="17" t="str">
        <f>IF(NOT(_EngineCycles!A43&lt;&gt;""),"",IF(NOT($R43="OK"),"",_EngineCycles!U43))</f>
        <v/>
      </c>
      <c r="L43" s="27" t="str">
        <f>IF(NOT(_EngineCycles!A43&lt;&gt;""),"",IF(NOT($R43="OK"),"",_EngineCycles!AE43))</f>
        <v/>
      </c>
      <c r="M43" s="17" t="str">
        <f>IF(NOT(_EngineCycles!A43&lt;&gt;""),"",IF(NOT($R43="OK"),"",_EngineCycles!O43))</f>
        <v/>
      </c>
      <c r="N43" s="27" t="str">
        <f>IF(NOT(_EngineCycles!A43&lt;&gt;""),"",IF(NOT($R43="OK"),"",IF(_EngineCycles!E43="Closed",_EngineCycles!O43,"")))</f>
        <v/>
      </c>
      <c r="O43" s="28" t="str">
        <f>IF(NOT(_EngineCycles!A43&lt;&gt;""),"",IF(NOT($R43="OK"),"",_EngineCycles!Y43))</f>
        <v/>
      </c>
      <c r="P43" s="17" t="str">
        <f>IF(NOT(_EngineCycles!A43&lt;&gt;""),"",IF(NOT($R43="OK"),"",_EngineCycles!S43))</f>
        <v/>
      </c>
      <c r="Q43" s="25" t="str">
        <f>IF(_EngineCycles!A43="","",IF($R43&lt;&gt;"OK","Review",IF(_EngineCycles!E43="Closed","Closed","Open")))</f>
        <v/>
      </c>
      <c r="R43" s="18" t="str">
        <f>IF(_EngineCycles!A43="","",IF(COUNTIFS(Trades!$B$9:$B$508,_EngineCycles!B43,Trades!$C$9:$C$508,"&lt;&gt;"&amp;$B43,Trades!$A$9:$A$508,"&lt;&gt;")&gt;0,"Ticker mismatch",IF(COUNTIFS(Trades!$B$9:$B$508,_EngineCycles!B43,Trades!$D$9:$D$508,"&lt;&gt;"&amp;$C43,Trades!$A$9:$A$508,"&lt;&gt;")&gt;0,"Currency mismatch",IF(COUNTIFS(Trades!$B$9:$B$508,_EngineCycles!B43,Trades!$S$9:$S$508,"&lt;&gt;OK",Trades!$A$9:$A$508,"&lt;&gt;")&gt;0,"Check trades","OK"))))</f>
        <v/>
      </c>
      <c r="S43" s="29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P$9:$P$508),0),"")))</f>
        <v/>
      </c>
      <c r="T43" s="26" t="str">
        <f>IF(NOT(_EngineCycles!A43&lt;&gt;""),"",IF(NOT($R43="OK"),"",_EngineCycles!W43))</f>
        <v/>
      </c>
      <c r="U43" s="16"/>
      <c r="V43" s="16"/>
      <c r="W43" s="16"/>
      <c r="X43" s="16"/>
      <c r="Y43" t="str">
        <f>IF(AND($C43=Overview!$P$2,$Q43="Open",$R43="OK"),COUNTIFS($C$9:$C43,Overview!$P$2,$Q$9:$Q43,"Open",$R$9:$R43,"OK"),"")</f>
        <v/>
      </c>
    </row>
    <row r="44" spans="1:25" ht="23.1" customHeight="1" x14ac:dyDescent="0.25">
      <c r="A44" s="24" t="str">
        <f>IF(_EngineCycles!A44="","",_EngineCycles!B44&amp;IF(_EngineCycles!C44&gt;1," / "&amp;_EngineCycles!C44,""))</f>
        <v/>
      </c>
      <c r="B44" s="24" t="str">
        <f>IF(_EngineCycles!A44="","",_EngineCycles!D44)</f>
        <v/>
      </c>
      <c r="C44" s="24" t="str">
        <f>IF(_EngineCycles!A44="","",IFERROR(INDEX(Trades!$D$9:$D$508,_EngineCycles!AG44-8),""))</f>
        <v/>
      </c>
      <c r="D44" s="30" t="str">
        <f>IF(_EngineCycles!A44="","",IF($R44&lt;&gt;"OK","Review",IF(_EngineCycles!E44="Closed","Closed",IF(_EngineCycles!P44&gt;0,IF(IFERROR(LOOKUP(2,1/((_EngineTrades!$AU$9:$AU$508=_EngineCycles!A44)),_EngineTrades!$AQ$9:$AQ$508),0)&gt;0,"Covered Call","Shares Held"),"Cash-Secured Put"))))</f>
        <v/>
      </c>
      <c r="E44" s="31" t="str">
        <f>IF(NOT(_EngineCycles!A44&lt;&gt;""),"",IF(NOT($R44="OK"),"",_EngineCycles!P44))</f>
        <v/>
      </c>
      <c r="F44" s="23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AH$9:$AH$508),0),"")))</f>
        <v/>
      </c>
      <c r="G44" s="23" t="str">
        <f>IF(NOT(_EngineCycles!A44&lt;&gt;""),"",IF(NOT($R44="OK"),"",_EngineCycles!Q44))</f>
        <v/>
      </c>
      <c r="H44" s="32" t="str">
        <f>IF(NOT(_EngineCycles!A44&lt;&gt;""),"",IF(NOT($R44="OK"),"",_EngineCycles!J44))</f>
        <v/>
      </c>
      <c r="I44" s="23" t="str">
        <f>IF(NOT(_EngineCycles!A44&lt;&gt;""),"",IF(NOT($R44="OK"),"",_EngineCycles!I44))</f>
        <v/>
      </c>
      <c r="J44" s="23" t="str">
        <f>IF(NOT(_EngineCycles!A44&lt;&gt;""),"",IF(NOT($R44="OK"),"",_EngineCycles!L44))</f>
        <v/>
      </c>
      <c r="K44" s="23" t="str">
        <f>IF(NOT(_EngineCycles!A44&lt;&gt;""),"",IF(NOT($R44="OK"),"",_EngineCycles!U44))</f>
        <v/>
      </c>
      <c r="L44" s="32" t="str">
        <f>IF(NOT(_EngineCycles!A44&lt;&gt;""),"",IF(NOT($R44="OK"),"",_EngineCycles!AE44))</f>
        <v/>
      </c>
      <c r="M44" s="23" t="str">
        <f>IF(NOT(_EngineCycles!A44&lt;&gt;""),"",IF(NOT($R44="OK"),"",_EngineCycles!O44))</f>
        <v/>
      </c>
      <c r="N44" s="32" t="str">
        <f>IF(NOT(_EngineCycles!A44&lt;&gt;""),"",IF(NOT($R44="OK"),"",IF(_EngineCycles!E44="Closed",_EngineCycles!O44,"")))</f>
        <v/>
      </c>
      <c r="O44" s="33" t="str">
        <f>IF(NOT(_EngineCycles!A44&lt;&gt;""),"",IF(NOT($R44="OK"),"",_EngineCycles!Y44))</f>
        <v/>
      </c>
      <c r="P44" s="23" t="str">
        <f>IF(NOT(_EngineCycles!A44&lt;&gt;""),"",IF(NOT($R44="OK"),"",_EngineCycles!S44))</f>
        <v/>
      </c>
      <c r="Q44" s="30" t="str">
        <f>IF(_EngineCycles!A44="","",IF($R44&lt;&gt;"OK","Review",IF(_EngineCycles!E44="Closed","Closed","Open")))</f>
        <v/>
      </c>
      <c r="R44" s="24" t="str">
        <f>IF(_EngineCycles!A44="","",IF(COUNTIFS(Trades!$B$9:$B$508,_EngineCycles!B44,Trades!$C$9:$C$508,"&lt;&gt;"&amp;$B44,Trades!$A$9:$A$508,"&lt;&gt;")&gt;0,"Ticker mismatch",IF(COUNTIFS(Trades!$B$9:$B$508,_EngineCycles!B44,Trades!$D$9:$D$508,"&lt;&gt;"&amp;$C44,Trades!$A$9:$A$508,"&lt;&gt;")&gt;0,"Currency mismatch",IF(COUNTIFS(Trades!$B$9:$B$508,_EngineCycles!B44,Trades!$S$9:$S$508,"&lt;&gt;OK",Trades!$A$9:$A$508,"&lt;&gt;")&gt;0,"Check trades","OK"))))</f>
        <v/>
      </c>
      <c r="S44" s="34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P$9:$P$508),0),"")))</f>
        <v/>
      </c>
      <c r="T44" s="31" t="str">
        <f>IF(NOT(_EngineCycles!A44&lt;&gt;""),"",IF(NOT($R44="OK"),"",_EngineCycles!W44))</f>
        <v/>
      </c>
      <c r="U44" s="22"/>
      <c r="V44" s="22"/>
      <c r="W44" s="22"/>
      <c r="X44" s="22"/>
      <c r="Y44" t="str">
        <f>IF(AND($C44=Overview!$P$2,$Q44="Open",$R44="OK"),COUNTIFS($C$9:$C44,Overview!$P$2,$Q$9:$Q44,"Open",$R$9:$R44,"OK"),"")</f>
        <v/>
      </c>
    </row>
    <row r="45" spans="1:25" ht="23.1" customHeight="1" x14ac:dyDescent="0.25">
      <c r="A45" s="18" t="str">
        <f>IF(_EngineCycles!A45="","",_EngineCycles!B45&amp;IF(_EngineCycles!C45&gt;1," / "&amp;_EngineCycles!C45,""))</f>
        <v/>
      </c>
      <c r="B45" s="18" t="str">
        <f>IF(_EngineCycles!A45="","",_EngineCycles!D45)</f>
        <v/>
      </c>
      <c r="C45" s="18" t="str">
        <f>IF(_EngineCycles!A45="","",IFERROR(INDEX(Trades!$D$9:$D$508,_EngineCycles!AG45-8),""))</f>
        <v/>
      </c>
      <c r="D45" s="25" t="str">
        <f>IF(_EngineCycles!A45="","",IF($R45&lt;&gt;"OK","Review",IF(_EngineCycles!E45="Closed","Closed",IF(_EngineCycles!P45&gt;0,IF(IFERROR(LOOKUP(2,1/((_EngineTrades!$AU$9:$AU$508=_EngineCycles!A45)),_EngineTrades!$AQ$9:$AQ$508),0)&gt;0,"Covered Call","Shares Held"),"Cash-Secured Put"))))</f>
        <v/>
      </c>
      <c r="E45" s="26" t="str">
        <f>IF(NOT(_EngineCycles!A45&lt;&gt;""),"",IF(NOT($R45="OK"),"",_EngineCycles!P45))</f>
        <v/>
      </c>
      <c r="F45" s="17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AH$9:$AH$508),0),"")))</f>
        <v/>
      </c>
      <c r="G45" s="17" t="str">
        <f>IF(NOT(_EngineCycles!A45&lt;&gt;""),"",IF(NOT($R45="OK"),"",_EngineCycles!Q45))</f>
        <v/>
      </c>
      <c r="H45" s="27" t="str">
        <f>IF(NOT(_EngineCycles!A45&lt;&gt;""),"",IF(NOT($R45="OK"),"",_EngineCycles!J45))</f>
        <v/>
      </c>
      <c r="I45" s="17" t="str">
        <f>IF(NOT(_EngineCycles!A45&lt;&gt;""),"",IF(NOT($R45="OK"),"",_EngineCycles!I45))</f>
        <v/>
      </c>
      <c r="J45" s="17" t="str">
        <f>IF(NOT(_EngineCycles!A45&lt;&gt;""),"",IF(NOT($R45="OK"),"",_EngineCycles!L45))</f>
        <v/>
      </c>
      <c r="K45" s="17" t="str">
        <f>IF(NOT(_EngineCycles!A45&lt;&gt;""),"",IF(NOT($R45="OK"),"",_EngineCycles!U45))</f>
        <v/>
      </c>
      <c r="L45" s="27" t="str">
        <f>IF(NOT(_EngineCycles!A45&lt;&gt;""),"",IF(NOT($R45="OK"),"",_EngineCycles!AE45))</f>
        <v/>
      </c>
      <c r="M45" s="17" t="str">
        <f>IF(NOT(_EngineCycles!A45&lt;&gt;""),"",IF(NOT($R45="OK"),"",_EngineCycles!O45))</f>
        <v/>
      </c>
      <c r="N45" s="27" t="str">
        <f>IF(NOT(_EngineCycles!A45&lt;&gt;""),"",IF(NOT($R45="OK"),"",IF(_EngineCycles!E45="Closed",_EngineCycles!O45,"")))</f>
        <v/>
      </c>
      <c r="O45" s="28" t="str">
        <f>IF(NOT(_EngineCycles!A45&lt;&gt;""),"",IF(NOT($R45="OK"),"",_EngineCycles!Y45))</f>
        <v/>
      </c>
      <c r="P45" s="17" t="str">
        <f>IF(NOT(_EngineCycles!A45&lt;&gt;""),"",IF(NOT($R45="OK"),"",_EngineCycles!S45))</f>
        <v/>
      </c>
      <c r="Q45" s="25" t="str">
        <f>IF(_EngineCycles!A45="","",IF($R45&lt;&gt;"OK","Review",IF(_EngineCycles!E45="Closed","Closed","Open")))</f>
        <v/>
      </c>
      <c r="R45" s="18" t="str">
        <f>IF(_EngineCycles!A45="","",IF(COUNTIFS(Trades!$B$9:$B$508,_EngineCycles!B45,Trades!$C$9:$C$508,"&lt;&gt;"&amp;$B45,Trades!$A$9:$A$508,"&lt;&gt;")&gt;0,"Ticker mismatch",IF(COUNTIFS(Trades!$B$9:$B$508,_EngineCycles!B45,Trades!$D$9:$D$508,"&lt;&gt;"&amp;$C45,Trades!$A$9:$A$508,"&lt;&gt;")&gt;0,"Currency mismatch",IF(COUNTIFS(Trades!$B$9:$B$508,_EngineCycles!B45,Trades!$S$9:$S$508,"&lt;&gt;OK",Trades!$A$9:$A$508,"&lt;&gt;")&gt;0,"Check trades","OK"))))</f>
        <v/>
      </c>
      <c r="S45" s="29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P$9:$P$508),0),"")))</f>
        <v/>
      </c>
      <c r="T45" s="26" t="str">
        <f>IF(NOT(_EngineCycles!A45&lt;&gt;""),"",IF(NOT($R45="OK"),"",_EngineCycles!W45))</f>
        <v/>
      </c>
      <c r="U45" s="16"/>
      <c r="V45" s="16"/>
      <c r="W45" s="16"/>
      <c r="X45" s="16"/>
      <c r="Y45" t="str">
        <f>IF(AND($C45=Overview!$P$2,$Q45="Open",$R45="OK"),COUNTIFS($C$9:$C45,Overview!$P$2,$Q$9:$Q45,"Open",$R$9:$R45,"OK"),"")</f>
        <v/>
      </c>
    </row>
    <row r="46" spans="1:25" ht="23.1" customHeight="1" x14ac:dyDescent="0.25">
      <c r="A46" s="24" t="str">
        <f>IF(_EngineCycles!A46="","",_EngineCycles!B46&amp;IF(_EngineCycles!C46&gt;1," / "&amp;_EngineCycles!C46,""))</f>
        <v/>
      </c>
      <c r="B46" s="24" t="str">
        <f>IF(_EngineCycles!A46="","",_EngineCycles!D46)</f>
        <v/>
      </c>
      <c r="C46" s="24" t="str">
        <f>IF(_EngineCycles!A46="","",IFERROR(INDEX(Trades!$D$9:$D$508,_EngineCycles!AG46-8),""))</f>
        <v/>
      </c>
      <c r="D46" s="30" t="str">
        <f>IF(_EngineCycles!A46="","",IF($R46&lt;&gt;"OK","Review",IF(_EngineCycles!E46="Closed","Closed",IF(_EngineCycles!P46&gt;0,IF(IFERROR(LOOKUP(2,1/((_EngineTrades!$AU$9:$AU$508=_EngineCycles!A46)),_EngineTrades!$AQ$9:$AQ$508),0)&gt;0,"Covered Call","Shares Held"),"Cash-Secured Put"))))</f>
        <v/>
      </c>
      <c r="E46" s="31" t="str">
        <f>IF(NOT(_EngineCycles!A46&lt;&gt;""),"",IF(NOT($R46="OK"),"",_EngineCycles!P46))</f>
        <v/>
      </c>
      <c r="F46" s="23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AH$9:$AH$508),0),"")))</f>
        <v/>
      </c>
      <c r="G46" s="23" t="str">
        <f>IF(NOT(_EngineCycles!A46&lt;&gt;""),"",IF(NOT($R46="OK"),"",_EngineCycles!Q46))</f>
        <v/>
      </c>
      <c r="H46" s="32" t="str">
        <f>IF(NOT(_EngineCycles!A46&lt;&gt;""),"",IF(NOT($R46="OK"),"",_EngineCycles!J46))</f>
        <v/>
      </c>
      <c r="I46" s="23" t="str">
        <f>IF(NOT(_EngineCycles!A46&lt;&gt;""),"",IF(NOT($R46="OK"),"",_EngineCycles!I46))</f>
        <v/>
      </c>
      <c r="J46" s="23" t="str">
        <f>IF(NOT(_EngineCycles!A46&lt;&gt;""),"",IF(NOT($R46="OK"),"",_EngineCycles!L46))</f>
        <v/>
      </c>
      <c r="K46" s="23" t="str">
        <f>IF(NOT(_EngineCycles!A46&lt;&gt;""),"",IF(NOT($R46="OK"),"",_EngineCycles!U46))</f>
        <v/>
      </c>
      <c r="L46" s="32" t="str">
        <f>IF(NOT(_EngineCycles!A46&lt;&gt;""),"",IF(NOT($R46="OK"),"",_EngineCycles!AE46))</f>
        <v/>
      </c>
      <c r="M46" s="23" t="str">
        <f>IF(NOT(_EngineCycles!A46&lt;&gt;""),"",IF(NOT($R46="OK"),"",_EngineCycles!O46))</f>
        <v/>
      </c>
      <c r="N46" s="32" t="str">
        <f>IF(NOT(_EngineCycles!A46&lt;&gt;""),"",IF(NOT($R46="OK"),"",IF(_EngineCycles!E46="Closed",_EngineCycles!O46,"")))</f>
        <v/>
      </c>
      <c r="O46" s="33" t="str">
        <f>IF(NOT(_EngineCycles!A46&lt;&gt;""),"",IF(NOT($R46="OK"),"",_EngineCycles!Y46))</f>
        <v/>
      </c>
      <c r="P46" s="23" t="str">
        <f>IF(NOT(_EngineCycles!A46&lt;&gt;""),"",IF(NOT($R46="OK"),"",_EngineCycles!S46))</f>
        <v/>
      </c>
      <c r="Q46" s="30" t="str">
        <f>IF(_EngineCycles!A46="","",IF($R46&lt;&gt;"OK","Review",IF(_EngineCycles!E46="Closed","Closed","Open")))</f>
        <v/>
      </c>
      <c r="R46" s="24" t="str">
        <f>IF(_EngineCycles!A46="","",IF(COUNTIFS(Trades!$B$9:$B$508,_EngineCycles!B46,Trades!$C$9:$C$508,"&lt;&gt;"&amp;$B46,Trades!$A$9:$A$508,"&lt;&gt;")&gt;0,"Ticker mismatch",IF(COUNTIFS(Trades!$B$9:$B$508,_EngineCycles!B46,Trades!$D$9:$D$508,"&lt;&gt;"&amp;$C46,Trades!$A$9:$A$508,"&lt;&gt;")&gt;0,"Currency mismatch",IF(COUNTIFS(Trades!$B$9:$B$508,_EngineCycles!B46,Trades!$S$9:$S$508,"&lt;&gt;OK",Trades!$A$9:$A$508,"&lt;&gt;")&gt;0,"Check trades","OK"))))</f>
        <v/>
      </c>
      <c r="S46" s="34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P$9:$P$508),0),"")))</f>
        <v/>
      </c>
      <c r="T46" s="31" t="str">
        <f>IF(NOT(_EngineCycles!A46&lt;&gt;""),"",IF(NOT($R46="OK"),"",_EngineCycles!W46))</f>
        <v/>
      </c>
      <c r="U46" s="22"/>
      <c r="V46" s="22"/>
      <c r="W46" s="22"/>
      <c r="X46" s="22"/>
      <c r="Y46" t="str">
        <f>IF(AND($C46=Overview!$P$2,$Q46="Open",$R46="OK"),COUNTIFS($C$9:$C46,Overview!$P$2,$Q$9:$Q46,"Open",$R$9:$R46,"OK"),"")</f>
        <v/>
      </c>
    </row>
    <row r="47" spans="1:25" ht="23.1" customHeight="1" x14ac:dyDescent="0.25">
      <c r="A47" s="18" t="str">
        <f>IF(_EngineCycles!A47="","",_EngineCycles!B47&amp;IF(_EngineCycles!C47&gt;1," / "&amp;_EngineCycles!C47,""))</f>
        <v/>
      </c>
      <c r="B47" s="18" t="str">
        <f>IF(_EngineCycles!A47="","",_EngineCycles!D47)</f>
        <v/>
      </c>
      <c r="C47" s="18" t="str">
        <f>IF(_EngineCycles!A47="","",IFERROR(INDEX(Trades!$D$9:$D$508,_EngineCycles!AG47-8),""))</f>
        <v/>
      </c>
      <c r="D47" s="25" t="str">
        <f>IF(_EngineCycles!A47="","",IF($R47&lt;&gt;"OK","Review",IF(_EngineCycles!E47="Closed","Closed",IF(_EngineCycles!P47&gt;0,IF(IFERROR(LOOKUP(2,1/((_EngineTrades!$AU$9:$AU$508=_EngineCycles!A47)),_EngineTrades!$AQ$9:$AQ$508),0)&gt;0,"Covered Call","Shares Held"),"Cash-Secured Put"))))</f>
        <v/>
      </c>
      <c r="E47" s="26" t="str">
        <f>IF(NOT(_EngineCycles!A47&lt;&gt;""),"",IF(NOT($R47="OK"),"",_EngineCycles!P47))</f>
        <v/>
      </c>
      <c r="F47" s="17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AH$9:$AH$508),0),"")))</f>
        <v/>
      </c>
      <c r="G47" s="17" t="str">
        <f>IF(NOT(_EngineCycles!A47&lt;&gt;""),"",IF(NOT($R47="OK"),"",_EngineCycles!Q47))</f>
        <v/>
      </c>
      <c r="H47" s="27" t="str">
        <f>IF(NOT(_EngineCycles!A47&lt;&gt;""),"",IF(NOT($R47="OK"),"",_EngineCycles!J47))</f>
        <v/>
      </c>
      <c r="I47" s="17" t="str">
        <f>IF(NOT(_EngineCycles!A47&lt;&gt;""),"",IF(NOT($R47="OK"),"",_EngineCycles!I47))</f>
        <v/>
      </c>
      <c r="J47" s="17" t="str">
        <f>IF(NOT(_EngineCycles!A47&lt;&gt;""),"",IF(NOT($R47="OK"),"",_EngineCycles!L47))</f>
        <v/>
      </c>
      <c r="K47" s="17" t="str">
        <f>IF(NOT(_EngineCycles!A47&lt;&gt;""),"",IF(NOT($R47="OK"),"",_EngineCycles!U47))</f>
        <v/>
      </c>
      <c r="L47" s="27" t="str">
        <f>IF(NOT(_EngineCycles!A47&lt;&gt;""),"",IF(NOT($R47="OK"),"",_EngineCycles!AE47))</f>
        <v/>
      </c>
      <c r="M47" s="17" t="str">
        <f>IF(NOT(_EngineCycles!A47&lt;&gt;""),"",IF(NOT($R47="OK"),"",_EngineCycles!O47))</f>
        <v/>
      </c>
      <c r="N47" s="27" t="str">
        <f>IF(NOT(_EngineCycles!A47&lt;&gt;""),"",IF(NOT($R47="OK"),"",IF(_EngineCycles!E47="Closed",_EngineCycles!O47,"")))</f>
        <v/>
      </c>
      <c r="O47" s="28" t="str">
        <f>IF(NOT(_EngineCycles!A47&lt;&gt;""),"",IF(NOT($R47="OK"),"",_EngineCycles!Y47))</f>
        <v/>
      </c>
      <c r="P47" s="17" t="str">
        <f>IF(NOT(_EngineCycles!A47&lt;&gt;""),"",IF(NOT($R47="OK"),"",_EngineCycles!S47))</f>
        <v/>
      </c>
      <c r="Q47" s="25" t="str">
        <f>IF(_EngineCycles!A47="","",IF($R47&lt;&gt;"OK","Review",IF(_EngineCycles!E47="Closed","Closed","Open")))</f>
        <v/>
      </c>
      <c r="R47" s="18" t="str">
        <f>IF(_EngineCycles!A47="","",IF(COUNTIFS(Trades!$B$9:$B$508,_EngineCycles!B47,Trades!$C$9:$C$508,"&lt;&gt;"&amp;$B47,Trades!$A$9:$A$508,"&lt;&gt;")&gt;0,"Ticker mismatch",IF(COUNTIFS(Trades!$B$9:$B$508,_EngineCycles!B47,Trades!$D$9:$D$508,"&lt;&gt;"&amp;$C47,Trades!$A$9:$A$508,"&lt;&gt;")&gt;0,"Currency mismatch",IF(COUNTIFS(Trades!$B$9:$B$508,_EngineCycles!B47,Trades!$S$9:$S$508,"&lt;&gt;OK",Trades!$A$9:$A$508,"&lt;&gt;")&gt;0,"Check trades","OK"))))</f>
        <v/>
      </c>
      <c r="S47" s="29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P$9:$P$508),0),"")))</f>
        <v/>
      </c>
      <c r="T47" s="26" t="str">
        <f>IF(NOT(_EngineCycles!A47&lt;&gt;""),"",IF(NOT($R47="OK"),"",_EngineCycles!W47))</f>
        <v/>
      </c>
      <c r="U47" s="16"/>
      <c r="V47" s="16"/>
      <c r="W47" s="16"/>
      <c r="X47" s="16"/>
      <c r="Y47" t="str">
        <f>IF(AND($C47=Overview!$P$2,$Q47="Open",$R47="OK"),COUNTIFS($C$9:$C47,Overview!$P$2,$Q$9:$Q47,"Open",$R$9:$R47,"OK"),"")</f>
        <v/>
      </c>
    </row>
    <row r="48" spans="1:25" ht="23.1" customHeight="1" x14ac:dyDescent="0.25">
      <c r="A48" s="24" t="str">
        <f>IF(_EngineCycles!A48="","",_EngineCycles!B48&amp;IF(_EngineCycles!C48&gt;1," / "&amp;_EngineCycles!C48,""))</f>
        <v/>
      </c>
      <c r="B48" s="24" t="str">
        <f>IF(_EngineCycles!A48="","",_EngineCycles!D48)</f>
        <v/>
      </c>
      <c r="C48" s="24" t="str">
        <f>IF(_EngineCycles!A48="","",IFERROR(INDEX(Trades!$D$9:$D$508,_EngineCycles!AG48-8),""))</f>
        <v/>
      </c>
      <c r="D48" s="30" t="str">
        <f>IF(_EngineCycles!A48="","",IF($R48&lt;&gt;"OK","Review",IF(_EngineCycles!E48="Closed","Closed",IF(_EngineCycles!P48&gt;0,IF(IFERROR(LOOKUP(2,1/((_EngineTrades!$AU$9:$AU$508=_EngineCycles!A48)),_EngineTrades!$AQ$9:$AQ$508),0)&gt;0,"Covered Call","Shares Held"),"Cash-Secured Put"))))</f>
        <v/>
      </c>
      <c r="E48" s="31" t="str">
        <f>IF(NOT(_EngineCycles!A48&lt;&gt;""),"",IF(NOT($R48="OK"),"",_EngineCycles!P48))</f>
        <v/>
      </c>
      <c r="F48" s="23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AH$9:$AH$508),0),"")))</f>
        <v/>
      </c>
      <c r="G48" s="23" t="str">
        <f>IF(NOT(_EngineCycles!A48&lt;&gt;""),"",IF(NOT($R48="OK"),"",_EngineCycles!Q48))</f>
        <v/>
      </c>
      <c r="H48" s="32" t="str">
        <f>IF(NOT(_EngineCycles!A48&lt;&gt;""),"",IF(NOT($R48="OK"),"",_EngineCycles!J48))</f>
        <v/>
      </c>
      <c r="I48" s="23" t="str">
        <f>IF(NOT(_EngineCycles!A48&lt;&gt;""),"",IF(NOT($R48="OK"),"",_EngineCycles!I48))</f>
        <v/>
      </c>
      <c r="J48" s="23" t="str">
        <f>IF(NOT(_EngineCycles!A48&lt;&gt;""),"",IF(NOT($R48="OK"),"",_EngineCycles!L48))</f>
        <v/>
      </c>
      <c r="K48" s="23" t="str">
        <f>IF(NOT(_EngineCycles!A48&lt;&gt;""),"",IF(NOT($R48="OK"),"",_EngineCycles!U48))</f>
        <v/>
      </c>
      <c r="L48" s="32" t="str">
        <f>IF(NOT(_EngineCycles!A48&lt;&gt;""),"",IF(NOT($R48="OK"),"",_EngineCycles!AE48))</f>
        <v/>
      </c>
      <c r="M48" s="23" t="str">
        <f>IF(NOT(_EngineCycles!A48&lt;&gt;""),"",IF(NOT($R48="OK"),"",_EngineCycles!O48))</f>
        <v/>
      </c>
      <c r="N48" s="32" t="str">
        <f>IF(NOT(_EngineCycles!A48&lt;&gt;""),"",IF(NOT($R48="OK"),"",IF(_EngineCycles!E48="Closed",_EngineCycles!O48,"")))</f>
        <v/>
      </c>
      <c r="O48" s="33" t="str">
        <f>IF(NOT(_EngineCycles!A48&lt;&gt;""),"",IF(NOT($R48="OK"),"",_EngineCycles!Y48))</f>
        <v/>
      </c>
      <c r="P48" s="23" t="str">
        <f>IF(NOT(_EngineCycles!A48&lt;&gt;""),"",IF(NOT($R48="OK"),"",_EngineCycles!S48))</f>
        <v/>
      </c>
      <c r="Q48" s="30" t="str">
        <f>IF(_EngineCycles!A48="","",IF($R48&lt;&gt;"OK","Review",IF(_EngineCycles!E48="Closed","Closed","Open")))</f>
        <v/>
      </c>
      <c r="R48" s="24" t="str">
        <f>IF(_EngineCycles!A48="","",IF(COUNTIFS(Trades!$B$9:$B$508,_EngineCycles!B48,Trades!$C$9:$C$508,"&lt;&gt;"&amp;$B48,Trades!$A$9:$A$508,"&lt;&gt;")&gt;0,"Ticker mismatch",IF(COUNTIFS(Trades!$B$9:$B$508,_EngineCycles!B48,Trades!$D$9:$D$508,"&lt;&gt;"&amp;$C48,Trades!$A$9:$A$508,"&lt;&gt;")&gt;0,"Currency mismatch",IF(COUNTIFS(Trades!$B$9:$B$508,_EngineCycles!B48,Trades!$S$9:$S$508,"&lt;&gt;OK",Trades!$A$9:$A$508,"&lt;&gt;")&gt;0,"Check trades","OK"))))</f>
        <v/>
      </c>
      <c r="S48" s="34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P$9:$P$508),0),"")))</f>
        <v/>
      </c>
      <c r="T48" s="31" t="str">
        <f>IF(NOT(_EngineCycles!A48&lt;&gt;""),"",IF(NOT($R48="OK"),"",_EngineCycles!W48))</f>
        <v/>
      </c>
      <c r="U48" s="22"/>
      <c r="V48" s="22"/>
      <c r="W48" s="22"/>
      <c r="X48" s="22"/>
      <c r="Y48" t="str">
        <f>IF(AND($C48=Overview!$P$2,$Q48="Open",$R48="OK"),COUNTIFS($C$9:$C48,Overview!$P$2,$Q$9:$Q48,"Open",$R$9:$R48,"OK"),"")</f>
        <v/>
      </c>
    </row>
    <row r="49" spans="1:25" ht="23.1" customHeight="1" x14ac:dyDescent="0.25">
      <c r="A49" s="18" t="str">
        <f>IF(_EngineCycles!A49="","",_EngineCycles!B49&amp;IF(_EngineCycles!C49&gt;1," / "&amp;_EngineCycles!C49,""))</f>
        <v/>
      </c>
      <c r="B49" s="18" t="str">
        <f>IF(_EngineCycles!A49="","",_EngineCycles!D49)</f>
        <v/>
      </c>
      <c r="C49" s="18" t="str">
        <f>IF(_EngineCycles!A49="","",IFERROR(INDEX(Trades!$D$9:$D$508,_EngineCycles!AG49-8),""))</f>
        <v/>
      </c>
      <c r="D49" s="25" t="str">
        <f>IF(_EngineCycles!A49="","",IF($R49&lt;&gt;"OK","Review",IF(_EngineCycles!E49="Closed","Closed",IF(_EngineCycles!P49&gt;0,IF(IFERROR(LOOKUP(2,1/((_EngineTrades!$AU$9:$AU$508=_EngineCycles!A49)),_EngineTrades!$AQ$9:$AQ$508),0)&gt;0,"Covered Call","Shares Held"),"Cash-Secured Put"))))</f>
        <v/>
      </c>
      <c r="E49" s="26" t="str">
        <f>IF(NOT(_EngineCycles!A49&lt;&gt;""),"",IF(NOT($R49="OK"),"",_EngineCycles!P49))</f>
        <v/>
      </c>
      <c r="F49" s="17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AH$9:$AH$508),0),"")))</f>
        <v/>
      </c>
      <c r="G49" s="17" t="str">
        <f>IF(NOT(_EngineCycles!A49&lt;&gt;""),"",IF(NOT($R49="OK"),"",_EngineCycles!Q49))</f>
        <v/>
      </c>
      <c r="H49" s="27" t="str">
        <f>IF(NOT(_EngineCycles!A49&lt;&gt;""),"",IF(NOT($R49="OK"),"",_EngineCycles!J49))</f>
        <v/>
      </c>
      <c r="I49" s="17" t="str">
        <f>IF(NOT(_EngineCycles!A49&lt;&gt;""),"",IF(NOT($R49="OK"),"",_EngineCycles!I49))</f>
        <v/>
      </c>
      <c r="J49" s="17" t="str">
        <f>IF(NOT(_EngineCycles!A49&lt;&gt;""),"",IF(NOT($R49="OK"),"",_EngineCycles!L49))</f>
        <v/>
      </c>
      <c r="K49" s="17" t="str">
        <f>IF(NOT(_EngineCycles!A49&lt;&gt;""),"",IF(NOT($R49="OK"),"",_EngineCycles!U49))</f>
        <v/>
      </c>
      <c r="L49" s="27" t="str">
        <f>IF(NOT(_EngineCycles!A49&lt;&gt;""),"",IF(NOT($R49="OK"),"",_EngineCycles!AE49))</f>
        <v/>
      </c>
      <c r="M49" s="17" t="str">
        <f>IF(NOT(_EngineCycles!A49&lt;&gt;""),"",IF(NOT($R49="OK"),"",_EngineCycles!O49))</f>
        <v/>
      </c>
      <c r="N49" s="27" t="str">
        <f>IF(NOT(_EngineCycles!A49&lt;&gt;""),"",IF(NOT($R49="OK"),"",IF(_EngineCycles!E49="Closed",_EngineCycles!O49,"")))</f>
        <v/>
      </c>
      <c r="O49" s="28" t="str">
        <f>IF(NOT(_EngineCycles!A49&lt;&gt;""),"",IF(NOT($R49="OK"),"",_EngineCycles!Y49))</f>
        <v/>
      </c>
      <c r="P49" s="17" t="str">
        <f>IF(NOT(_EngineCycles!A49&lt;&gt;""),"",IF(NOT($R49="OK"),"",_EngineCycles!S49))</f>
        <v/>
      </c>
      <c r="Q49" s="25" t="str">
        <f>IF(_EngineCycles!A49="","",IF($R49&lt;&gt;"OK","Review",IF(_EngineCycles!E49="Closed","Closed","Open")))</f>
        <v/>
      </c>
      <c r="R49" s="18" t="str">
        <f>IF(_EngineCycles!A49="","",IF(COUNTIFS(Trades!$B$9:$B$508,_EngineCycles!B49,Trades!$C$9:$C$508,"&lt;&gt;"&amp;$B49,Trades!$A$9:$A$508,"&lt;&gt;")&gt;0,"Ticker mismatch",IF(COUNTIFS(Trades!$B$9:$B$508,_EngineCycles!B49,Trades!$D$9:$D$508,"&lt;&gt;"&amp;$C49,Trades!$A$9:$A$508,"&lt;&gt;")&gt;0,"Currency mismatch",IF(COUNTIFS(Trades!$B$9:$B$508,_EngineCycles!B49,Trades!$S$9:$S$508,"&lt;&gt;OK",Trades!$A$9:$A$508,"&lt;&gt;")&gt;0,"Check trades","OK"))))</f>
        <v/>
      </c>
      <c r="S49" s="29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P$9:$P$508),0),"")))</f>
        <v/>
      </c>
      <c r="T49" s="26" t="str">
        <f>IF(NOT(_EngineCycles!A49&lt;&gt;""),"",IF(NOT($R49="OK"),"",_EngineCycles!W49))</f>
        <v/>
      </c>
      <c r="U49" s="16"/>
      <c r="V49" s="16"/>
      <c r="W49" s="16"/>
      <c r="X49" s="16"/>
      <c r="Y49" t="str">
        <f>IF(AND($C49=Overview!$P$2,$Q49="Open",$R49="OK"),COUNTIFS($C$9:$C49,Overview!$P$2,$Q$9:$Q49,"Open",$R$9:$R49,"OK"),"")</f>
        <v/>
      </c>
    </row>
    <row r="50" spans="1:25" ht="23.1" customHeight="1" x14ac:dyDescent="0.25">
      <c r="A50" s="24" t="str">
        <f>IF(_EngineCycles!A50="","",_EngineCycles!B50&amp;IF(_EngineCycles!C50&gt;1," / "&amp;_EngineCycles!C50,""))</f>
        <v/>
      </c>
      <c r="B50" s="24" t="str">
        <f>IF(_EngineCycles!A50="","",_EngineCycles!D50)</f>
        <v/>
      </c>
      <c r="C50" s="24" t="str">
        <f>IF(_EngineCycles!A50="","",IFERROR(INDEX(Trades!$D$9:$D$508,_EngineCycles!AG50-8),""))</f>
        <v/>
      </c>
      <c r="D50" s="30" t="str">
        <f>IF(_EngineCycles!A50="","",IF($R50&lt;&gt;"OK","Review",IF(_EngineCycles!E50="Closed","Closed",IF(_EngineCycles!P50&gt;0,IF(IFERROR(LOOKUP(2,1/((_EngineTrades!$AU$9:$AU$508=_EngineCycles!A50)),_EngineTrades!$AQ$9:$AQ$508),0)&gt;0,"Covered Call","Shares Held"),"Cash-Secured Put"))))</f>
        <v/>
      </c>
      <c r="E50" s="31" t="str">
        <f>IF(NOT(_EngineCycles!A50&lt;&gt;""),"",IF(NOT($R50="OK"),"",_EngineCycles!P50))</f>
        <v/>
      </c>
      <c r="F50" s="23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AH$9:$AH$508),0),"")))</f>
        <v/>
      </c>
      <c r="G50" s="23" t="str">
        <f>IF(NOT(_EngineCycles!A50&lt;&gt;""),"",IF(NOT($R50="OK"),"",_EngineCycles!Q50))</f>
        <v/>
      </c>
      <c r="H50" s="32" t="str">
        <f>IF(NOT(_EngineCycles!A50&lt;&gt;""),"",IF(NOT($R50="OK"),"",_EngineCycles!J50))</f>
        <v/>
      </c>
      <c r="I50" s="23" t="str">
        <f>IF(NOT(_EngineCycles!A50&lt;&gt;""),"",IF(NOT($R50="OK"),"",_EngineCycles!I50))</f>
        <v/>
      </c>
      <c r="J50" s="23" t="str">
        <f>IF(NOT(_EngineCycles!A50&lt;&gt;""),"",IF(NOT($R50="OK"),"",_EngineCycles!L50))</f>
        <v/>
      </c>
      <c r="K50" s="23" t="str">
        <f>IF(NOT(_EngineCycles!A50&lt;&gt;""),"",IF(NOT($R50="OK"),"",_EngineCycles!U50))</f>
        <v/>
      </c>
      <c r="L50" s="32" t="str">
        <f>IF(NOT(_EngineCycles!A50&lt;&gt;""),"",IF(NOT($R50="OK"),"",_EngineCycles!AE50))</f>
        <v/>
      </c>
      <c r="M50" s="23" t="str">
        <f>IF(NOT(_EngineCycles!A50&lt;&gt;""),"",IF(NOT($R50="OK"),"",_EngineCycles!O50))</f>
        <v/>
      </c>
      <c r="N50" s="32" t="str">
        <f>IF(NOT(_EngineCycles!A50&lt;&gt;""),"",IF(NOT($R50="OK"),"",IF(_EngineCycles!E50="Closed",_EngineCycles!O50,"")))</f>
        <v/>
      </c>
      <c r="O50" s="33" t="str">
        <f>IF(NOT(_EngineCycles!A50&lt;&gt;""),"",IF(NOT($R50="OK"),"",_EngineCycles!Y50))</f>
        <v/>
      </c>
      <c r="P50" s="23" t="str">
        <f>IF(NOT(_EngineCycles!A50&lt;&gt;""),"",IF(NOT($R50="OK"),"",_EngineCycles!S50))</f>
        <v/>
      </c>
      <c r="Q50" s="30" t="str">
        <f>IF(_EngineCycles!A50="","",IF($R50&lt;&gt;"OK","Review",IF(_EngineCycles!E50="Closed","Closed","Open")))</f>
        <v/>
      </c>
      <c r="R50" s="24" t="str">
        <f>IF(_EngineCycles!A50="","",IF(COUNTIFS(Trades!$B$9:$B$508,_EngineCycles!B50,Trades!$C$9:$C$508,"&lt;&gt;"&amp;$B50,Trades!$A$9:$A$508,"&lt;&gt;")&gt;0,"Ticker mismatch",IF(COUNTIFS(Trades!$B$9:$B$508,_EngineCycles!B50,Trades!$D$9:$D$508,"&lt;&gt;"&amp;$C50,Trades!$A$9:$A$508,"&lt;&gt;")&gt;0,"Currency mismatch",IF(COUNTIFS(Trades!$B$9:$B$508,_EngineCycles!B50,Trades!$S$9:$S$508,"&lt;&gt;OK",Trades!$A$9:$A$508,"&lt;&gt;")&gt;0,"Check trades","OK"))))</f>
        <v/>
      </c>
      <c r="S50" s="34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P$9:$P$508),0),"")))</f>
        <v/>
      </c>
      <c r="T50" s="31" t="str">
        <f>IF(NOT(_EngineCycles!A50&lt;&gt;""),"",IF(NOT($R50="OK"),"",_EngineCycles!W50))</f>
        <v/>
      </c>
      <c r="U50" s="22"/>
      <c r="V50" s="22"/>
      <c r="W50" s="22"/>
      <c r="X50" s="22"/>
      <c r="Y50" t="str">
        <f>IF(AND($C50=Overview!$P$2,$Q50="Open",$R50="OK"),COUNTIFS($C$9:$C50,Overview!$P$2,$Q$9:$Q50,"Open",$R$9:$R50,"OK"),"")</f>
        <v/>
      </c>
    </row>
    <row r="51" spans="1:25" ht="23.1" customHeight="1" x14ac:dyDescent="0.25">
      <c r="A51" s="18" t="str">
        <f>IF(_EngineCycles!A51="","",_EngineCycles!B51&amp;IF(_EngineCycles!C51&gt;1," / "&amp;_EngineCycles!C51,""))</f>
        <v/>
      </c>
      <c r="B51" s="18" t="str">
        <f>IF(_EngineCycles!A51="","",_EngineCycles!D51)</f>
        <v/>
      </c>
      <c r="C51" s="18" t="str">
        <f>IF(_EngineCycles!A51="","",IFERROR(INDEX(Trades!$D$9:$D$508,_EngineCycles!AG51-8),""))</f>
        <v/>
      </c>
      <c r="D51" s="25" t="str">
        <f>IF(_EngineCycles!A51="","",IF($R51&lt;&gt;"OK","Review",IF(_EngineCycles!E51="Closed","Closed",IF(_EngineCycles!P51&gt;0,IF(IFERROR(LOOKUP(2,1/((_EngineTrades!$AU$9:$AU$508=_EngineCycles!A51)),_EngineTrades!$AQ$9:$AQ$508),0)&gt;0,"Covered Call","Shares Held"),"Cash-Secured Put"))))</f>
        <v/>
      </c>
      <c r="E51" s="26" t="str">
        <f>IF(NOT(_EngineCycles!A51&lt;&gt;""),"",IF(NOT($R51="OK"),"",_EngineCycles!P51))</f>
        <v/>
      </c>
      <c r="F51" s="17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AH$9:$AH$508),0),"")))</f>
        <v/>
      </c>
      <c r="G51" s="17" t="str">
        <f>IF(NOT(_EngineCycles!A51&lt;&gt;""),"",IF(NOT($R51="OK"),"",_EngineCycles!Q51))</f>
        <v/>
      </c>
      <c r="H51" s="27" t="str">
        <f>IF(NOT(_EngineCycles!A51&lt;&gt;""),"",IF(NOT($R51="OK"),"",_EngineCycles!J51))</f>
        <v/>
      </c>
      <c r="I51" s="17" t="str">
        <f>IF(NOT(_EngineCycles!A51&lt;&gt;""),"",IF(NOT($R51="OK"),"",_EngineCycles!I51))</f>
        <v/>
      </c>
      <c r="J51" s="17" t="str">
        <f>IF(NOT(_EngineCycles!A51&lt;&gt;""),"",IF(NOT($R51="OK"),"",_EngineCycles!L51))</f>
        <v/>
      </c>
      <c r="K51" s="17" t="str">
        <f>IF(NOT(_EngineCycles!A51&lt;&gt;""),"",IF(NOT($R51="OK"),"",_EngineCycles!U51))</f>
        <v/>
      </c>
      <c r="L51" s="27" t="str">
        <f>IF(NOT(_EngineCycles!A51&lt;&gt;""),"",IF(NOT($R51="OK"),"",_EngineCycles!AE51))</f>
        <v/>
      </c>
      <c r="M51" s="17" t="str">
        <f>IF(NOT(_EngineCycles!A51&lt;&gt;""),"",IF(NOT($R51="OK"),"",_EngineCycles!O51))</f>
        <v/>
      </c>
      <c r="N51" s="27" t="str">
        <f>IF(NOT(_EngineCycles!A51&lt;&gt;""),"",IF(NOT($R51="OK"),"",IF(_EngineCycles!E51="Closed",_EngineCycles!O51,"")))</f>
        <v/>
      </c>
      <c r="O51" s="28" t="str">
        <f>IF(NOT(_EngineCycles!A51&lt;&gt;""),"",IF(NOT($R51="OK"),"",_EngineCycles!Y51))</f>
        <v/>
      </c>
      <c r="P51" s="17" t="str">
        <f>IF(NOT(_EngineCycles!A51&lt;&gt;""),"",IF(NOT($R51="OK"),"",_EngineCycles!S51))</f>
        <v/>
      </c>
      <c r="Q51" s="25" t="str">
        <f>IF(_EngineCycles!A51="","",IF($R51&lt;&gt;"OK","Review",IF(_EngineCycles!E51="Closed","Closed","Open")))</f>
        <v/>
      </c>
      <c r="R51" s="18" t="str">
        <f>IF(_EngineCycles!A51="","",IF(COUNTIFS(Trades!$B$9:$B$508,_EngineCycles!B51,Trades!$C$9:$C$508,"&lt;&gt;"&amp;$B51,Trades!$A$9:$A$508,"&lt;&gt;")&gt;0,"Ticker mismatch",IF(COUNTIFS(Trades!$B$9:$B$508,_EngineCycles!B51,Trades!$D$9:$D$508,"&lt;&gt;"&amp;$C51,Trades!$A$9:$A$508,"&lt;&gt;")&gt;0,"Currency mismatch",IF(COUNTIFS(Trades!$B$9:$B$508,_EngineCycles!B51,Trades!$S$9:$S$508,"&lt;&gt;OK",Trades!$A$9:$A$508,"&lt;&gt;")&gt;0,"Check trades","OK"))))</f>
        <v/>
      </c>
      <c r="S51" s="29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P$9:$P$508),0),"")))</f>
        <v/>
      </c>
      <c r="T51" s="26" t="str">
        <f>IF(NOT(_EngineCycles!A51&lt;&gt;""),"",IF(NOT($R51="OK"),"",_EngineCycles!W51))</f>
        <v/>
      </c>
      <c r="U51" s="16"/>
      <c r="V51" s="16"/>
      <c r="W51" s="16"/>
      <c r="X51" s="16"/>
      <c r="Y51" t="str">
        <f>IF(AND($C51=Overview!$P$2,$Q51="Open",$R51="OK"),COUNTIFS($C$9:$C51,Overview!$P$2,$Q$9:$Q51,"Open",$R$9:$R51,"OK"),"")</f>
        <v/>
      </c>
    </row>
    <row r="52" spans="1:25" ht="23.1" customHeight="1" x14ac:dyDescent="0.25">
      <c r="A52" s="24" t="str">
        <f>IF(_EngineCycles!A52="","",_EngineCycles!B52&amp;IF(_EngineCycles!C52&gt;1," / "&amp;_EngineCycles!C52,""))</f>
        <v/>
      </c>
      <c r="B52" s="24" t="str">
        <f>IF(_EngineCycles!A52="","",_EngineCycles!D52)</f>
        <v/>
      </c>
      <c r="C52" s="24" t="str">
        <f>IF(_EngineCycles!A52="","",IFERROR(INDEX(Trades!$D$9:$D$508,_EngineCycles!AG52-8),""))</f>
        <v/>
      </c>
      <c r="D52" s="30" t="str">
        <f>IF(_EngineCycles!A52="","",IF($R52&lt;&gt;"OK","Review",IF(_EngineCycles!E52="Closed","Closed",IF(_EngineCycles!P52&gt;0,IF(IFERROR(LOOKUP(2,1/((_EngineTrades!$AU$9:$AU$508=_EngineCycles!A52)),_EngineTrades!$AQ$9:$AQ$508),0)&gt;0,"Covered Call","Shares Held"),"Cash-Secured Put"))))</f>
        <v/>
      </c>
      <c r="E52" s="31" t="str">
        <f>IF(NOT(_EngineCycles!A52&lt;&gt;""),"",IF(NOT($R52="OK"),"",_EngineCycles!P52))</f>
        <v/>
      </c>
      <c r="F52" s="23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AH$9:$AH$508),0),"")))</f>
        <v/>
      </c>
      <c r="G52" s="23" t="str">
        <f>IF(NOT(_EngineCycles!A52&lt;&gt;""),"",IF(NOT($R52="OK"),"",_EngineCycles!Q52))</f>
        <v/>
      </c>
      <c r="H52" s="32" t="str">
        <f>IF(NOT(_EngineCycles!A52&lt;&gt;""),"",IF(NOT($R52="OK"),"",_EngineCycles!J52))</f>
        <v/>
      </c>
      <c r="I52" s="23" t="str">
        <f>IF(NOT(_EngineCycles!A52&lt;&gt;""),"",IF(NOT($R52="OK"),"",_EngineCycles!I52))</f>
        <v/>
      </c>
      <c r="J52" s="23" t="str">
        <f>IF(NOT(_EngineCycles!A52&lt;&gt;""),"",IF(NOT($R52="OK"),"",_EngineCycles!L52))</f>
        <v/>
      </c>
      <c r="K52" s="23" t="str">
        <f>IF(NOT(_EngineCycles!A52&lt;&gt;""),"",IF(NOT($R52="OK"),"",_EngineCycles!U52))</f>
        <v/>
      </c>
      <c r="L52" s="32" t="str">
        <f>IF(NOT(_EngineCycles!A52&lt;&gt;""),"",IF(NOT($R52="OK"),"",_EngineCycles!AE52))</f>
        <v/>
      </c>
      <c r="M52" s="23" t="str">
        <f>IF(NOT(_EngineCycles!A52&lt;&gt;""),"",IF(NOT($R52="OK"),"",_EngineCycles!O52))</f>
        <v/>
      </c>
      <c r="N52" s="32" t="str">
        <f>IF(NOT(_EngineCycles!A52&lt;&gt;""),"",IF(NOT($R52="OK"),"",IF(_EngineCycles!E52="Closed",_EngineCycles!O52,"")))</f>
        <v/>
      </c>
      <c r="O52" s="33" t="str">
        <f>IF(NOT(_EngineCycles!A52&lt;&gt;""),"",IF(NOT($R52="OK"),"",_EngineCycles!Y52))</f>
        <v/>
      </c>
      <c r="P52" s="23" t="str">
        <f>IF(NOT(_EngineCycles!A52&lt;&gt;""),"",IF(NOT($R52="OK"),"",_EngineCycles!S52))</f>
        <v/>
      </c>
      <c r="Q52" s="30" t="str">
        <f>IF(_EngineCycles!A52="","",IF($R52&lt;&gt;"OK","Review",IF(_EngineCycles!E52="Closed","Closed","Open")))</f>
        <v/>
      </c>
      <c r="R52" s="24" t="str">
        <f>IF(_EngineCycles!A52="","",IF(COUNTIFS(Trades!$B$9:$B$508,_EngineCycles!B52,Trades!$C$9:$C$508,"&lt;&gt;"&amp;$B52,Trades!$A$9:$A$508,"&lt;&gt;")&gt;0,"Ticker mismatch",IF(COUNTIFS(Trades!$B$9:$B$508,_EngineCycles!B52,Trades!$D$9:$D$508,"&lt;&gt;"&amp;$C52,Trades!$A$9:$A$508,"&lt;&gt;")&gt;0,"Currency mismatch",IF(COUNTIFS(Trades!$B$9:$B$508,_EngineCycles!B52,Trades!$S$9:$S$508,"&lt;&gt;OK",Trades!$A$9:$A$508,"&lt;&gt;")&gt;0,"Check trades","OK"))))</f>
        <v/>
      </c>
      <c r="S52" s="34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P$9:$P$508),0),"")))</f>
        <v/>
      </c>
      <c r="T52" s="31" t="str">
        <f>IF(NOT(_EngineCycles!A52&lt;&gt;""),"",IF(NOT($R52="OK"),"",_EngineCycles!W52))</f>
        <v/>
      </c>
      <c r="U52" s="22"/>
      <c r="V52" s="22"/>
      <c r="W52" s="22"/>
      <c r="X52" s="22"/>
      <c r="Y52" t="str">
        <f>IF(AND($C52=Overview!$P$2,$Q52="Open",$R52="OK"),COUNTIFS($C$9:$C52,Overview!$P$2,$Q$9:$Q52,"Open",$R$9:$R52,"OK"),"")</f>
        <v/>
      </c>
    </row>
    <row r="53" spans="1:25" ht="23.1" customHeight="1" x14ac:dyDescent="0.25">
      <c r="A53" s="18" t="str">
        <f>IF(_EngineCycles!A53="","",_EngineCycles!B53&amp;IF(_EngineCycles!C53&gt;1," / "&amp;_EngineCycles!C53,""))</f>
        <v/>
      </c>
      <c r="B53" s="18" t="str">
        <f>IF(_EngineCycles!A53="","",_EngineCycles!D53)</f>
        <v/>
      </c>
      <c r="C53" s="18" t="str">
        <f>IF(_EngineCycles!A53="","",IFERROR(INDEX(Trades!$D$9:$D$508,_EngineCycles!AG53-8),""))</f>
        <v/>
      </c>
      <c r="D53" s="25" t="str">
        <f>IF(_EngineCycles!A53="","",IF($R53&lt;&gt;"OK","Review",IF(_EngineCycles!E53="Closed","Closed",IF(_EngineCycles!P53&gt;0,IF(IFERROR(LOOKUP(2,1/((_EngineTrades!$AU$9:$AU$508=_EngineCycles!A53)),_EngineTrades!$AQ$9:$AQ$508),0)&gt;0,"Covered Call","Shares Held"),"Cash-Secured Put"))))</f>
        <v/>
      </c>
      <c r="E53" s="26" t="str">
        <f>IF(NOT(_EngineCycles!A53&lt;&gt;""),"",IF(NOT($R53="OK"),"",_EngineCycles!P53))</f>
        <v/>
      </c>
      <c r="F53" s="17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AH$9:$AH$508),0),"")))</f>
        <v/>
      </c>
      <c r="G53" s="17" t="str">
        <f>IF(NOT(_EngineCycles!A53&lt;&gt;""),"",IF(NOT($R53="OK"),"",_EngineCycles!Q53))</f>
        <v/>
      </c>
      <c r="H53" s="27" t="str">
        <f>IF(NOT(_EngineCycles!A53&lt;&gt;""),"",IF(NOT($R53="OK"),"",_EngineCycles!J53))</f>
        <v/>
      </c>
      <c r="I53" s="17" t="str">
        <f>IF(NOT(_EngineCycles!A53&lt;&gt;""),"",IF(NOT($R53="OK"),"",_EngineCycles!I53))</f>
        <v/>
      </c>
      <c r="J53" s="17" t="str">
        <f>IF(NOT(_EngineCycles!A53&lt;&gt;""),"",IF(NOT($R53="OK"),"",_EngineCycles!L53))</f>
        <v/>
      </c>
      <c r="K53" s="17" t="str">
        <f>IF(NOT(_EngineCycles!A53&lt;&gt;""),"",IF(NOT($R53="OK"),"",_EngineCycles!U53))</f>
        <v/>
      </c>
      <c r="L53" s="27" t="str">
        <f>IF(NOT(_EngineCycles!A53&lt;&gt;""),"",IF(NOT($R53="OK"),"",_EngineCycles!AE53))</f>
        <v/>
      </c>
      <c r="M53" s="17" t="str">
        <f>IF(NOT(_EngineCycles!A53&lt;&gt;""),"",IF(NOT($R53="OK"),"",_EngineCycles!O53))</f>
        <v/>
      </c>
      <c r="N53" s="27" t="str">
        <f>IF(NOT(_EngineCycles!A53&lt;&gt;""),"",IF(NOT($R53="OK"),"",IF(_EngineCycles!E53="Closed",_EngineCycles!O53,"")))</f>
        <v/>
      </c>
      <c r="O53" s="28" t="str">
        <f>IF(NOT(_EngineCycles!A53&lt;&gt;""),"",IF(NOT($R53="OK"),"",_EngineCycles!Y53))</f>
        <v/>
      </c>
      <c r="P53" s="17" t="str">
        <f>IF(NOT(_EngineCycles!A53&lt;&gt;""),"",IF(NOT($R53="OK"),"",_EngineCycles!S53))</f>
        <v/>
      </c>
      <c r="Q53" s="25" t="str">
        <f>IF(_EngineCycles!A53="","",IF($R53&lt;&gt;"OK","Review",IF(_EngineCycles!E53="Closed","Closed","Open")))</f>
        <v/>
      </c>
      <c r="R53" s="18" t="str">
        <f>IF(_EngineCycles!A53="","",IF(COUNTIFS(Trades!$B$9:$B$508,_EngineCycles!B53,Trades!$C$9:$C$508,"&lt;&gt;"&amp;$B53,Trades!$A$9:$A$508,"&lt;&gt;")&gt;0,"Ticker mismatch",IF(COUNTIFS(Trades!$B$9:$B$508,_EngineCycles!B53,Trades!$D$9:$D$508,"&lt;&gt;"&amp;$C53,Trades!$A$9:$A$508,"&lt;&gt;")&gt;0,"Currency mismatch",IF(COUNTIFS(Trades!$B$9:$B$508,_EngineCycles!B53,Trades!$S$9:$S$508,"&lt;&gt;OK",Trades!$A$9:$A$508,"&lt;&gt;")&gt;0,"Check trades","OK"))))</f>
        <v/>
      </c>
      <c r="S53" s="29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P$9:$P$508),0),"")))</f>
        <v/>
      </c>
      <c r="T53" s="26" t="str">
        <f>IF(NOT(_EngineCycles!A53&lt;&gt;""),"",IF(NOT($R53="OK"),"",_EngineCycles!W53))</f>
        <v/>
      </c>
      <c r="U53" s="16"/>
      <c r="V53" s="16"/>
      <c r="W53" s="16"/>
      <c r="X53" s="16"/>
      <c r="Y53" t="str">
        <f>IF(AND($C53=Overview!$P$2,$Q53="Open",$R53="OK"),COUNTIFS($C$9:$C53,Overview!$P$2,$Q$9:$Q53,"Open",$R$9:$R53,"OK"),"")</f>
        <v/>
      </c>
    </row>
    <row r="54" spans="1:25" ht="23.1" customHeight="1" x14ac:dyDescent="0.25">
      <c r="A54" s="24" t="str">
        <f>IF(_EngineCycles!A54="","",_EngineCycles!B54&amp;IF(_EngineCycles!C54&gt;1," / "&amp;_EngineCycles!C54,""))</f>
        <v/>
      </c>
      <c r="B54" s="24" t="str">
        <f>IF(_EngineCycles!A54="","",_EngineCycles!D54)</f>
        <v/>
      </c>
      <c r="C54" s="24" t="str">
        <f>IF(_EngineCycles!A54="","",IFERROR(INDEX(Trades!$D$9:$D$508,_EngineCycles!AG54-8),""))</f>
        <v/>
      </c>
      <c r="D54" s="30" t="str">
        <f>IF(_EngineCycles!A54="","",IF($R54&lt;&gt;"OK","Review",IF(_EngineCycles!E54="Closed","Closed",IF(_EngineCycles!P54&gt;0,IF(IFERROR(LOOKUP(2,1/((_EngineTrades!$AU$9:$AU$508=_EngineCycles!A54)),_EngineTrades!$AQ$9:$AQ$508),0)&gt;0,"Covered Call","Shares Held"),"Cash-Secured Put"))))</f>
        <v/>
      </c>
      <c r="E54" s="31" t="str">
        <f>IF(NOT(_EngineCycles!A54&lt;&gt;""),"",IF(NOT($R54="OK"),"",_EngineCycles!P54))</f>
        <v/>
      </c>
      <c r="F54" s="23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AH$9:$AH$508),0),"")))</f>
        <v/>
      </c>
      <c r="G54" s="23" t="str">
        <f>IF(NOT(_EngineCycles!A54&lt;&gt;""),"",IF(NOT($R54="OK"),"",_EngineCycles!Q54))</f>
        <v/>
      </c>
      <c r="H54" s="32" t="str">
        <f>IF(NOT(_EngineCycles!A54&lt;&gt;""),"",IF(NOT($R54="OK"),"",_EngineCycles!J54))</f>
        <v/>
      </c>
      <c r="I54" s="23" t="str">
        <f>IF(NOT(_EngineCycles!A54&lt;&gt;""),"",IF(NOT($R54="OK"),"",_EngineCycles!I54))</f>
        <v/>
      </c>
      <c r="J54" s="23" t="str">
        <f>IF(NOT(_EngineCycles!A54&lt;&gt;""),"",IF(NOT($R54="OK"),"",_EngineCycles!L54))</f>
        <v/>
      </c>
      <c r="K54" s="23" t="str">
        <f>IF(NOT(_EngineCycles!A54&lt;&gt;""),"",IF(NOT($R54="OK"),"",_EngineCycles!U54))</f>
        <v/>
      </c>
      <c r="L54" s="32" t="str">
        <f>IF(NOT(_EngineCycles!A54&lt;&gt;""),"",IF(NOT($R54="OK"),"",_EngineCycles!AE54))</f>
        <v/>
      </c>
      <c r="M54" s="23" t="str">
        <f>IF(NOT(_EngineCycles!A54&lt;&gt;""),"",IF(NOT($R54="OK"),"",_EngineCycles!O54))</f>
        <v/>
      </c>
      <c r="N54" s="32" t="str">
        <f>IF(NOT(_EngineCycles!A54&lt;&gt;""),"",IF(NOT($R54="OK"),"",IF(_EngineCycles!E54="Closed",_EngineCycles!O54,"")))</f>
        <v/>
      </c>
      <c r="O54" s="33" t="str">
        <f>IF(NOT(_EngineCycles!A54&lt;&gt;""),"",IF(NOT($R54="OK"),"",_EngineCycles!Y54))</f>
        <v/>
      </c>
      <c r="P54" s="23" t="str">
        <f>IF(NOT(_EngineCycles!A54&lt;&gt;""),"",IF(NOT($R54="OK"),"",_EngineCycles!S54))</f>
        <v/>
      </c>
      <c r="Q54" s="30" t="str">
        <f>IF(_EngineCycles!A54="","",IF($R54&lt;&gt;"OK","Review",IF(_EngineCycles!E54="Closed","Closed","Open")))</f>
        <v/>
      </c>
      <c r="R54" s="24" t="str">
        <f>IF(_EngineCycles!A54="","",IF(COUNTIFS(Trades!$B$9:$B$508,_EngineCycles!B54,Trades!$C$9:$C$508,"&lt;&gt;"&amp;$B54,Trades!$A$9:$A$508,"&lt;&gt;")&gt;0,"Ticker mismatch",IF(COUNTIFS(Trades!$B$9:$B$508,_EngineCycles!B54,Trades!$D$9:$D$508,"&lt;&gt;"&amp;$C54,Trades!$A$9:$A$508,"&lt;&gt;")&gt;0,"Currency mismatch",IF(COUNTIFS(Trades!$B$9:$B$508,_EngineCycles!B54,Trades!$S$9:$S$508,"&lt;&gt;OK",Trades!$A$9:$A$508,"&lt;&gt;")&gt;0,"Check trades","OK"))))</f>
        <v/>
      </c>
      <c r="S54" s="34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P$9:$P$508),0),"")))</f>
        <v/>
      </c>
      <c r="T54" s="31" t="str">
        <f>IF(NOT(_EngineCycles!A54&lt;&gt;""),"",IF(NOT($R54="OK"),"",_EngineCycles!W54))</f>
        <v/>
      </c>
      <c r="U54" s="22"/>
      <c r="V54" s="22"/>
      <c r="W54" s="22"/>
      <c r="X54" s="22"/>
      <c r="Y54" t="str">
        <f>IF(AND($C54=Overview!$P$2,$Q54="Open",$R54="OK"),COUNTIFS($C$9:$C54,Overview!$P$2,$Q$9:$Q54,"Open",$R$9:$R54,"OK"),"")</f>
        <v/>
      </c>
    </row>
    <row r="55" spans="1:25" ht="23.1" customHeight="1" x14ac:dyDescent="0.25">
      <c r="A55" s="18" t="str">
        <f>IF(_EngineCycles!A55="","",_EngineCycles!B55&amp;IF(_EngineCycles!C55&gt;1," / "&amp;_EngineCycles!C55,""))</f>
        <v/>
      </c>
      <c r="B55" s="18" t="str">
        <f>IF(_EngineCycles!A55="","",_EngineCycles!D55)</f>
        <v/>
      </c>
      <c r="C55" s="18" t="str">
        <f>IF(_EngineCycles!A55="","",IFERROR(INDEX(Trades!$D$9:$D$508,_EngineCycles!AG55-8),""))</f>
        <v/>
      </c>
      <c r="D55" s="25" t="str">
        <f>IF(_EngineCycles!A55="","",IF($R55&lt;&gt;"OK","Review",IF(_EngineCycles!E55="Closed","Closed",IF(_EngineCycles!P55&gt;0,IF(IFERROR(LOOKUP(2,1/((_EngineTrades!$AU$9:$AU$508=_EngineCycles!A55)),_EngineTrades!$AQ$9:$AQ$508),0)&gt;0,"Covered Call","Shares Held"),"Cash-Secured Put"))))</f>
        <v/>
      </c>
      <c r="E55" s="26" t="str">
        <f>IF(NOT(_EngineCycles!A55&lt;&gt;""),"",IF(NOT($R55="OK"),"",_EngineCycles!P55))</f>
        <v/>
      </c>
      <c r="F55" s="17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AH$9:$AH$508),0),"")))</f>
        <v/>
      </c>
      <c r="G55" s="17" t="str">
        <f>IF(NOT(_EngineCycles!A55&lt;&gt;""),"",IF(NOT($R55="OK"),"",_EngineCycles!Q55))</f>
        <v/>
      </c>
      <c r="H55" s="27" t="str">
        <f>IF(NOT(_EngineCycles!A55&lt;&gt;""),"",IF(NOT($R55="OK"),"",_EngineCycles!J55))</f>
        <v/>
      </c>
      <c r="I55" s="17" t="str">
        <f>IF(NOT(_EngineCycles!A55&lt;&gt;""),"",IF(NOT($R55="OK"),"",_EngineCycles!I55))</f>
        <v/>
      </c>
      <c r="J55" s="17" t="str">
        <f>IF(NOT(_EngineCycles!A55&lt;&gt;""),"",IF(NOT($R55="OK"),"",_EngineCycles!L55))</f>
        <v/>
      </c>
      <c r="K55" s="17" t="str">
        <f>IF(NOT(_EngineCycles!A55&lt;&gt;""),"",IF(NOT($R55="OK"),"",_EngineCycles!U55))</f>
        <v/>
      </c>
      <c r="L55" s="27" t="str">
        <f>IF(NOT(_EngineCycles!A55&lt;&gt;""),"",IF(NOT($R55="OK"),"",_EngineCycles!AE55))</f>
        <v/>
      </c>
      <c r="M55" s="17" t="str">
        <f>IF(NOT(_EngineCycles!A55&lt;&gt;""),"",IF(NOT($R55="OK"),"",_EngineCycles!O55))</f>
        <v/>
      </c>
      <c r="N55" s="27" t="str">
        <f>IF(NOT(_EngineCycles!A55&lt;&gt;""),"",IF(NOT($R55="OK"),"",IF(_EngineCycles!E55="Closed",_EngineCycles!O55,"")))</f>
        <v/>
      </c>
      <c r="O55" s="28" t="str">
        <f>IF(NOT(_EngineCycles!A55&lt;&gt;""),"",IF(NOT($R55="OK"),"",_EngineCycles!Y55))</f>
        <v/>
      </c>
      <c r="P55" s="17" t="str">
        <f>IF(NOT(_EngineCycles!A55&lt;&gt;""),"",IF(NOT($R55="OK"),"",_EngineCycles!S55))</f>
        <v/>
      </c>
      <c r="Q55" s="25" t="str">
        <f>IF(_EngineCycles!A55="","",IF($R55&lt;&gt;"OK","Review",IF(_EngineCycles!E55="Closed","Closed","Open")))</f>
        <v/>
      </c>
      <c r="R55" s="18" t="str">
        <f>IF(_EngineCycles!A55="","",IF(COUNTIFS(Trades!$B$9:$B$508,_EngineCycles!B55,Trades!$C$9:$C$508,"&lt;&gt;"&amp;$B55,Trades!$A$9:$A$508,"&lt;&gt;")&gt;0,"Ticker mismatch",IF(COUNTIFS(Trades!$B$9:$B$508,_EngineCycles!B55,Trades!$D$9:$D$508,"&lt;&gt;"&amp;$C55,Trades!$A$9:$A$508,"&lt;&gt;")&gt;0,"Currency mismatch",IF(COUNTIFS(Trades!$B$9:$B$508,_EngineCycles!B55,Trades!$S$9:$S$508,"&lt;&gt;OK",Trades!$A$9:$A$508,"&lt;&gt;")&gt;0,"Check trades","OK"))))</f>
        <v/>
      </c>
      <c r="S55" s="29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P$9:$P$508),0),"")))</f>
        <v/>
      </c>
      <c r="T55" s="26" t="str">
        <f>IF(NOT(_EngineCycles!A55&lt;&gt;""),"",IF(NOT($R55="OK"),"",_EngineCycles!W55))</f>
        <v/>
      </c>
      <c r="U55" s="16"/>
      <c r="V55" s="16"/>
      <c r="W55" s="16"/>
      <c r="X55" s="16"/>
      <c r="Y55" t="str">
        <f>IF(AND($C55=Overview!$P$2,$Q55="Open",$R55="OK"),COUNTIFS($C$9:$C55,Overview!$P$2,$Q$9:$Q55,"Open",$R$9:$R55,"OK"),"")</f>
        <v/>
      </c>
    </row>
    <row r="56" spans="1:25" ht="23.1" customHeight="1" x14ac:dyDescent="0.25">
      <c r="A56" s="24" t="str">
        <f>IF(_EngineCycles!A56="","",_EngineCycles!B56&amp;IF(_EngineCycles!C56&gt;1," / "&amp;_EngineCycles!C56,""))</f>
        <v/>
      </c>
      <c r="B56" s="24" t="str">
        <f>IF(_EngineCycles!A56="","",_EngineCycles!D56)</f>
        <v/>
      </c>
      <c r="C56" s="24" t="str">
        <f>IF(_EngineCycles!A56="","",IFERROR(INDEX(Trades!$D$9:$D$508,_EngineCycles!AG56-8),""))</f>
        <v/>
      </c>
      <c r="D56" s="30" t="str">
        <f>IF(_EngineCycles!A56="","",IF($R56&lt;&gt;"OK","Review",IF(_EngineCycles!E56="Closed","Closed",IF(_EngineCycles!P56&gt;0,IF(IFERROR(LOOKUP(2,1/((_EngineTrades!$AU$9:$AU$508=_EngineCycles!A56)),_EngineTrades!$AQ$9:$AQ$508),0)&gt;0,"Covered Call","Shares Held"),"Cash-Secured Put"))))</f>
        <v/>
      </c>
      <c r="E56" s="31" t="str">
        <f>IF(NOT(_EngineCycles!A56&lt;&gt;""),"",IF(NOT($R56="OK"),"",_EngineCycles!P56))</f>
        <v/>
      </c>
      <c r="F56" s="23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AH$9:$AH$508),0),"")))</f>
        <v/>
      </c>
      <c r="G56" s="23" t="str">
        <f>IF(NOT(_EngineCycles!A56&lt;&gt;""),"",IF(NOT($R56="OK"),"",_EngineCycles!Q56))</f>
        <v/>
      </c>
      <c r="H56" s="32" t="str">
        <f>IF(NOT(_EngineCycles!A56&lt;&gt;""),"",IF(NOT($R56="OK"),"",_EngineCycles!J56))</f>
        <v/>
      </c>
      <c r="I56" s="23" t="str">
        <f>IF(NOT(_EngineCycles!A56&lt;&gt;""),"",IF(NOT($R56="OK"),"",_EngineCycles!I56))</f>
        <v/>
      </c>
      <c r="J56" s="23" t="str">
        <f>IF(NOT(_EngineCycles!A56&lt;&gt;""),"",IF(NOT($R56="OK"),"",_EngineCycles!L56))</f>
        <v/>
      </c>
      <c r="K56" s="23" t="str">
        <f>IF(NOT(_EngineCycles!A56&lt;&gt;""),"",IF(NOT($R56="OK"),"",_EngineCycles!U56))</f>
        <v/>
      </c>
      <c r="L56" s="32" t="str">
        <f>IF(NOT(_EngineCycles!A56&lt;&gt;""),"",IF(NOT($R56="OK"),"",_EngineCycles!AE56))</f>
        <v/>
      </c>
      <c r="M56" s="23" t="str">
        <f>IF(NOT(_EngineCycles!A56&lt;&gt;""),"",IF(NOT($R56="OK"),"",_EngineCycles!O56))</f>
        <v/>
      </c>
      <c r="N56" s="32" t="str">
        <f>IF(NOT(_EngineCycles!A56&lt;&gt;""),"",IF(NOT($R56="OK"),"",IF(_EngineCycles!E56="Closed",_EngineCycles!O56,"")))</f>
        <v/>
      </c>
      <c r="O56" s="33" t="str">
        <f>IF(NOT(_EngineCycles!A56&lt;&gt;""),"",IF(NOT($R56="OK"),"",_EngineCycles!Y56))</f>
        <v/>
      </c>
      <c r="P56" s="23" t="str">
        <f>IF(NOT(_EngineCycles!A56&lt;&gt;""),"",IF(NOT($R56="OK"),"",_EngineCycles!S56))</f>
        <v/>
      </c>
      <c r="Q56" s="30" t="str">
        <f>IF(_EngineCycles!A56="","",IF($R56&lt;&gt;"OK","Review",IF(_EngineCycles!E56="Closed","Closed","Open")))</f>
        <v/>
      </c>
      <c r="R56" s="24" t="str">
        <f>IF(_EngineCycles!A56="","",IF(COUNTIFS(Trades!$B$9:$B$508,_EngineCycles!B56,Trades!$C$9:$C$508,"&lt;&gt;"&amp;$B56,Trades!$A$9:$A$508,"&lt;&gt;")&gt;0,"Ticker mismatch",IF(COUNTIFS(Trades!$B$9:$B$508,_EngineCycles!B56,Trades!$D$9:$D$508,"&lt;&gt;"&amp;$C56,Trades!$A$9:$A$508,"&lt;&gt;")&gt;0,"Currency mismatch",IF(COUNTIFS(Trades!$B$9:$B$508,_EngineCycles!B56,Trades!$S$9:$S$508,"&lt;&gt;OK",Trades!$A$9:$A$508,"&lt;&gt;")&gt;0,"Check trades","OK"))))</f>
        <v/>
      </c>
      <c r="S56" s="34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P$9:$P$508),0),"")))</f>
        <v/>
      </c>
      <c r="T56" s="31" t="str">
        <f>IF(NOT(_EngineCycles!A56&lt;&gt;""),"",IF(NOT($R56="OK"),"",_EngineCycles!W56))</f>
        <v/>
      </c>
      <c r="U56" s="22"/>
      <c r="V56" s="22"/>
      <c r="W56" s="22"/>
      <c r="X56" s="22"/>
      <c r="Y56" t="str">
        <f>IF(AND($C56=Overview!$P$2,$Q56="Open",$R56="OK"),COUNTIFS($C$9:$C56,Overview!$P$2,$Q$9:$Q56,"Open",$R$9:$R56,"OK"),"")</f>
        <v/>
      </c>
    </row>
    <row r="57" spans="1:25" ht="23.1" customHeight="1" x14ac:dyDescent="0.25">
      <c r="A57" s="18" t="str">
        <f>IF(_EngineCycles!A57="","",_EngineCycles!B57&amp;IF(_EngineCycles!C57&gt;1," / "&amp;_EngineCycles!C57,""))</f>
        <v/>
      </c>
      <c r="B57" s="18" t="str">
        <f>IF(_EngineCycles!A57="","",_EngineCycles!D57)</f>
        <v/>
      </c>
      <c r="C57" s="18" t="str">
        <f>IF(_EngineCycles!A57="","",IFERROR(INDEX(Trades!$D$9:$D$508,_EngineCycles!AG57-8),""))</f>
        <v/>
      </c>
      <c r="D57" s="25" t="str">
        <f>IF(_EngineCycles!A57="","",IF($R57&lt;&gt;"OK","Review",IF(_EngineCycles!E57="Closed","Closed",IF(_EngineCycles!P57&gt;0,IF(IFERROR(LOOKUP(2,1/((_EngineTrades!$AU$9:$AU$508=_EngineCycles!A57)),_EngineTrades!$AQ$9:$AQ$508),0)&gt;0,"Covered Call","Shares Held"),"Cash-Secured Put"))))</f>
        <v/>
      </c>
      <c r="E57" s="26" t="str">
        <f>IF(NOT(_EngineCycles!A57&lt;&gt;""),"",IF(NOT($R57="OK"),"",_EngineCycles!P57))</f>
        <v/>
      </c>
      <c r="F57" s="17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AH$9:$AH$508),0),"")))</f>
        <v/>
      </c>
      <c r="G57" s="17" t="str">
        <f>IF(NOT(_EngineCycles!A57&lt;&gt;""),"",IF(NOT($R57="OK"),"",_EngineCycles!Q57))</f>
        <v/>
      </c>
      <c r="H57" s="27" t="str">
        <f>IF(NOT(_EngineCycles!A57&lt;&gt;""),"",IF(NOT($R57="OK"),"",_EngineCycles!J57))</f>
        <v/>
      </c>
      <c r="I57" s="17" t="str">
        <f>IF(NOT(_EngineCycles!A57&lt;&gt;""),"",IF(NOT($R57="OK"),"",_EngineCycles!I57))</f>
        <v/>
      </c>
      <c r="J57" s="17" t="str">
        <f>IF(NOT(_EngineCycles!A57&lt;&gt;""),"",IF(NOT($R57="OK"),"",_EngineCycles!L57))</f>
        <v/>
      </c>
      <c r="K57" s="17" t="str">
        <f>IF(NOT(_EngineCycles!A57&lt;&gt;""),"",IF(NOT($R57="OK"),"",_EngineCycles!U57))</f>
        <v/>
      </c>
      <c r="L57" s="27" t="str">
        <f>IF(NOT(_EngineCycles!A57&lt;&gt;""),"",IF(NOT($R57="OK"),"",_EngineCycles!AE57))</f>
        <v/>
      </c>
      <c r="M57" s="17" t="str">
        <f>IF(NOT(_EngineCycles!A57&lt;&gt;""),"",IF(NOT($R57="OK"),"",_EngineCycles!O57))</f>
        <v/>
      </c>
      <c r="N57" s="27" t="str">
        <f>IF(NOT(_EngineCycles!A57&lt;&gt;""),"",IF(NOT($R57="OK"),"",IF(_EngineCycles!E57="Closed",_EngineCycles!O57,"")))</f>
        <v/>
      </c>
      <c r="O57" s="28" t="str">
        <f>IF(NOT(_EngineCycles!A57&lt;&gt;""),"",IF(NOT($R57="OK"),"",_EngineCycles!Y57))</f>
        <v/>
      </c>
      <c r="P57" s="17" t="str">
        <f>IF(NOT(_EngineCycles!A57&lt;&gt;""),"",IF(NOT($R57="OK"),"",_EngineCycles!S57))</f>
        <v/>
      </c>
      <c r="Q57" s="25" t="str">
        <f>IF(_EngineCycles!A57="","",IF($R57&lt;&gt;"OK","Review",IF(_EngineCycles!E57="Closed","Closed","Open")))</f>
        <v/>
      </c>
      <c r="R57" s="18" t="str">
        <f>IF(_EngineCycles!A57="","",IF(COUNTIFS(Trades!$B$9:$B$508,_EngineCycles!B57,Trades!$C$9:$C$508,"&lt;&gt;"&amp;$B57,Trades!$A$9:$A$508,"&lt;&gt;")&gt;0,"Ticker mismatch",IF(COUNTIFS(Trades!$B$9:$B$508,_EngineCycles!B57,Trades!$D$9:$D$508,"&lt;&gt;"&amp;$C57,Trades!$A$9:$A$508,"&lt;&gt;")&gt;0,"Currency mismatch",IF(COUNTIFS(Trades!$B$9:$B$508,_EngineCycles!B57,Trades!$S$9:$S$508,"&lt;&gt;OK",Trades!$A$9:$A$508,"&lt;&gt;")&gt;0,"Check trades","OK"))))</f>
        <v/>
      </c>
      <c r="S57" s="29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P$9:$P$508),0),"")))</f>
        <v/>
      </c>
      <c r="T57" s="26" t="str">
        <f>IF(NOT(_EngineCycles!A57&lt;&gt;""),"",IF(NOT($R57="OK"),"",_EngineCycles!W57))</f>
        <v/>
      </c>
      <c r="U57" s="16"/>
      <c r="V57" s="16"/>
      <c r="W57" s="16"/>
      <c r="X57" s="16"/>
      <c r="Y57" t="str">
        <f>IF(AND($C57=Overview!$P$2,$Q57="Open",$R57="OK"),COUNTIFS($C$9:$C57,Overview!$P$2,$Q$9:$Q57,"Open",$R$9:$R57,"OK"),"")</f>
        <v/>
      </c>
    </row>
    <row r="58" spans="1:25" ht="23.1" customHeight="1" x14ac:dyDescent="0.25">
      <c r="A58" s="24" t="str">
        <f>IF(_EngineCycles!A58="","",_EngineCycles!B58&amp;IF(_EngineCycles!C58&gt;1," / "&amp;_EngineCycles!C58,""))</f>
        <v/>
      </c>
      <c r="B58" s="24" t="str">
        <f>IF(_EngineCycles!A58="","",_EngineCycles!D58)</f>
        <v/>
      </c>
      <c r="C58" s="24" t="str">
        <f>IF(_EngineCycles!A58="","",IFERROR(INDEX(Trades!$D$9:$D$508,_EngineCycles!AG58-8),""))</f>
        <v/>
      </c>
      <c r="D58" s="30" t="str">
        <f>IF(_EngineCycles!A58="","",IF($R58&lt;&gt;"OK","Review",IF(_EngineCycles!E58="Closed","Closed",IF(_EngineCycles!P58&gt;0,IF(IFERROR(LOOKUP(2,1/((_EngineTrades!$AU$9:$AU$508=_EngineCycles!A58)),_EngineTrades!$AQ$9:$AQ$508),0)&gt;0,"Covered Call","Shares Held"),"Cash-Secured Put"))))</f>
        <v/>
      </c>
      <c r="E58" s="31" t="str">
        <f>IF(NOT(_EngineCycles!A58&lt;&gt;""),"",IF(NOT($R58="OK"),"",_EngineCycles!P58))</f>
        <v/>
      </c>
      <c r="F58" s="23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AH$9:$AH$508),0),"")))</f>
        <v/>
      </c>
      <c r="G58" s="23" t="str">
        <f>IF(NOT(_EngineCycles!A58&lt;&gt;""),"",IF(NOT($R58="OK"),"",_EngineCycles!Q58))</f>
        <v/>
      </c>
      <c r="H58" s="32" t="str">
        <f>IF(NOT(_EngineCycles!A58&lt;&gt;""),"",IF(NOT($R58="OK"),"",_EngineCycles!J58))</f>
        <v/>
      </c>
      <c r="I58" s="23" t="str">
        <f>IF(NOT(_EngineCycles!A58&lt;&gt;""),"",IF(NOT($R58="OK"),"",_EngineCycles!I58))</f>
        <v/>
      </c>
      <c r="J58" s="23" t="str">
        <f>IF(NOT(_EngineCycles!A58&lt;&gt;""),"",IF(NOT($R58="OK"),"",_EngineCycles!L58))</f>
        <v/>
      </c>
      <c r="K58" s="23" t="str">
        <f>IF(NOT(_EngineCycles!A58&lt;&gt;""),"",IF(NOT($R58="OK"),"",_EngineCycles!U58))</f>
        <v/>
      </c>
      <c r="L58" s="32" t="str">
        <f>IF(NOT(_EngineCycles!A58&lt;&gt;""),"",IF(NOT($R58="OK"),"",_EngineCycles!AE58))</f>
        <v/>
      </c>
      <c r="M58" s="23" t="str">
        <f>IF(NOT(_EngineCycles!A58&lt;&gt;""),"",IF(NOT($R58="OK"),"",_EngineCycles!O58))</f>
        <v/>
      </c>
      <c r="N58" s="32" t="str">
        <f>IF(NOT(_EngineCycles!A58&lt;&gt;""),"",IF(NOT($R58="OK"),"",IF(_EngineCycles!E58="Closed",_EngineCycles!O58,"")))</f>
        <v/>
      </c>
      <c r="O58" s="33" t="str">
        <f>IF(NOT(_EngineCycles!A58&lt;&gt;""),"",IF(NOT($R58="OK"),"",_EngineCycles!Y58))</f>
        <v/>
      </c>
      <c r="P58" s="23" t="str">
        <f>IF(NOT(_EngineCycles!A58&lt;&gt;""),"",IF(NOT($R58="OK"),"",_EngineCycles!S58))</f>
        <v/>
      </c>
      <c r="Q58" s="30" t="str">
        <f>IF(_EngineCycles!A58="","",IF($R58&lt;&gt;"OK","Review",IF(_EngineCycles!E58="Closed","Closed","Open")))</f>
        <v/>
      </c>
      <c r="R58" s="24" t="str">
        <f>IF(_EngineCycles!A58="","",IF(COUNTIFS(Trades!$B$9:$B$508,_EngineCycles!B58,Trades!$C$9:$C$508,"&lt;&gt;"&amp;$B58,Trades!$A$9:$A$508,"&lt;&gt;")&gt;0,"Ticker mismatch",IF(COUNTIFS(Trades!$B$9:$B$508,_EngineCycles!B58,Trades!$D$9:$D$508,"&lt;&gt;"&amp;$C58,Trades!$A$9:$A$508,"&lt;&gt;")&gt;0,"Currency mismatch",IF(COUNTIFS(Trades!$B$9:$B$508,_EngineCycles!B58,Trades!$S$9:$S$508,"&lt;&gt;OK",Trades!$A$9:$A$508,"&lt;&gt;")&gt;0,"Check trades","OK"))))</f>
        <v/>
      </c>
      <c r="S58" s="34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P$9:$P$508),0),"")))</f>
        <v/>
      </c>
      <c r="T58" s="31" t="str">
        <f>IF(NOT(_EngineCycles!A58&lt;&gt;""),"",IF(NOT($R58="OK"),"",_EngineCycles!W58))</f>
        <v/>
      </c>
      <c r="U58" s="22"/>
      <c r="V58" s="22"/>
      <c r="W58" s="22"/>
      <c r="X58" s="22"/>
      <c r="Y58" t="str">
        <f>IF(AND($C58=Overview!$P$2,$Q58="Open",$R58="OK"),COUNTIFS($C$9:$C58,Overview!$P$2,$Q$9:$Q58,"Open",$R$9:$R58,"OK"),"")</f>
        <v/>
      </c>
    </row>
    <row r="59" spans="1:25" ht="23.1" customHeight="1" x14ac:dyDescent="0.25">
      <c r="A59" s="18" t="str">
        <f>IF(_EngineCycles!A59="","",_EngineCycles!B59&amp;IF(_EngineCycles!C59&gt;1," / "&amp;_EngineCycles!C59,""))</f>
        <v/>
      </c>
      <c r="B59" s="18" t="str">
        <f>IF(_EngineCycles!A59="","",_EngineCycles!D59)</f>
        <v/>
      </c>
      <c r="C59" s="18" t="str">
        <f>IF(_EngineCycles!A59="","",IFERROR(INDEX(Trades!$D$9:$D$508,_EngineCycles!AG59-8),""))</f>
        <v/>
      </c>
      <c r="D59" s="25" t="str">
        <f>IF(_EngineCycles!A59="","",IF($R59&lt;&gt;"OK","Review",IF(_EngineCycles!E59="Closed","Closed",IF(_EngineCycles!P59&gt;0,IF(IFERROR(LOOKUP(2,1/((_EngineTrades!$AU$9:$AU$508=_EngineCycles!A59)),_EngineTrades!$AQ$9:$AQ$508),0)&gt;0,"Covered Call","Shares Held"),"Cash-Secured Put"))))</f>
        <v/>
      </c>
      <c r="E59" s="26" t="str">
        <f>IF(NOT(_EngineCycles!A59&lt;&gt;""),"",IF(NOT($R59="OK"),"",_EngineCycles!P59))</f>
        <v/>
      </c>
      <c r="F59" s="17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AH$9:$AH$508),0),"")))</f>
        <v/>
      </c>
      <c r="G59" s="17" t="str">
        <f>IF(NOT(_EngineCycles!A59&lt;&gt;""),"",IF(NOT($R59="OK"),"",_EngineCycles!Q59))</f>
        <v/>
      </c>
      <c r="H59" s="27" t="str">
        <f>IF(NOT(_EngineCycles!A59&lt;&gt;""),"",IF(NOT($R59="OK"),"",_EngineCycles!J59))</f>
        <v/>
      </c>
      <c r="I59" s="17" t="str">
        <f>IF(NOT(_EngineCycles!A59&lt;&gt;""),"",IF(NOT($R59="OK"),"",_EngineCycles!I59))</f>
        <v/>
      </c>
      <c r="J59" s="17" t="str">
        <f>IF(NOT(_EngineCycles!A59&lt;&gt;""),"",IF(NOT($R59="OK"),"",_EngineCycles!L59))</f>
        <v/>
      </c>
      <c r="K59" s="17" t="str">
        <f>IF(NOT(_EngineCycles!A59&lt;&gt;""),"",IF(NOT($R59="OK"),"",_EngineCycles!U59))</f>
        <v/>
      </c>
      <c r="L59" s="27" t="str">
        <f>IF(NOT(_EngineCycles!A59&lt;&gt;""),"",IF(NOT($R59="OK"),"",_EngineCycles!AE59))</f>
        <v/>
      </c>
      <c r="M59" s="17" t="str">
        <f>IF(NOT(_EngineCycles!A59&lt;&gt;""),"",IF(NOT($R59="OK"),"",_EngineCycles!O59))</f>
        <v/>
      </c>
      <c r="N59" s="27" t="str">
        <f>IF(NOT(_EngineCycles!A59&lt;&gt;""),"",IF(NOT($R59="OK"),"",IF(_EngineCycles!E59="Closed",_EngineCycles!O59,"")))</f>
        <v/>
      </c>
      <c r="O59" s="28" t="str">
        <f>IF(NOT(_EngineCycles!A59&lt;&gt;""),"",IF(NOT($R59="OK"),"",_EngineCycles!Y59))</f>
        <v/>
      </c>
      <c r="P59" s="17" t="str">
        <f>IF(NOT(_EngineCycles!A59&lt;&gt;""),"",IF(NOT($R59="OK"),"",_EngineCycles!S59))</f>
        <v/>
      </c>
      <c r="Q59" s="25" t="str">
        <f>IF(_EngineCycles!A59="","",IF($R59&lt;&gt;"OK","Review",IF(_EngineCycles!E59="Closed","Closed","Open")))</f>
        <v/>
      </c>
      <c r="R59" s="18" t="str">
        <f>IF(_EngineCycles!A59="","",IF(COUNTIFS(Trades!$B$9:$B$508,_EngineCycles!B59,Trades!$C$9:$C$508,"&lt;&gt;"&amp;$B59,Trades!$A$9:$A$508,"&lt;&gt;")&gt;0,"Ticker mismatch",IF(COUNTIFS(Trades!$B$9:$B$508,_EngineCycles!B59,Trades!$D$9:$D$508,"&lt;&gt;"&amp;$C59,Trades!$A$9:$A$508,"&lt;&gt;")&gt;0,"Currency mismatch",IF(COUNTIFS(Trades!$B$9:$B$508,_EngineCycles!B59,Trades!$S$9:$S$508,"&lt;&gt;OK",Trades!$A$9:$A$508,"&lt;&gt;")&gt;0,"Check trades","OK"))))</f>
        <v/>
      </c>
      <c r="S59" s="29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P$9:$P$508),0),"")))</f>
        <v/>
      </c>
      <c r="T59" s="26" t="str">
        <f>IF(NOT(_EngineCycles!A59&lt;&gt;""),"",IF(NOT($R59="OK"),"",_EngineCycles!W59))</f>
        <v/>
      </c>
      <c r="U59" s="16"/>
      <c r="V59" s="16"/>
      <c r="W59" s="16"/>
      <c r="X59" s="16"/>
      <c r="Y59" t="str">
        <f>IF(AND($C59=Overview!$P$2,$Q59="Open",$R59="OK"),COUNTIFS($C$9:$C59,Overview!$P$2,$Q$9:$Q59,"Open",$R$9:$R59,"OK"),"")</f>
        <v/>
      </c>
    </row>
    <row r="60" spans="1:25" ht="23.1" customHeight="1" x14ac:dyDescent="0.25">
      <c r="A60" s="24" t="str">
        <f>IF(_EngineCycles!A60="","",_EngineCycles!B60&amp;IF(_EngineCycles!C60&gt;1," / "&amp;_EngineCycles!C60,""))</f>
        <v/>
      </c>
      <c r="B60" s="24" t="str">
        <f>IF(_EngineCycles!A60="","",_EngineCycles!D60)</f>
        <v/>
      </c>
      <c r="C60" s="24" t="str">
        <f>IF(_EngineCycles!A60="","",IFERROR(INDEX(Trades!$D$9:$D$508,_EngineCycles!AG60-8),""))</f>
        <v/>
      </c>
      <c r="D60" s="30" t="str">
        <f>IF(_EngineCycles!A60="","",IF($R60&lt;&gt;"OK","Review",IF(_EngineCycles!E60="Closed","Closed",IF(_EngineCycles!P60&gt;0,IF(IFERROR(LOOKUP(2,1/((_EngineTrades!$AU$9:$AU$508=_EngineCycles!A60)),_EngineTrades!$AQ$9:$AQ$508),0)&gt;0,"Covered Call","Shares Held"),"Cash-Secured Put"))))</f>
        <v/>
      </c>
      <c r="E60" s="31" t="str">
        <f>IF(NOT(_EngineCycles!A60&lt;&gt;""),"",IF(NOT($R60="OK"),"",_EngineCycles!P60))</f>
        <v/>
      </c>
      <c r="F60" s="23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AH$9:$AH$508),0),"")))</f>
        <v/>
      </c>
      <c r="G60" s="23" t="str">
        <f>IF(NOT(_EngineCycles!A60&lt;&gt;""),"",IF(NOT($R60="OK"),"",_EngineCycles!Q60))</f>
        <v/>
      </c>
      <c r="H60" s="32" t="str">
        <f>IF(NOT(_EngineCycles!A60&lt;&gt;""),"",IF(NOT($R60="OK"),"",_EngineCycles!J60))</f>
        <v/>
      </c>
      <c r="I60" s="23" t="str">
        <f>IF(NOT(_EngineCycles!A60&lt;&gt;""),"",IF(NOT($R60="OK"),"",_EngineCycles!I60))</f>
        <v/>
      </c>
      <c r="J60" s="23" t="str">
        <f>IF(NOT(_EngineCycles!A60&lt;&gt;""),"",IF(NOT($R60="OK"),"",_EngineCycles!L60))</f>
        <v/>
      </c>
      <c r="K60" s="23" t="str">
        <f>IF(NOT(_EngineCycles!A60&lt;&gt;""),"",IF(NOT($R60="OK"),"",_EngineCycles!U60))</f>
        <v/>
      </c>
      <c r="L60" s="32" t="str">
        <f>IF(NOT(_EngineCycles!A60&lt;&gt;""),"",IF(NOT($R60="OK"),"",_EngineCycles!AE60))</f>
        <v/>
      </c>
      <c r="M60" s="23" t="str">
        <f>IF(NOT(_EngineCycles!A60&lt;&gt;""),"",IF(NOT($R60="OK"),"",_EngineCycles!O60))</f>
        <v/>
      </c>
      <c r="N60" s="32" t="str">
        <f>IF(NOT(_EngineCycles!A60&lt;&gt;""),"",IF(NOT($R60="OK"),"",IF(_EngineCycles!E60="Closed",_EngineCycles!O60,"")))</f>
        <v/>
      </c>
      <c r="O60" s="33" t="str">
        <f>IF(NOT(_EngineCycles!A60&lt;&gt;""),"",IF(NOT($R60="OK"),"",_EngineCycles!Y60))</f>
        <v/>
      </c>
      <c r="P60" s="23" t="str">
        <f>IF(NOT(_EngineCycles!A60&lt;&gt;""),"",IF(NOT($R60="OK"),"",_EngineCycles!S60))</f>
        <v/>
      </c>
      <c r="Q60" s="30" t="str">
        <f>IF(_EngineCycles!A60="","",IF($R60&lt;&gt;"OK","Review",IF(_EngineCycles!E60="Closed","Closed","Open")))</f>
        <v/>
      </c>
      <c r="R60" s="24" t="str">
        <f>IF(_EngineCycles!A60="","",IF(COUNTIFS(Trades!$B$9:$B$508,_EngineCycles!B60,Trades!$C$9:$C$508,"&lt;&gt;"&amp;$B60,Trades!$A$9:$A$508,"&lt;&gt;")&gt;0,"Ticker mismatch",IF(COUNTIFS(Trades!$B$9:$B$508,_EngineCycles!B60,Trades!$D$9:$D$508,"&lt;&gt;"&amp;$C60,Trades!$A$9:$A$508,"&lt;&gt;")&gt;0,"Currency mismatch",IF(COUNTIFS(Trades!$B$9:$B$508,_EngineCycles!B60,Trades!$S$9:$S$508,"&lt;&gt;OK",Trades!$A$9:$A$508,"&lt;&gt;")&gt;0,"Check trades","OK"))))</f>
        <v/>
      </c>
      <c r="S60" s="34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P$9:$P$508),0),"")))</f>
        <v/>
      </c>
      <c r="T60" s="31" t="str">
        <f>IF(NOT(_EngineCycles!A60&lt;&gt;""),"",IF(NOT($R60="OK"),"",_EngineCycles!W60))</f>
        <v/>
      </c>
      <c r="U60" s="22"/>
      <c r="V60" s="22"/>
      <c r="W60" s="22"/>
      <c r="X60" s="22"/>
      <c r="Y60" t="str">
        <f>IF(AND($C60=Overview!$P$2,$Q60="Open",$R60="OK"),COUNTIFS($C$9:$C60,Overview!$P$2,$Q$9:$Q60,"Open",$R$9:$R60,"OK"),"")</f>
        <v/>
      </c>
    </row>
    <row r="61" spans="1:25" ht="23.1" customHeight="1" x14ac:dyDescent="0.25">
      <c r="A61" s="18" t="str">
        <f>IF(_EngineCycles!A61="","",_EngineCycles!B61&amp;IF(_EngineCycles!C61&gt;1," / "&amp;_EngineCycles!C61,""))</f>
        <v/>
      </c>
      <c r="B61" s="18" t="str">
        <f>IF(_EngineCycles!A61="","",_EngineCycles!D61)</f>
        <v/>
      </c>
      <c r="C61" s="18" t="str">
        <f>IF(_EngineCycles!A61="","",IFERROR(INDEX(Trades!$D$9:$D$508,_EngineCycles!AG61-8),""))</f>
        <v/>
      </c>
      <c r="D61" s="25" t="str">
        <f>IF(_EngineCycles!A61="","",IF($R61&lt;&gt;"OK","Review",IF(_EngineCycles!E61="Closed","Closed",IF(_EngineCycles!P61&gt;0,IF(IFERROR(LOOKUP(2,1/((_EngineTrades!$AU$9:$AU$508=_EngineCycles!A61)),_EngineTrades!$AQ$9:$AQ$508),0)&gt;0,"Covered Call","Shares Held"),"Cash-Secured Put"))))</f>
        <v/>
      </c>
      <c r="E61" s="26" t="str">
        <f>IF(NOT(_EngineCycles!A61&lt;&gt;""),"",IF(NOT($R61="OK"),"",_EngineCycles!P61))</f>
        <v/>
      </c>
      <c r="F61" s="17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AH$9:$AH$508),0),"")))</f>
        <v/>
      </c>
      <c r="G61" s="17" t="str">
        <f>IF(NOT(_EngineCycles!A61&lt;&gt;""),"",IF(NOT($R61="OK"),"",_EngineCycles!Q61))</f>
        <v/>
      </c>
      <c r="H61" s="27" t="str">
        <f>IF(NOT(_EngineCycles!A61&lt;&gt;""),"",IF(NOT($R61="OK"),"",_EngineCycles!J61))</f>
        <v/>
      </c>
      <c r="I61" s="17" t="str">
        <f>IF(NOT(_EngineCycles!A61&lt;&gt;""),"",IF(NOT($R61="OK"),"",_EngineCycles!I61))</f>
        <v/>
      </c>
      <c r="J61" s="17" t="str">
        <f>IF(NOT(_EngineCycles!A61&lt;&gt;""),"",IF(NOT($R61="OK"),"",_EngineCycles!L61))</f>
        <v/>
      </c>
      <c r="K61" s="17" t="str">
        <f>IF(NOT(_EngineCycles!A61&lt;&gt;""),"",IF(NOT($R61="OK"),"",_EngineCycles!U61))</f>
        <v/>
      </c>
      <c r="L61" s="27" t="str">
        <f>IF(NOT(_EngineCycles!A61&lt;&gt;""),"",IF(NOT($R61="OK"),"",_EngineCycles!AE61))</f>
        <v/>
      </c>
      <c r="M61" s="17" t="str">
        <f>IF(NOT(_EngineCycles!A61&lt;&gt;""),"",IF(NOT($R61="OK"),"",_EngineCycles!O61))</f>
        <v/>
      </c>
      <c r="N61" s="27" t="str">
        <f>IF(NOT(_EngineCycles!A61&lt;&gt;""),"",IF(NOT($R61="OK"),"",IF(_EngineCycles!E61="Closed",_EngineCycles!O61,"")))</f>
        <v/>
      </c>
      <c r="O61" s="28" t="str">
        <f>IF(NOT(_EngineCycles!A61&lt;&gt;""),"",IF(NOT($R61="OK"),"",_EngineCycles!Y61))</f>
        <v/>
      </c>
      <c r="P61" s="17" t="str">
        <f>IF(NOT(_EngineCycles!A61&lt;&gt;""),"",IF(NOT($R61="OK"),"",_EngineCycles!S61))</f>
        <v/>
      </c>
      <c r="Q61" s="25" t="str">
        <f>IF(_EngineCycles!A61="","",IF($R61&lt;&gt;"OK","Review",IF(_EngineCycles!E61="Closed","Closed","Open")))</f>
        <v/>
      </c>
      <c r="R61" s="18" t="str">
        <f>IF(_EngineCycles!A61="","",IF(COUNTIFS(Trades!$B$9:$B$508,_EngineCycles!B61,Trades!$C$9:$C$508,"&lt;&gt;"&amp;$B61,Trades!$A$9:$A$508,"&lt;&gt;")&gt;0,"Ticker mismatch",IF(COUNTIFS(Trades!$B$9:$B$508,_EngineCycles!B61,Trades!$D$9:$D$508,"&lt;&gt;"&amp;$C61,Trades!$A$9:$A$508,"&lt;&gt;")&gt;0,"Currency mismatch",IF(COUNTIFS(Trades!$B$9:$B$508,_EngineCycles!B61,Trades!$S$9:$S$508,"&lt;&gt;OK",Trades!$A$9:$A$508,"&lt;&gt;")&gt;0,"Check trades","OK"))))</f>
        <v/>
      </c>
      <c r="S61" s="29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P$9:$P$508),0),"")))</f>
        <v/>
      </c>
      <c r="T61" s="26" t="str">
        <f>IF(NOT(_EngineCycles!A61&lt;&gt;""),"",IF(NOT($R61="OK"),"",_EngineCycles!W61))</f>
        <v/>
      </c>
      <c r="U61" s="16"/>
      <c r="V61" s="16"/>
      <c r="W61" s="16"/>
      <c r="X61" s="16"/>
      <c r="Y61" t="str">
        <f>IF(AND($C61=Overview!$P$2,$Q61="Open",$R61="OK"),COUNTIFS($C$9:$C61,Overview!$P$2,$Q$9:$Q61,"Open",$R$9:$R61,"OK"),"")</f>
        <v/>
      </c>
    </row>
    <row r="62" spans="1:25" ht="23.1" customHeight="1" x14ac:dyDescent="0.25">
      <c r="A62" s="24" t="str">
        <f>IF(_EngineCycles!A62="","",_EngineCycles!B62&amp;IF(_EngineCycles!C62&gt;1," / "&amp;_EngineCycles!C62,""))</f>
        <v/>
      </c>
      <c r="B62" s="24" t="str">
        <f>IF(_EngineCycles!A62="","",_EngineCycles!D62)</f>
        <v/>
      </c>
      <c r="C62" s="24" t="str">
        <f>IF(_EngineCycles!A62="","",IFERROR(INDEX(Trades!$D$9:$D$508,_EngineCycles!AG62-8),""))</f>
        <v/>
      </c>
      <c r="D62" s="30" t="str">
        <f>IF(_EngineCycles!A62="","",IF($R62&lt;&gt;"OK","Review",IF(_EngineCycles!E62="Closed","Closed",IF(_EngineCycles!P62&gt;0,IF(IFERROR(LOOKUP(2,1/((_EngineTrades!$AU$9:$AU$508=_EngineCycles!A62)),_EngineTrades!$AQ$9:$AQ$508),0)&gt;0,"Covered Call","Shares Held"),"Cash-Secured Put"))))</f>
        <v/>
      </c>
      <c r="E62" s="31" t="str">
        <f>IF(NOT(_EngineCycles!A62&lt;&gt;""),"",IF(NOT($R62="OK"),"",_EngineCycles!P62))</f>
        <v/>
      </c>
      <c r="F62" s="23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AH$9:$AH$508),0),"")))</f>
        <v/>
      </c>
      <c r="G62" s="23" t="str">
        <f>IF(NOT(_EngineCycles!A62&lt;&gt;""),"",IF(NOT($R62="OK"),"",_EngineCycles!Q62))</f>
        <v/>
      </c>
      <c r="H62" s="32" t="str">
        <f>IF(NOT(_EngineCycles!A62&lt;&gt;""),"",IF(NOT($R62="OK"),"",_EngineCycles!J62))</f>
        <v/>
      </c>
      <c r="I62" s="23" t="str">
        <f>IF(NOT(_EngineCycles!A62&lt;&gt;""),"",IF(NOT($R62="OK"),"",_EngineCycles!I62))</f>
        <v/>
      </c>
      <c r="J62" s="23" t="str">
        <f>IF(NOT(_EngineCycles!A62&lt;&gt;""),"",IF(NOT($R62="OK"),"",_EngineCycles!L62))</f>
        <v/>
      </c>
      <c r="K62" s="23" t="str">
        <f>IF(NOT(_EngineCycles!A62&lt;&gt;""),"",IF(NOT($R62="OK"),"",_EngineCycles!U62))</f>
        <v/>
      </c>
      <c r="L62" s="32" t="str">
        <f>IF(NOT(_EngineCycles!A62&lt;&gt;""),"",IF(NOT($R62="OK"),"",_EngineCycles!AE62))</f>
        <v/>
      </c>
      <c r="M62" s="23" t="str">
        <f>IF(NOT(_EngineCycles!A62&lt;&gt;""),"",IF(NOT($R62="OK"),"",_EngineCycles!O62))</f>
        <v/>
      </c>
      <c r="N62" s="32" t="str">
        <f>IF(NOT(_EngineCycles!A62&lt;&gt;""),"",IF(NOT($R62="OK"),"",IF(_EngineCycles!E62="Closed",_EngineCycles!O62,"")))</f>
        <v/>
      </c>
      <c r="O62" s="33" t="str">
        <f>IF(NOT(_EngineCycles!A62&lt;&gt;""),"",IF(NOT($R62="OK"),"",_EngineCycles!Y62))</f>
        <v/>
      </c>
      <c r="P62" s="23" t="str">
        <f>IF(NOT(_EngineCycles!A62&lt;&gt;""),"",IF(NOT($R62="OK"),"",_EngineCycles!S62))</f>
        <v/>
      </c>
      <c r="Q62" s="30" t="str">
        <f>IF(_EngineCycles!A62="","",IF($R62&lt;&gt;"OK","Review",IF(_EngineCycles!E62="Closed","Closed","Open")))</f>
        <v/>
      </c>
      <c r="R62" s="24" t="str">
        <f>IF(_EngineCycles!A62="","",IF(COUNTIFS(Trades!$B$9:$B$508,_EngineCycles!B62,Trades!$C$9:$C$508,"&lt;&gt;"&amp;$B62,Trades!$A$9:$A$508,"&lt;&gt;")&gt;0,"Ticker mismatch",IF(COUNTIFS(Trades!$B$9:$B$508,_EngineCycles!B62,Trades!$D$9:$D$508,"&lt;&gt;"&amp;$C62,Trades!$A$9:$A$508,"&lt;&gt;")&gt;0,"Currency mismatch",IF(COUNTIFS(Trades!$B$9:$B$508,_EngineCycles!B62,Trades!$S$9:$S$508,"&lt;&gt;OK",Trades!$A$9:$A$508,"&lt;&gt;")&gt;0,"Check trades","OK"))))</f>
        <v/>
      </c>
      <c r="S62" s="34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P$9:$P$508),0),"")))</f>
        <v/>
      </c>
      <c r="T62" s="31" t="str">
        <f>IF(NOT(_EngineCycles!A62&lt;&gt;""),"",IF(NOT($R62="OK"),"",_EngineCycles!W62))</f>
        <v/>
      </c>
      <c r="U62" s="22"/>
      <c r="V62" s="22"/>
      <c r="W62" s="22"/>
      <c r="X62" s="22"/>
      <c r="Y62" t="str">
        <f>IF(AND($C62=Overview!$P$2,$Q62="Open",$R62="OK"),COUNTIFS($C$9:$C62,Overview!$P$2,$Q$9:$Q62,"Open",$R$9:$R62,"OK"),"")</f>
        <v/>
      </c>
    </row>
    <row r="63" spans="1:25" ht="23.1" customHeight="1" x14ac:dyDescent="0.25">
      <c r="A63" s="18" t="str">
        <f>IF(_EngineCycles!A63="","",_EngineCycles!B63&amp;IF(_EngineCycles!C63&gt;1," / "&amp;_EngineCycles!C63,""))</f>
        <v/>
      </c>
      <c r="B63" s="18" t="str">
        <f>IF(_EngineCycles!A63="","",_EngineCycles!D63)</f>
        <v/>
      </c>
      <c r="C63" s="18" t="str">
        <f>IF(_EngineCycles!A63="","",IFERROR(INDEX(Trades!$D$9:$D$508,_EngineCycles!AG63-8),""))</f>
        <v/>
      </c>
      <c r="D63" s="25" t="str">
        <f>IF(_EngineCycles!A63="","",IF($R63&lt;&gt;"OK","Review",IF(_EngineCycles!E63="Closed","Closed",IF(_EngineCycles!P63&gt;0,IF(IFERROR(LOOKUP(2,1/((_EngineTrades!$AU$9:$AU$508=_EngineCycles!A63)),_EngineTrades!$AQ$9:$AQ$508),0)&gt;0,"Covered Call","Shares Held"),"Cash-Secured Put"))))</f>
        <v/>
      </c>
      <c r="E63" s="26" t="str">
        <f>IF(NOT(_EngineCycles!A63&lt;&gt;""),"",IF(NOT($R63="OK"),"",_EngineCycles!P63))</f>
        <v/>
      </c>
      <c r="F63" s="17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AH$9:$AH$508),0),"")))</f>
        <v/>
      </c>
      <c r="G63" s="17" t="str">
        <f>IF(NOT(_EngineCycles!A63&lt;&gt;""),"",IF(NOT($R63="OK"),"",_EngineCycles!Q63))</f>
        <v/>
      </c>
      <c r="H63" s="27" t="str">
        <f>IF(NOT(_EngineCycles!A63&lt;&gt;""),"",IF(NOT($R63="OK"),"",_EngineCycles!J63))</f>
        <v/>
      </c>
      <c r="I63" s="17" t="str">
        <f>IF(NOT(_EngineCycles!A63&lt;&gt;""),"",IF(NOT($R63="OK"),"",_EngineCycles!I63))</f>
        <v/>
      </c>
      <c r="J63" s="17" t="str">
        <f>IF(NOT(_EngineCycles!A63&lt;&gt;""),"",IF(NOT($R63="OK"),"",_EngineCycles!L63))</f>
        <v/>
      </c>
      <c r="K63" s="17" t="str">
        <f>IF(NOT(_EngineCycles!A63&lt;&gt;""),"",IF(NOT($R63="OK"),"",_EngineCycles!U63))</f>
        <v/>
      </c>
      <c r="L63" s="27" t="str">
        <f>IF(NOT(_EngineCycles!A63&lt;&gt;""),"",IF(NOT($R63="OK"),"",_EngineCycles!AE63))</f>
        <v/>
      </c>
      <c r="M63" s="17" t="str">
        <f>IF(NOT(_EngineCycles!A63&lt;&gt;""),"",IF(NOT($R63="OK"),"",_EngineCycles!O63))</f>
        <v/>
      </c>
      <c r="N63" s="27" t="str">
        <f>IF(NOT(_EngineCycles!A63&lt;&gt;""),"",IF(NOT($R63="OK"),"",IF(_EngineCycles!E63="Closed",_EngineCycles!O63,"")))</f>
        <v/>
      </c>
      <c r="O63" s="28" t="str">
        <f>IF(NOT(_EngineCycles!A63&lt;&gt;""),"",IF(NOT($R63="OK"),"",_EngineCycles!Y63))</f>
        <v/>
      </c>
      <c r="P63" s="17" t="str">
        <f>IF(NOT(_EngineCycles!A63&lt;&gt;""),"",IF(NOT($R63="OK"),"",_EngineCycles!S63))</f>
        <v/>
      </c>
      <c r="Q63" s="25" t="str">
        <f>IF(_EngineCycles!A63="","",IF($R63&lt;&gt;"OK","Review",IF(_EngineCycles!E63="Closed","Closed","Open")))</f>
        <v/>
      </c>
      <c r="R63" s="18" t="str">
        <f>IF(_EngineCycles!A63="","",IF(COUNTIFS(Trades!$B$9:$B$508,_EngineCycles!B63,Trades!$C$9:$C$508,"&lt;&gt;"&amp;$B63,Trades!$A$9:$A$508,"&lt;&gt;")&gt;0,"Ticker mismatch",IF(COUNTIFS(Trades!$B$9:$B$508,_EngineCycles!B63,Trades!$D$9:$D$508,"&lt;&gt;"&amp;$C63,Trades!$A$9:$A$508,"&lt;&gt;")&gt;0,"Currency mismatch",IF(COUNTIFS(Trades!$B$9:$B$508,_EngineCycles!B63,Trades!$S$9:$S$508,"&lt;&gt;OK",Trades!$A$9:$A$508,"&lt;&gt;")&gt;0,"Check trades","OK"))))</f>
        <v/>
      </c>
      <c r="S63" s="29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P$9:$P$508),0),"")))</f>
        <v/>
      </c>
      <c r="T63" s="26" t="str">
        <f>IF(NOT(_EngineCycles!A63&lt;&gt;""),"",IF(NOT($R63="OK"),"",_EngineCycles!W63))</f>
        <v/>
      </c>
      <c r="U63" s="16"/>
      <c r="V63" s="16"/>
      <c r="W63" s="16"/>
      <c r="X63" s="16"/>
      <c r="Y63" t="str">
        <f>IF(AND($C63=Overview!$P$2,$Q63="Open",$R63="OK"),COUNTIFS($C$9:$C63,Overview!$P$2,$Q$9:$Q63,"Open",$R$9:$R63,"OK"),"")</f>
        <v/>
      </c>
    </row>
    <row r="64" spans="1:25" ht="23.1" customHeight="1" x14ac:dyDescent="0.25">
      <c r="A64" s="24" t="str">
        <f>IF(_EngineCycles!A64="","",_EngineCycles!B64&amp;IF(_EngineCycles!C64&gt;1," / "&amp;_EngineCycles!C64,""))</f>
        <v/>
      </c>
      <c r="B64" s="24" t="str">
        <f>IF(_EngineCycles!A64="","",_EngineCycles!D64)</f>
        <v/>
      </c>
      <c r="C64" s="24" t="str">
        <f>IF(_EngineCycles!A64="","",IFERROR(INDEX(Trades!$D$9:$D$508,_EngineCycles!AG64-8),""))</f>
        <v/>
      </c>
      <c r="D64" s="30" t="str">
        <f>IF(_EngineCycles!A64="","",IF($R64&lt;&gt;"OK","Review",IF(_EngineCycles!E64="Closed","Closed",IF(_EngineCycles!P64&gt;0,IF(IFERROR(LOOKUP(2,1/((_EngineTrades!$AU$9:$AU$508=_EngineCycles!A64)),_EngineTrades!$AQ$9:$AQ$508),0)&gt;0,"Covered Call","Shares Held"),"Cash-Secured Put"))))</f>
        <v/>
      </c>
      <c r="E64" s="31" t="str">
        <f>IF(NOT(_EngineCycles!A64&lt;&gt;""),"",IF(NOT($R64="OK"),"",_EngineCycles!P64))</f>
        <v/>
      </c>
      <c r="F64" s="23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AH$9:$AH$508),0),"")))</f>
        <v/>
      </c>
      <c r="G64" s="23" t="str">
        <f>IF(NOT(_EngineCycles!A64&lt;&gt;""),"",IF(NOT($R64="OK"),"",_EngineCycles!Q64))</f>
        <v/>
      </c>
      <c r="H64" s="32" t="str">
        <f>IF(NOT(_EngineCycles!A64&lt;&gt;""),"",IF(NOT($R64="OK"),"",_EngineCycles!J64))</f>
        <v/>
      </c>
      <c r="I64" s="23" t="str">
        <f>IF(NOT(_EngineCycles!A64&lt;&gt;""),"",IF(NOT($R64="OK"),"",_EngineCycles!I64))</f>
        <v/>
      </c>
      <c r="J64" s="23" t="str">
        <f>IF(NOT(_EngineCycles!A64&lt;&gt;""),"",IF(NOT($R64="OK"),"",_EngineCycles!L64))</f>
        <v/>
      </c>
      <c r="K64" s="23" t="str">
        <f>IF(NOT(_EngineCycles!A64&lt;&gt;""),"",IF(NOT($R64="OK"),"",_EngineCycles!U64))</f>
        <v/>
      </c>
      <c r="L64" s="32" t="str">
        <f>IF(NOT(_EngineCycles!A64&lt;&gt;""),"",IF(NOT($R64="OK"),"",_EngineCycles!AE64))</f>
        <v/>
      </c>
      <c r="M64" s="23" t="str">
        <f>IF(NOT(_EngineCycles!A64&lt;&gt;""),"",IF(NOT($R64="OK"),"",_EngineCycles!O64))</f>
        <v/>
      </c>
      <c r="N64" s="32" t="str">
        <f>IF(NOT(_EngineCycles!A64&lt;&gt;""),"",IF(NOT($R64="OK"),"",IF(_EngineCycles!E64="Closed",_EngineCycles!O64,"")))</f>
        <v/>
      </c>
      <c r="O64" s="33" t="str">
        <f>IF(NOT(_EngineCycles!A64&lt;&gt;""),"",IF(NOT($R64="OK"),"",_EngineCycles!Y64))</f>
        <v/>
      </c>
      <c r="P64" s="23" t="str">
        <f>IF(NOT(_EngineCycles!A64&lt;&gt;""),"",IF(NOT($R64="OK"),"",_EngineCycles!S64))</f>
        <v/>
      </c>
      <c r="Q64" s="30" t="str">
        <f>IF(_EngineCycles!A64="","",IF($R64&lt;&gt;"OK","Review",IF(_EngineCycles!E64="Closed","Closed","Open")))</f>
        <v/>
      </c>
      <c r="R64" s="24" t="str">
        <f>IF(_EngineCycles!A64="","",IF(COUNTIFS(Trades!$B$9:$B$508,_EngineCycles!B64,Trades!$C$9:$C$508,"&lt;&gt;"&amp;$B64,Trades!$A$9:$A$508,"&lt;&gt;")&gt;0,"Ticker mismatch",IF(COUNTIFS(Trades!$B$9:$B$508,_EngineCycles!B64,Trades!$D$9:$D$508,"&lt;&gt;"&amp;$C64,Trades!$A$9:$A$508,"&lt;&gt;")&gt;0,"Currency mismatch",IF(COUNTIFS(Trades!$B$9:$B$508,_EngineCycles!B64,Trades!$S$9:$S$508,"&lt;&gt;OK",Trades!$A$9:$A$508,"&lt;&gt;")&gt;0,"Check trades","OK"))))</f>
        <v/>
      </c>
      <c r="S64" s="34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P$9:$P$508),0),"")))</f>
        <v/>
      </c>
      <c r="T64" s="31" t="str">
        <f>IF(NOT(_EngineCycles!A64&lt;&gt;""),"",IF(NOT($R64="OK"),"",_EngineCycles!W64))</f>
        <v/>
      </c>
      <c r="U64" s="22"/>
      <c r="V64" s="22"/>
      <c r="W64" s="22"/>
      <c r="X64" s="22"/>
      <c r="Y64" t="str">
        <f>IF(AND($C64=Overview!$P$2,$Q64="Open",$R64="OK"),COUNTIFS($C$9:$C64,Overview!$P$2,$Q$9:$Q64,"Open",$R$9:$R64,"OK"),"")</f>
        <v/>
      </c>
    </row>
    <row r="65" spans="1:25" ht="23.1" customHeight="1" x14ac:dyDescent="0.25">
      <c r="A65" s="18" t="str">
        <f>IF(_EngineCycles!A65="","",_EngineCycles!B65&amp;IF(_EngineCycles!C65&gt;1," / "&amp;_EngineCycles!C65,""))</f>
        <v/>
      </c>
      <c r="B65" s="18" t="str">
        <f>IF(_EngineCycles!A65="","",_EngineCycles!D65)</f>
        <v/>
      </c>
      <c r="C65" s="18" t="str">
        <f>IF(_EngineCycles!A65="","",IFERROR(INDEX(Trades!$D$9:$D$508,_EngineCycles!AG65-8),""))</f>
        <v/>
      </c>
      <c r="D65" s="25" t="str">
        <f>IF(_EngineCycles!A65="","",IF($R65&lt;&gt;"OK","Review",IF(_EngineCycles!E65="Closed","Closed",IF(_EngineCycles!P65&gt;0,IF(IFERROR(LOOKUP(2,1/((_EngineTrades!$AU$9:$AU$508=_EngineCycles!A65)),_EngineTrades!$AQ$9:$AQ$508),0)&gt;0,"Covered Call","Shares Held"),"Cash-Secured Put"))))</f>
        <v/>
      </c>
      <c r="E65" s="26" t="str">
        <f>IF(NOT(_EngineCycles!A65&lt;&gt;""),"",IF(NOT($R65="OK"),"",_EngineCycles!P65))</f>
        <v/>
      </c>
      <c r="F65" s="17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AH$9:$AH$508),0),"")))</f>
        <v/>
      </c>
      <c r="G65" s="17" t="str">
        <f>IF(NOT(_EngineCycles!A65&lt;&gt;""),"",IF(NOT($R65="OK"),"",_EngineCycles!Q65))</f>
        <v/>
      </c>
      <c r="H65" s="27" t="str">
        <f>IF(NOT(_EngineCycles!A65&lt;&gt;""),"",IF(NOT($R65="OK"),"",_EngineCycles!J65))</f>
        <v/>
      </c>
      <c r="I65" s="17" t="str">
        <f>IF(NOT(_EngineCycles!A65&lt;&gt;""),"",IF(NOT($R65="OK"),"",_EngineCycles!I65))</f>
        <v/>
      </c>
      <c r="J65" s="17" t="str">
        <f>IF(NOT(_EngineCycles!A65&lt;&gt;""),"",IF(NOT($R65="OK"),"",_EngineCycles!L65))</f>
        <v/>
      </c>
      <c r="K65" s="17" t="str">
        <f>IF(NOT(_EngineCycles!A65&lt;&gt;""),"",IF(NOT($R65="OK"),"",_EngineCycles!U65))</f>
        <v/>
      </c>
      <c r="L65" s="27" t="str">
        <f>IF(NOT(_EngineCycles!A65&lt;&gt;""),"",IF(NOT($R65="OK"),"",_EngineCycles!AE65))</f>
        <v/>
      </c>
      <c r="M65" s="17" t="str">
        <f>IF(NOT(_EngineCycles!A65&lt;&gt;""),"",IF(NOT($R65="OK"),"",_EngineCycles!O65))</f>
        <v/>
      </c>
      <c r="N65" s="27" t="str">
        <f>IF(NOT(_EngineCycles!A65&lt;&gt;""),"",IF(NOT($R65="OK"),"",IF(_EngineCycles!E65="Closed",_EngineCycles!O65,"")))</f>
        <v/>
      </c>
      <c r="O65" s="28" t="str">
        <f>IF(NOT(_EngineCycles!A65&lt;&gt;""),"",IF(NOT($R65="OK"),"",_EngineCycles!Y65))</f>
        <v/>
      </c>
      <c r="P65" s="17" t="str">
        <f>IF(NOT(_EngineCycles!A65&lt;&gt;""),"",IF(NOT($R65="OK"),"",_EngineCycles!S65))</f>
        <v/>
      </c>
      <c r="Q65" s="25" t="str">
        <f>IF(_EngineCycles!A65="","",IF($R65&lt;&gt;"OK","Review",IF(_EngineCycles!E65="Closed","Closed","Open")))</f>
        <v/>
      </c>
      <c r="R65" s="18" t="str">
        <f>IF(_EngineCycles!A65="","",IF(COUNTIFS(Trades!$B$9:$B$508,_EngineCycles!B65,Trades!$C$9:$C$508,"&lt;&gt;"&amp;$B65,Trades!$A$9:$A$508,"&lt;&gt;")&gt;0,"Ticker mismatch",IF(COUNTIFS(Trades!$B$9:$B$508,_EngineCycles!B65,Trades!$D$9:$D$508,"&lt;&gt;"&amp;$C65,Trades!$A$9:$A$508,"&lt;&gt;")&gt;0,"Currency mismatch",IF(COUNTIFS(Trades!$B$9:$B$508,_EngineCycles!B65,Trades!$S$9:$S$508,"&lt;&gt;OK",Trades!$A$9:$A$508,"&lt;&gt;")&gt;0,"Check trades","OK"))))</f>
        <v/>
      </c>
      <c r="S65" s="29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P$9:$P$508),0),"")))</f>
        <v/>
      </c>
      <c r="T65" s="26" t="str">
        <f>IF(NOT(_EngineCycles!A65&lt;&gt;""),"",IF(NOT($R65="OK"),"",_EngineCycles!W65))</f>
        <v/>
      </c>
      <c r="U65" s="16"/>
      <c r="V65" s="16"/>
      <c r="W65" s="16"/>
      <c r="X65" s="16"/>
      <c r="Y65" t="str">
        <f>IF(AND($C65=Overview!$P$2,$Q65="Open",$R65="OK"),COUNTIFS($C$9:$C65,Overview!$P$2,$Q$9:$Q65,"Open",$R$9:$R65,"OK"),"")</f>
        <v/>
      </c>
    </row>
    <row r="66" spans="1:25" ht="23.1" customHeight="1" x14ac:dyDescent="0.25">
      <c r="A66" s="24" t="str">
        <f>IF(_EngineCycles!A66="","",_EngineCycles!B66&amp;IF(_EngineCycles!C66&gt;1," / "&amp;_EngineCycles!C66,""))</f>
        <v/>
      </c>
      <c r="B66" s="24" t="str">
        <f>IF(_EngineCycles!A66="","",_EngineCycles!D66)</f>
        <v/>
      </c>
      <c r="C66" s="24" t="str">
        <f>IF(_EngineCycles!A66="","",IFERROR(INDEX(Trades!$D$9:$D$508,_EngineCycles!AG66-8),""))</f>
        <v/>
      </c>
      <c r="D66" s="30" t="str">
        <f>IF(_EngineCycles!A66="","",IF($R66&lt;&gt;"OK","Review",IF(_EngineCycles!E66="Closed","Closed",IF(_EngineCycles!P66&gt;0,IF(IFERROR(LOOKUP(2,1/((_EngineTrades!$AU$9:$AU$508=_EngineCycles!A66)),_EngineTrades!$AQ$9:$AQ$508),0)&gt;0,"Covered Call","Shares Held"),"Cash-Secured Put"))))</f>
        <v/>
      </c>
      <c r="E66" s="31" t="str">
        <f>IF(NOT(_EngineCycles!A66&lt;&gt;""),"",IF(NOT($R66="OK"),"",_EngineCycles!P66))</f>
        <v/>
      </c>
      <c r="F66" s="23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AH$9:$AH$508),0),"")))</f>
        <v/>
      </c>
      <c r="G66" s="23" t="str">
        <f>IF(NOT(_EngineCycles!A66&lt;&gt;""),"",IF(NOT($R66="OK"),"",_EngineCycles!Q66))</f>
        <v/>
      </c>
      <c r="H66" s="32" t="str">
        <f>IF(NOT(_EngineCycles!A66&lt;&gt;""),"",IF(NOT($R66="OK"),"",_EngineCycles!J66))</f>
        <v/>
      </c>
      <c r="I66" s="23" t="str">
        <f>IF(NOT(_EngineCycles!A66&lt;&gt;""),"",IF(NOT($R66="OK"),"",_EngineCycles!I66))</f>
        <v/>
      </c>
      <c r="J66" s="23" t="str">
        <f>IF(NOT(_EngineCycles!A66&lt;&gt;""),"",IF(NOT($R66="OK"),"",_EngineCycles!L66))</f>
        <v/>
      </c>
      <c r="K66" s="23" t="str">
        <f>IF(NOT(_EngineCycles!A66&lt;&gt;""),"",IF(NOT($R66="OK"),"",_EngineCycles!U66))</f>
        <v/>
      </c>
      <c r="L66" s="32" t="str">
        <f>IF(NOT(_EngineCycles!A66&lt;&gt;""),"",IF(NOT($R66="OK"),"",_EngineCycles!AE66))</f>
        <v/>
      </c>
      <c r="M66" s="23" t="str">
        <f>IF(NOT(_EngineCycles!A66&lt;&gt;""),"",IF(NOT($R66="OK"),"",_EngineCycles!O66))</f>
        <v/>
      </c>
      <c r="N66" s="32" t="str">
        <f>IF(NOT(_EngineCycles!A66&lt;&gt;""),"",IF(NOT($R66="OK"),"",IF(_EngineCycles!E66="Closed",_EngineCycles!O66,"")))</f>
        <v/>
      </c>
      <c r="O66" s="33" t="str">
        <f>IF(NOT(_EngineCycles!A66&lt;&gt;""),"",IF(NOT($R66="OK"),"",_EngineCycles!Y66))</f>
        <v/>
      </c>
      <c r="P66" s="23" t="str">
        <f>IF(NOT(_EngineCycles!A66&lt;&gt;""),"",IF(NOT($R66="OK"),"",_EngineCycles!S66))</f>
        <v/>
      </c>
      <c r="Q66" s="30" t="str">
        <f>IF(_EngineCycles!A66="","",IF($R66&lt;&gt;"OK","Review",IF(_EngineCycles!E66="Closed","Closed","Open")))</f>
        <v/>
      </c>
      <c r="R66" s="24" t="str">
        <f>IF(_EngineCycles!A66="","",IF(COUNTIFS(Trades!$B$9:$B$508,_EngineCycles!B66,Trades!$C$9:$C$508,"&lt;&gt;"&amp;$B66,Trades!$A$9:$A$508,"&lt;&gt;")&gt;0,"Ticker mismatch",IF(COUNTIFS(Trades!$B$9:$B$508,_EngineCycles!B66,Trades!$D$9:$D$508,"&lt;&gt;"&amp;$C66,Trades!$A$9:$A$508,"&lt;&gt;")&gt;0,"Currency mismatch",IF(COUNTIFS(Trades!$B$9:$B$508,_EngineCycles!B66,Trades!$S$9:$S$508,"&lt;&gt;OK",Trades!$A$9:$A$508,"&lt;&gt;")&gt;0,"Check trades","OK"))))</f>
        <v/>
      </c>
      <c r="S66" s="34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P$9:$P$508),0),"")))</f>
        <v/>
      </c>
      <c r="T66" s="31" t="str">
        <f>IF(NOT(_EngineCycles!A66&lt;&gt;""),"",IF(NOT($R66="OK"),"",_EngineCycles!W66))</f>
        <v/>
      </c>
      <c r="U66" s="22"/>
      <c r="V66" s="22"/>
      <c r="W66" s="22"/>
      <c r="X66" s="22"/>
      <c r="Y66" t="str">
        <f>IF(AND($C66=Overview!$P$2,$Q66="Open",$R66="OK"),COUNTIFS($C$9:$C66,Overview!$P$2,$Q$9:$Q66,"Open",$R$9:$R66,"OK"),"")</f>
        <v/>
      </c>
    </row>
    <row r="67" spans="1:25" ht="23.1" customHeight="1" x14ac:dyDescent="0.25">
      <c r="A67" s="18" t="str">
        <f>IF(_EngineCycles!A67="","",_EngineCycles!B67&amp;IF(_EngineCycles!C67&gt;1," / "&amp;_EngineCycles!C67,""))</f>
        <v/>
      </c>
      <c r="B67" s="18" t="str">
        <f>IF(_EngineCycles!A67="","",_EngineCycles!D67)</f>
        <v/>
      </c>
      <c r="C67" s="18" t="str">
        <f>IF(_EngineCycles!A67="","",IFERROR(INDEX(Trades!$D$9:$D$508,_EngineCycles!AG67-8),""))</f>
        <v/>
      </c>
      <c r="D67" s="25" t="str">
        <f>IF(_EngineCycles!A67="","",IF($R67&lt;&gt;"OK","Review",IF(_EngineCycles!E67="Closed","Closed",IF(_EngineCycles!P67&gt;0,IF(IFERROR(LOOKUP(2,1/((_EngineTrades!$AU$9:$AU$508=_EngineCycles!A67)),_EngineTrades!$AQ$9:$AQ$508),0)&gt;0,"Covered Call","Shares Held"),"Cash-Secured Put"))))</f>
        <v/>
      </c>
      <c r="E67" s="26" t="str">
        <f>IF(NOT(_EngineCycles!A67&lt;&gt;""),"",IF(NOT($R67="OK"),"",_EngineCycles!P67))</f>
        <v/>
      </c>
      <c r="F67" s="17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AH$9:$AH$508),0),"")))</f>
        <v/>
      </c>
      <c r="G67" s="17" t="str">
        <f>IF(NOT(_EngineCycles!A67&lt;&gt;""),"",IF(NOT($R67="OK"),"",_EngineCycles!Q67))</f>
        <v/>
      </c>
      <c r="H67" s="27" t="str">
        <f>IF(NOT(_EngineCycles!A67&lt;&gt;""),"",IF(NOT($R67="OK"),"",_EngineCycles!J67))</f>
        <v/>
      </c>
      <c r="I67" s="17" t="str">
        <f>IF(NOT(_EngineCycles!A67&lt;&gt;""),"",IF(NOT($R67="OK"),"",_EngineCycles!I67))</f>
        <v/>
      </c>
      <c r="J67" s="17" t="str">
        <f>IF(NOT(_EngineCycles!A67&lt;&gt;""),"",IF(NOT($R67="OK"),"",_EngineCycles!L67))</f>
        <v/>
      </c>
      <c r="K67" s="17" t="str">
        <f>IF(NOT(_EngineCycles!A67&lt;&gt;""),"",IF(NOT($R67="OK"),"",_EngineCycles!U67))</f>
        <v/>
      </c>
      <c r="L67" s="27" t="str">
        <f>IF(NOT(_EngineCycles!A67&lt;&gt;""),"",IF(NOT($R67="OK"),"",_EngineCycles!AE67))</f>
        <v/>
      </c>
      <c r="M67" s="17" t="str">
        <f>IF(NOT(_EngineCycles!A67&lt;&gt;""),"",IF(NOT($R67="OK"),"",_EngineCycles!O67))</f>
        <v/>
      </c>
      <c r="N67" s="27" t="str">
        <f>IF(NOT(_EngineCycles!A67&lt;&gt;""),"",IF(NOT($R67="OK"),"",IF(_EngineCycles!E67="Closed",_EngineCycles!O67,"")))</f>
        <v/>
      </c>
      <c r="O67" s="28" t="str">
        <f>IF(NOT(_EngineCycles!A67&lt;&gt;""),"",IF(NOT($R67="OK"),"",_EngineCycles!Y67))</f>
        <v/>
      </c>
      <c r="P67" s="17" t="str">
        <f>IF(NOT(_EngineCycles!A67&lt;&gt;""),"",IF(NOT($R67="OK"),"",_EngineCycles!S67))</f>
        <v/>
      </c>
      <c r="Q67" s="25" t="str">
        <f>IF(_EngineCycles!A67="","",IF($R67&lt;&gt;"OK","Review",IF(_EngineCycles!E67="Closed","Closed","Open")))</f>
        <v/>
      </c>
      <c r="R67" s="18" t="str">
        <f>IF(_EngineCycles!A67="","",IF(COUNTIFS(Trades!$B$9:$B$508,_EngineCycles!B67,Trades!$C$9:$C$508,"&lt;&gt;"&amp;$B67,Trades!$A$9:$A$508,"&lt;&gt;")&gt;0,"Ticker mismatch",IF(COUNTIFS(Trades!$B$9:$B$508,_EngineCycles!B67,Trades!$D$9:$D$508,"&lt;&gt;"&amp;$C67,Trades!$A$9:$A$508,"&lt;&gt;")&gt;0,"Currency mismatch",IF(COUNTIFS(Trades!$B$9:$B$508,_EngineCycles!B67,Trades!$S$9:$S$508,"&lt;&gt;OK",Trades!$A$9:$A$508,"&lt;&gt;")&gt;0,"Check trades","OK"))))</f>
        <v/>
      </c>
      <c r="S67" s="29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P$9:$P$508),0),"")))</f>
        <v/>
      </c>
      <c r="T67" s="26" t="str">
        <f>IF(NOT(_EngineCycles!A67&lt;&gt;""),"",IF(NOT($R67="OK"),"",_EngineCycles!W67))</f>
        <v/>
      </c>
      <c r="U67" s="16"/>
      <c r="V67" s="16"/>
      <c r="W67" s="16"/>
      <c r="X67" s="16"/>
      <c r="Y67" t="str">
        <f>IF(AND($C67=Overview!$P$2,$Q67="Open",$R67="OK"),COUNTIFS($C$9:$C67,Overview!$P$2,$Q$9:$Q67,"Open",$R$9:$R67,"OK"),"")</f>
        <v/>
      </c>
    </row>
    <row r="68" spans="1:25" ht="23.1" customHeight="1" x14ac:dyDescent="0.25">
      <c r="A68" s="24" t="str">
        <f>IF(_EngineCycles!A68="","",_EngineCycles!B68&amp;IF(_EngineCycles!C68&gt;1," / "&amp;_EngineCycles!C68,""))</f>
        <v/>
      </c>
      <c r="B68" s="24" t="str">
        <f>IF(_EngineCycles!A68="","",_EngineCycles!D68)</f>
        <v/>
      </c>
      <c r="C68" s="24" t="str">
        <f>IF(_EngineCycles!A68="","",IFERROR(INDEX(Trades!$D$9:$D$508,_EngineCycles!AG68-8),""))</f>
        <v/>
      </c>
      <c r="D68" s="30" t="str">
        <f>IF(_EngineCycles!A68="","",IF($R68&lt;&gt;"OK","Review",IF(_EngineCycles!E68="Closed","Closed",IF(_EngineCycles!P68&gt;0,IF(IFERROR(LOOKUP(2,1/((_EngineTrades!$AU$9:$AU$508=_EngineCycles!A68)),_EngineTrades!$AQ$9:$AQ$508),0)&gt;0,"Covered Call","Shares Held"),"Cash-Secured Put"))))</f>
        <v/>
      </c>
      <c r="E68" s="31" t="str">
        <f>IF(NOT(_EngineCycles!A68&lt;&gt;""),"",IF(NOT($R68="OK"),"",_EngineCycles!P68))</f>
        <v/>
      </c>
      <c r="F68" s="23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AH$9:$AH$508),0),"")))</f>
        <v/>
      </c>
      <c r="G68" s="23" t="str">
        <f>IF(NOT(_EngineCycles!A68&lt;&gt;""),"",IF(NOT($R68="OK"),"",_EngineCycles!Q68))</f>
        <v/>
      </c>
      <c r="H68" s="32" t="str">
        <f>IF(NOT(_EngineCycles!A68&lt;&gt;""),"",IF(NOT($R68="OK"),"",_EngineCycles!J68))</f>
        <v/>
      </c>
      <c r="I68" s="23" t="str">
        <f>IF(NOT(_EngineCycles!A68&lt;&gt;""),"",IF(NOT($R68="OK"),"",_EngineCycles!I68))</f>
        <v/>
      </c>
      <c r="J68" s="23" t="str">
        <f>IF(NOT(_EngineCycles!A68&lt;&gt;""),"",IF(NOT($R68="OK"),"",_EngineCycles!L68))</f>
        <v/>
      </c>
      <c r="K68" s="23" t="str">
        <f>IF(NOT(_EngineCycles!A68&lt;&gt;""),"",IF(NOT($R68="OK"),"",_EngineCycles!U68))</f>
        <v/>
      </c>
      <c r="L68" s="32" t="str">
        <f>IF(NOT(_EngineCycles!A68&lt;&gt;""),"",IF(NOT($R68="OK"),"",_EngineCycles!AE68))</f>
        <v/>
      </c>
      <c r="M68" s="23" t="str">
        <f>IF(NOT(_EngineCycles!A68&lt;&gt;""),"",IF(NOT($R68="OK"),"",_EngineCycles!O68))</f>
        <v/>
      </c>
      <c r="N68" s="32" t="str">
        <f>IF(NOT(_EngineCycles!A68&lt;&gt;""),"",IF(NOT($R68="OK"),"",IF(_EngineCycles!E68="Closed",_EngineCycles!O68,"")))</f>
        <v/>
      </c>
      <c r="O68" s="33" t="str">
        <f>IF(NOT(_EngineCycles!A68&lt;&gt;""),"",IF(NOT($R68="OK"),"",_EngineCycles!Y68))</f>
        <v/>
      </c>
      <c r="P68" s="23" t="str">
        <f>IF(NOT(_EngineCycles!A68&lt;&gt;""),"",IF(NOT($R68="OK"),"",_EngineCycles!S68))</f>
        <v/>
      </c>
      <c r="Q68" s="30" t="str">
        <f>IF(_EngineCycles!A68="","",IF($R68&lt;&gt;"OK","Review",IF(_EngineCycles!E68="Closed","Closed","Open")))</f>
        <v/>
      </c>
      <c r="R68" s="24" t="str">
        <f>IF(_EngineCycles!A68="","",IF(COUNTIFS(Trades!$B$9:$B$508,_EngineCycles!B68,Trades!$C$9:$C$508,"&lt;&gt;"&amp;$B68,Trades!$A$9:$A$508,"&lt;&gt;")&gt;0,"Ticker mismatch",IF(COUNTIFS(Trades!$B$9:$B$508,_EngineCycles!B68,Trades!$D$9:$D$508,"&lt;&gt;"&amp;$C68,Trades!$A$9:$A$508,"&lt;&gt;")&gt;0,"Currency mismatch",IF(COUNTIFS(Trades!$B$9:$B$508,_EngineCycles!B68,Trades!$S$9:$S$508,"&lt;&gt;OK",Trades!$A$9:$A$508,"&lt;&gt;")&gt;0,"Check trades","OK"))))</f>
        <v/>
      </c>
      <c r="S68" s="34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P$9:$P$508),0),"")))</f>
        <v/>
      </c>
      <c r="T68" s="31" t="str">
        <f>IF(NOT(_EngineCycles!A68&lt;&gt;""),"",IF(NOT($R68="OK"),"",_EngineCycles!W68))</f>
        <v/>
      </c>
      <c r="U68" s="22"/>
      <c r="V68" s="22"/>
      <c r="W68" s="22"/>
      <c r="X68" s="22"/>
      <c r="Y68" t="str">
        <f>IF(AND($C68=Overview!$P$2,$Q68="Open",$R68="OK"),COUNTIFS($C$9:$C68,Overview!$P$2,$Q$9:$Q68,"Open",$R$9:$R68,"OK"),"")</f>
        <v/>
      </c>
    </row>
    <row r="69" spans="1:25" ht="23.1" customHeight="1" x14ac:dyDescent="0.25">
      <c r="A69" s="18" t="str">
        <f>IF(_EngineCycles!A69="","",_EngineCycles!B69&amp;IF(_EngineCycles!C69&gt;1," / "&amp;_EngineCycles!C69,""))</f>
        <v/>
      </c>
      <c r="B69" s="18" t="str">
        <f>IF(_EngineCycles!A69="","",_EngineCycles!D69)</f>
        <v/>
      </c>
      <c r="C69" s="18" t="str">
        <f>IF(_EngineCycles!A69="","",IFERROR(INDEX(Trades!$D$9:$D$508,_EngineCycles!AG69-8),""))</f>
        <v/>
      </c>
      <c r="D69" s="25" t="str">
        <f>IF(_EngineCycles!A69="","",IF($R69&lt;&gt;"OK","Review",IF(_EngineCycles!E69="Closed","Closed",IF(_EngineCycles!P69&gt;0,IF(IFERROR(LOOKUP(2,1/((_EngineTrades!$AU$9:$AU$508=_EngineCycles!A69)),_EngineTrades!$AQ$9:$AQ$508),0)&gt;0,"Covered Call","Shares Held"),"Cash-Secured Put"))))</f>
        <v/>
      </c>
      <c r="E69" s="26" t="str">
        <f>IF(NOT(_EngineCycles!A69&lt;&gt;""),"",IF(NOT($R69="OK"),"",_EngineCycles!P69))</f>
        <v/>
      </c>
      <c r="F69" s="17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AH$9:$AH$508),0),"")))</f>
        <v/>
      </c>
      <c r="G69" s="17" t="str">
        <f>IF(NOT(_EngineCycles!A69&lt;&gt;""),"",IF(NOT($R69="OK"),"",_EngineCycles!Q69))</f>
        <v/>
      </c>
      <c r="H69" s="27" t="str">
        <f>IF(NOT(_EngineCycles!A69&lt;&gt;""),"",IF(NOT($R69="OK"),"",_EngineCycles!J69))</f>
        <v/>
      </c>
      <c r="I69" s="17" t="str">
        <f>IF(NOT(_EngineCycles!A69&lt;&gt;""),"",IF(NOT($R69="OK"),"",_EngineCycles!I69))</f>
        <v/>
      </c>
      <c r="J69" s="17" t="str">
        <f>IF(NOT(_EngineCycles!A69&lt;&gt;""),"",IF(NOT($R69="OK"),"",_EngineCycles!L69))</f>
        <v/>
      </c>
      <c r="K69" s="17" t="str">
        <f>IF(NOT(_EngineCycles!A69&lt;&gt;""),"",IF(NOT($R69="OK"),"",_EngineCycles!U69))</f>
        <v/>
      </c>
      <c r="L69" s="27" t="str">
        <f>IF(NOT(_EngineCycles!A69&lt;&gt;""),"",IF(NOT($R69="OK"),"",_EngineCycles!AE69))</f>
        <v/>
      </c>
      <c r="M69" s="17" t="str">
        <f>IF(NOT(_EngineCycles!A69&lt;&gt;""),"",IF(NOT($R69="OK"),"",_EngineCycles!O69))</f>
        <v/>
      </c>
      <c r="N69" s="27" t="str">
        <f>IF(NOT(_EngineCycles!A69&lt;&gt;""),"",IF(NOT($R69="OK"),"",IF(_EngineCycles!E69="Closed",_EngineCycles!O69,"")))</f>
        <v/>
      </c>
      <c r="O69" s="28" t="str">
        <f>IF(NOT(_EngineCycles!A69&lt;&gt;""),"",IF(NOT($R69="OK"),"",_EngineCycles!Y69))</f>
        <v/>
      </c>
      <c r="P69" s="17" t="str">
        <f>IF(NOT(_EngineCycles!A69&lt;&gt;""),"",IF(NOT($R69="OK"),"",_EngineCycles!S69))</f>
        <v/>
      </c>
      <c r="Q69" s="25" t="str">
        <f>IF(_EngineCycles!A69="","",IF($R69&lt;&gt;"OK","Review",IF(_EngineCycles!E69="Closed","Closed","Open")))</f>
        <v/>
      </c>
      <c r="R69" s="18" t="str">
        <f>IF(_EngineCycles!A69="","",IF(COUNTIFS(Trades!$B$9:$B$508,_EngineCycles!B69,Trades!$C$9:$C$508,"&lt;&gt;"&amp;$B69,Trades!$A$9:$A$508,"&lt;&gt;")&gt;0,"Ticker mismatch",IF(COUNTIFS(Trades!$B$9:$B$508,_EngineCycles!B69,Trades!$D$9:$D$508,"&lt;&gt;"&amp;$C69,Trades!$A$9:$A$508,"&lt;&gt;")&gt;0,"Currency mismatch",IF(COUNTIFS(Trades!$B$9:$B$508,_EngineCycles!B69,Trades!$S$9:$S$508,"&lt;&gt;OK",Trades!$A$9:$A$508,"&lt;&gt;")&gt;0,"Check trades","OK"))))</f>
        <v/>
      </c>
      <c r="S69" s="29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P$9:$P$508),0),"")))</f>
        <v/>
      </c>
      <c r="T69" s="26" t="str">
        <f>IF(NOT(_EngineCycles!A69&lt;&gt;""),"",IF(NOT($R69="OK"),"",_EngineCycles!W69))</f>
        <v/>
      </c>
      <c r="U69" s="16"/>
      <c r="V69" s="16"/>
      <c r="W69" s="16"/>
      <c r="X69" s="16"/>
      <c r="Y69" t="str">
        <f>IF(AND($C69=Overview!$P$2,$Q69="Open",$R69="OK"),COUNTIFS($C$9:$C69,Overview!$P$2,$Q$9:$Q69,"Open",$R$9:$R69,"OK"),"")</f>
        <v/>
      </c>
    </row>
    <row r="70" spans="1:25" ht="23.1" customHeight="1" x14ac:dyDescent="0.25">
      <c r="A70" s="24" t="str">
        <f>IF(_EngineCycles!A70="","",_EngineCycles!B70&amp;IF(_EngineCycles!C70&gt;1," / "&amp;_EngineCycles!C70,""))</f>
        <v/>
      </c>
      <c r="B70" s="24" t="str">
        <f>IF(_EngineCycles!A70="","",_EngineCycles!D70)</f>
        <v/>
      </c>
      <c r="C70" s="24" t="str">
        <f>IF(_EngineCycles!A70="","",IFERROR(INDEX(Trades!$D$9:$D$508,_EngineCycles!AG70-8),""))</f>
        <v/>
      </c>
      <c r="D70" s="30" t="str">
        <f>IF(_EngineCycles!A70="","",IF($R70&lt;&gt;"OK","Review",IF(_EngineCycles!E70="Closed","Closed",IF(_EngineCycles!P70&gt;0,IF(IFERROR(LOOKUP(2,1/((_EngineTrades!$AU$9:$AU$508=_EngineCycles!A70)),_EngineTrades!$AQ$9:$AQ$508),0)&gt;0,"Covered Call","Shares Held"),"Cash-Secured Put"))))</f>
        <v/>
      </c>
      <c r="E70" s="31" t="str">
        <f>IF(NOT(_EngineCycles!A70&lt;&gt;""),"",IF(NOT($R70="OK"),"",_EngineCycles!P70))</f>
        <v/>
      </c>
      <c r="F70" s="23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AH$9:$AH$508),0),"")))</f>
        <v/>
      </c>
      <c r="G70" s="23" t="str">
        <f>IF(NOT(_EngineCycles!A70&lt;&gt;""),"",IF(NOT($R70="OK"),"",_EngineCycles!Q70))</f>
        <v/>
      </c>
      <c r="H70" s="32" t="str">
        <f>IF(NOT(_EngineCycles!A70&lt;&gt;""),"",IF(NOT($R70="OK"),"",_EngineCycles!J70))</f>
        <v/>
      </c>
      <c r="I70" s="23" t="str">
        <f>IF(NOT(_EngineCycles!A70&lt;&gt;""),"",IF(NOT($R70="OK"),"",_EngineCycles!I70))</f>
        <v/>
      </c>
      <c r="J70" s="23" t="str">
        <f>IF(NOT(_EngineCycles!A70&lt;&gt;""),"",IF(NOT($R70="OK"),"",_EngineCycles!L70))</f>
        <v/>
      </c>
      <c r="K70" s="23" t="str">
        <f>IF(NOT(_EngineCycles!A70&lt;&gt;""),"",IF(NOT($R70="OK"),"",_EngineCycles!U70))</f>
        <v/>
      </c>
      <c r="L70" s="32" t="str">
        <f>IF(NOT(_EngineCycles!A70&lt;&gt;""),"",IF(NOT($R70="OK"),"",_EngineCycles!AE70))</f>
        <v/>
      </c>
      <c r="M70" s="23" t="str">
        <f>IF(NOT(_EngineCycles!A70&lt;&gt;""),"",IF(NOT($R70="OK"),"",_EngineCycles!O70))</f>
        <v/>
      </c>
      <c r="N70" s="32" t="str">
        <f>IF(NOT(_EngineCycles!A70&lt;&gt;""),"",IF(NOT($R70="OK"),"",IF(_EngineCycles!E70="Closed",_EngineCycles!O70,"")))</f>
        <v/>
      </c>
      <c r="O70" s="33" t="str">
        <f>IF(NOT(_EngineCycles!A70&lt;&gt;""),"",IF(NOT($R70="OK"),"",_EngineCycles!Y70))</f>
        <v/>
      </c>
      <c r="P70" s="23" t="str">
        <f>IF(NOT(_EngineCycles!A70&lt;&gt;""),"",IF(NOT($R70="OK"),"",_EngineCycles!S70))</f>
        <v/>
      </c>
      <c r="Q70" s="30" t="str">
        <f>IF(_EngineCycles!A70="","",IF($R70&lt;&gt;"OK","Review",IF(_EngineCycles!E70="Closed","Closed","Open")))</f>
        <v/>
      </c>
      <c r="R70" s="24" t="str">
        <f>IF(_EngineCycles!A70="","",IF(COUNTIFS(Trades!$B$9:$B$508,_EngineCycles!B70,Trades!$C$9:$C$508,"&lt;&gt;"&amp;$B70,Trades!$A$9:$A$508,"&lt;&gt;")&gt;0,"Ticker mismatch",IF(COUNTIFS(Trades!$B$9:$B$508,_EngineCycles!B70,Trades!$D$9:$D$508,"&lt;&gt;"&amp;$C70,Trades!$A$9:$A$508,"&lt;&gt;")&gt;0,"Currency mismatch",IF(COUNTIFS(Trades!$B$9:$B$508,_EngineCycles!B70,Trades!$S$9:$S$508,"&lt;&gt;OK",Trades!$A$9:$A$508,"&lt;&gt;")&gt;0,"Check trades","OK"))))</f>
        <v/>
      </c>
      <c r="S70" s="34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P$9:$P$508),0),"")))</f>
        <v/>
      </c>
      <c r="T70" s="31" t="str">
        <f>IF(NOT(_EngineCycles!A70&lt;&gt;""),"",IF(NOT($R70="OK"),"",_EngineCycles!W70))</f>
        <v/>
      </c>
      <c r="U70" s="22"/>
      <c r="V70" s="22"/>
      <c r="W70" s="22"/>
      <c r="X70" s="22"/>
      <c r="Y70" t="str">
        <f>IF(AND($C70=Overview!$P$2,$Q70="Open",$R70="OK"),COUNTIFS($C$9:$C70,Overview!$P$2,$Q$9:$Q70,"Open",$R$9:$R70,"OK"),"")</f>
        <v/>
      </c>
    </row>
    <row r="71" spans="1:25" ht="23.1" customHeight="1" x14ac:dyDescent="0.25">
      <c r="A71" s="18" t="str">
        <f>IF(_EngineCycles!A71="","",_EngineCycles!B71&amp;IF(_EngineCycles!C71&gt;1," / "&amp;_EngineCycles!C71,""))</f>
        <v/>
      </c>
      <c r="B71" s="18" t="str">
        <f>IF(_EngineCycles!A71="","",_EngineCycles!D71)</f>
        <v/>
      </c>
      <c r="C71" s="18" t="str">
        <f>IF(_EngineCycles!A71="","",IFERROR(INDEX(Trades!$D$9:$D$508,_EngineCycles!AG71-8),""))</f>
        <v/>
      </c>
      <c r="D71" s="25" t="str">
        <f>IF(_EngineCycles!A71="","",IF($R71&lt;&gt;"OK","Review",IF(_EngineCycles!E71="Closed","Closed",IF(_EngineCycles!P71&gt;0,IF(IFERROR(LOOKUP(2,1/((_EngineTrades!$AU$9:$AU$508=_EngineCycles!A71)),_EngineTrades!$AQ$9:$AQ$508),0)&gt;0,"Covered Call","Shares Held"),"Cash-Secured Put"))))</f>
        <v/>
      </c>
      <c r="E71" s="26" t="str">
        <f>IF(NOT(_EngineCycles!A71&lt;&gt;""),"",IF(NOT($R71="OK"),"",_EngineCycles!P71))</f>
        <v/>
      </c>
      <c r="F71" s="17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AH$9:$AH$508),0),"")))</f>
        <v/>
      </c>
      <c r="G71" s="17" t="str">
        <f>IF(NOT(_EngineCycles!A71&lt;&gt;""),"",IF(NOT($R71="OK"),"",_EngineCycles!Q71))</f>
        <v/>
      </c>
      <c r="H71" s="27" t="str">
        <f>IF(NOT(_EngineCycles!A71&lt;&gt;""),"",IF(NOT($R71="OK"),"",_EngineCycles!J71))</f>
        <v/>
      </c>
      <c r="I71" s="17" t="str">
        <f>IF(NOT(_EngineCycles!A71&lt;&gt;""),"",IF(NOT($R71="OK"),"",_EngineCycles!I71))</f>
        <v/>
      </c>
      <c r="J71" s="17" t="str">
        <f>IF(NOT(_EngineCycles!A71&lt;&gt;""),"",IF(NOT($R71="OK"),"",_EngineCycles!L71))</f>
        <v/>
      </c>
      <c r="K71" s="17" t="str">
        <f>IF(NOT(_EngineCycles!A71&lt;&gt;""),"",IF(NOT($R71="OK"),"",_EngineCycles!U71))</f>
        <v/>
      </c>
      <c r="L71" s="27" t="str">
        <f>IF(NOT(_EngineCycles!A71&lt;&gt;""),"",IF(NOT($R71="OK"),"",_EngineCycles!AE71))</f>
        <v/>
      </c>
      <c r="M71" s="17" t="str">
        <f>IF(NOT(_EngineCycles!A71&lt;&gt;""),"",IF(NOT($R71="OK"),"",_EngineCycles!O71))</f>
        <v/>
      </c>
      <c r="N71" s="27" t="str">
        <f>IF(NOT(_EngineCycles!A71&lt;&gt;""),"",IF(NOT($R71="OK"),"",IF(_EngineCycles!E71="Closed",_EngineCycles!O71,"")))</f>
        <v/>
      </c>
      <c r="O71" s="28" t="str">
        <f>IF(NOT(_EngineCycles!A71&lt;&gt;""),"",IF(NOT($R71="OK"),"",_EngineCycles!Y71))</f>
        <v/>
      </c>
      <c r="P71" s="17" t="str">
        <f>IF(NOT(_EngineCycles!A71&lt;&gt;""),"",IF(NOT($R71="OK"),"",_EngineCycles!S71))</f>
        <v/>
      </c>
      <c r="Q71" s="25" t="str">
        <f>IF(_EngineCycles!A71="","",IF($R71&lt;&gt;"OK","Review",IF(_EngineCycles!E71="Closed","Closed","Open")))</f>
        <v/>
      </c>
      <c r="R71" s="18" t="str">
        <f>IF(_EngineCycles!A71="","",IF(COUNTIFS(Trades!$B$9:$B$508,_EngineCycles!B71,Trades!$C$9:$C$508,"&lt;&gt;"&amp;$B71,Trades!$A$9:$A$508,"&lt;&gt;")&gt;0,"Ticker mismatch",IF(COUNTIFS(Trades!$B$9:$B$508,_EngineCycles!B71,Trades!$D$9:$D$508,"&lt;&gt;"&amp;$C71,Trades!$A$9:$A$508,"&lt;&gt;")&gt;0,"Currency mismatch",IF(COUNTIFS(Trades!$B$9:$B$508,_EngineCycles!B71,Trades!$S$9:$S$508,"&lt;&gt;OK",Trades!$A$9:$A$508,"&lt;&gt;")&gt;0,"Check trades","OK"))))</f>
        <v/>
      </c>
      <c r="S71" s="29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P$9:$P$508),0),"")))</f>
        <v/>
      </c>
      <c r="T71" s="26" t="str">
        <f>IF(NOT(_EngineCycles!A71&lt;&gt;""),"",IF(NOT($R71="OK"),"",_EngineCycles!W71))</f>
        <v/>
      </c>
      <c r="U71" s="16"/>
      <c r="V71" s="16"/>
      <c r="W71" s="16"/>
      <c r="X71" s="16"/>
      <c r="Y71" t="str">
        <f>IF(AND($C71=Overview!$P$2,$Q71="Open",$R71="OK"),COUNTIFS($C$9:$C71,Overview!$P$2,$Q$9:$Q71,"Open",$R$9:$R71,"OK"),"")</f>
        <v/>
      </c>
    </row>
    <row r="72" spans="1:25" ht="23.1" customHeight="1" x14ac:dyDescent="0.25">
      <c r="A72" s="24" t="str">
        <f>IF(_EngineCycles!A72="","",_EngineCycles!B72&amp;IF(_EngineCycles!C72&gt;1," / "&amp;_EngineCycles!C72,""))</f>
        <v/>
      </c>
      <c r="B72" s="24" t="str">
        <f>IF(_EngineCycles!A72="","",_EngineCycles!D72)</f>
        <v/>
      </c>
      <c r="C72" s="24" t="str">
        <f>IF(_EngineCycles!A72="","",IFERROR(INDEX(Trades!$D$9:$D$508,_EngineCycles!AG72-8),""))</f>
        <v/>
      </c>
      <c r="D72" s="30" t="str">
        <f>IF(_EngineCycles!A72="","",IF($R72&lt;&gt;"OK","Review",IF(_EngineCycles!E72="Closed","Closed",IF(_EngineCycles!P72&gt;0,IF(IFERROR(LOOKUP(2,1/((_EngineTrades!$AU$9:$AU$508=_EngineCycles!A72)),_EngineTrades!$AQ$9:$AQ$508),0)&gt;0,"Covered Call","Shares Held"),"Cash-Secured Put"))))</f>
        <v/>
      </c>
      <c r="E72" s="31" t="str">
        <f>IF(NOT(_EngineCycles!A72&lt;&gt;""),"",IF(NOT($R72="OK"),"",_EngineCycles!P72))</f>
        <v/>
      </c>
      <c r="F72" s="23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AH$9:$AH$508),0),"")))</f>
        <v/>
      </c>
      <c r="G72" s="23" t="str">
        <f>IF(NOT(_EngineCycles!A72&lt;&gt;""),"",IF(NOT($R72="OK"),"",_EngineCycles!Q72))</f>
        <v/>
      </c>
      <c r="H72" s="32" t="str">
        <f>IF(NOT(_EngineCycles!A72&lt;&gt;""),"",IF(NOT($R72="OK"),"",_EngineCycles!J72))</f>
        <v/>
      </c>
      <c r="I72" s="23" t="str">
        <f>IF(NOT(_EngineCycles!A72&lt;&gt;""),"",IF(NOT($R72="OK"),"",_EngineCycles!I72))</f>
        <v/>
      </c>
      <c r="J72" s="23" t="str">
        <f>IF(NOT(_EngineCycles!A72&lt;&gt;""),"",IF(NOT($R72="OK"),"",_EngineCycles!L72))</f>
        <v/>
      </c>
      <c r="K72" s="23" t="str">
        <f>IF(NOT(_EngineCycles!A72&lt;&gt;""),"",IF(NOT($R72="OK"),"",_EngineCycles!U72))</f>
        <v/>
      </c>
      <c r="L72" s="32" t="str">
        <f>IF(NOT(_EngineCycles!A72&lt;&gt;""),"",IF(NOT($R72="OK"),"",_EngineCycles!AE72))</f>
        <v/>
      </c>
      <c r="M72" s="23" t="str">
        <f>IF(NOT(_EngineCycles!A72&lt;&gt;""),"",IF(NOT($R72="OK"),"",_EngineCycles!O72))</f>
        <v/>
      </c>
      <c r="N72" s="32" t="str">
        <f>IF(NOT(_EngineCycles!A72&lt;&gt;""),"",IF(NOT($R72="OK"),"",IF(_EngineCycles!E72="Closed",_EngineCycles!O72,"")))</f>
        <v/>
      </c>
      <c r="O72" s="33" t="str">
        <f>IF(NOT(_EngineCycles!A72&lt;&gt;""),"",IF(NOT($R72="OK"),"",_EngineCycles!Y72))</f>
        <v/>
      </c>
      <c r="P72" s="23" t="str">
        <f>IF(NOT(_EngineCycles!A72&lt;&gt;""),"",IF(NOT($R72="OK"),"",_EngineCycles!S72))</f>
        <v/>
      </c>
      <c r="Q72" s="30" t="str">
        <f>IF(_EngineCycles!A72="","",IF($R72&lt;&gt;"OK","Review",IF(_EngineCycles!E72="Closed","Closed","Open")))</f>
        <v/>
      </c>
      <c r="R72" s="24" t="str">
        <f>IF(_EngineCycles!A72="","",IF(COUNTIFS(Trades!$B$9:$B$508,_EngineCycles!B72,Trades!$C$9:$C$508,"&lt;&gt;"&amp;$B72,Trades!$A$9:$A$508,"&lt;&gt;")&gt;0,"Ticker mismatch",IF(COUNTIFS(Trades!$B$9:$B$508,_EngineCycles!B72,Trades!$D$9:$D$508,"&lt;&gt;"&amp;$C72,Trades!$A$9:$A$508,"&lt;&gt;")&gt;0,"Currency mismatch",IF(COUNTIFS(Trades!$B$9:$B$508,_EngineCycles!B72,Trades!$S$9:$S$508,"&lt;&gt;OK",Trades!$A$9:$A$508,"&lt;&gt;")&gt;0,"Check trades","OK"))))</f>
        <v/>
      </c>
      <c r="S72" s="34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P$9:$P$508),0),"")))</f>
        <v/>
      </c>
      <c r="T72" s="31" t="str">
        <f>IF(NOT(_EngineCycles!A72&lt;&gt;""),"",IF(NOT($R72="OK"),"",_EngineCycles!W72))</f>
        <v/>
      </c>
      <c r="U72" s="22"/>
      <c r="V72" s="22"/>
      <c r="W72" s="22"/>
      <c r="X72" s="22"/>
      <c r="Y72" t="str">
        <f>IF(AND($C72=Overview!$P$2,$Q72="Open",$R72="OK"),COUNTIFS($C$9:$C72,Overview!$P$2,$Q$9:$Q72,"Open",$R$9:$R72,"OK"),"")</f>
        <v/>
      </c>
    </row>
    <row r="73" spans="1:25" ht="23.1" customHeight="1" x14ac:dyDescent="0.25">
      <c r="A73" s="18" t="str">
        <f>IF(_EngineCycles!A73="","",_EngineCycles!B73&amp;IF(_EngineCycles!C73&gt;1," / "&amp;_EngineCycles!C73,""))</f>
        <v/>
      </c>
      <c r="B73" s="18" t="str">
        <f>IF(_EngineCycles!A73="","",_EngineCycles!D73)</f>
        <v/>
      </c>
      <c r="C73" s="18" t="str">
        <f>IF(_EngineCycles!A73="","",IFERROR(INDEX(Trades!$D$9:$D$508,_EngineCycles!AG73-8),""))</f>
        <v/>
      </c>
      <c r="D73" s="25" t="str">
        <f>IF(_EngineCycles!A73="","",IF($R73&lt;&gt;"OK","Review",IF(_EngineCycles!E73="Closed","Closed",IF(_EngineCycles!P73&gt;0,IF(IFERROR(LOOKUP(2,1/((_EngineTrades!$AU$9:$AU$508=_EngineCycles!A73)),_EngineTrades!$AQ$9:$AQ$508),0)&gt;0,"Covered Call","Shares Held"),"Cash-Secured Put"))))</f>
        <v/>
      </c>
      <c r="E73" s="26" t="str">
        <f>IF(NOT(_EngineCycles!A73&lt;&gt;""),"",IF(NOT($R73="OK"),"",_EngineCycles!P73))</f>
        <v/>
      </c>
      <c r="F73" s="17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AH$9:$AH$508),0),"")))</f>
        <v/>
      </c>
      <c r="G73" s="17" t="str">
        <f>IF(NOT(_EngineCycles!A73&lt;&gt;""),"",IF(NOT($R73="OK"),"",_EngineCycles!Q73))</f>
        <v/>
      </c>
      <c r="H73" s="27" t="str">
        <f>IF(NOT(_EngineCycles!A73&lt;&gt;""),"",IF(NOT($R73="OK"),"",_EngineCycles!J73))</f>
        <v/>
      </c>
      <c r="I73" s="17" t="str">
        <f>IF(NOT(_EngineCycles!A73&lt;&gt;""),"",IF(NOT($R73="OK"),"",_EngineCycles!I73))</f>
        <v/>
      </c>
      <c r="J73" s="17" t="str">
        <f>IF(NOT(_EngineCycles!A73&lt;&gt;""),"",IF(NOT($R73="OK"),"",_EngineCycles!L73))</f>
        <v/>
      </c>
      <c r="K73" s="17" t="str">
        <f>IF(NOT(_EngineCycles!A73&lt;&gt;""),"",IF(NOT($R73="OK"),"",_EngineCycles!U73))</f>
        <v/>
      </c>
      <c r="L73" s="27" t="str">
        <f>IF(NOT(_EngineCycles!A73&lt;&gt;""),"",IF(NOT($R73="OK"),"",_EngineCycles!AE73))</f>
        <v/>
      </c>
      <c r="M73" s="17" t="str">
        <f>IF(NOT(_EngineCycles!A73&lt;&gt;""),"",IF(NOT($R73="OK"),"",_EngineCycles!O73))</f>
        <v/>
      </c>
      <c r="N73" s="27" t="str">
        <f>IF(NOT(_EngineCycles!A73&lt;&gt;""),"",IF(NOT($R73="OK"),"",IF(_EngineCycles!E73="Closed",_EngineCycles!O73,"")))</f>
        <v/>
      </c>
      <c r="O73" s="28" t="str">
        <f>IF(NOT(_EngineCycles!A73&lt;&gt;""),"",IF(NOT($R73="OK"),"",_EngineCycles!Y73))</f>
        <v/>
      </c>
      <c r="P73" s="17" t="str">
        <f>IF(NOT(_EngineCycles!A73&lt;&gt;""),"",IF(NOT($R73="OK"),"",_EngineCycles!S73))</f>
        <v/>
      </c>
      <c r="Q73" s="25" t="str">
        <f>IF(_EngineCycles!A73="","",IF($R73&lt;&gt;"OK","Review",IF(_EngineCycles!E73="Closed","Closed","Open")))</f>
        <v/>
      </c>
      <c r="R73" s="18" t="str">
        <f>IF(_EngineCycles!A73="","",IF(COUNTIFS(Trades!$B$9:$B$508,_EngineCycles!B73,Trades!$C$9:$C$508,"&lt;&gt;"&amp;$B73,Trades!$A$9:$A$508,"&lt;&gt;")&gt;0,"Ticker mismatch",IF(COUNTIFS(Trades!$B$9:$B$508,_EngineCycles!B73,Trades!$D$9:$D$508,"&lt;&gt;"&amp;$C73,Trades!$A$9:$A$508,"&lt;&gt;")&gt;0,"Currency mismatch",IF(COUNTIFS(Trades!$B$9:$B$508,_EngineCycles!B73,Trades!$S$9:$S$508,"&lt;&gt;OK",Trades!$A$9:$A$508,"&lt;&gt;")&gt;0,"Check trades","OK"))))</f>
        <v/>
      </c>
      <c r="S73" s="29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P$9:$P$508),0),"")))</f>
        <v/>
      </c>
      <c r="T73" s="26" t="str">
        <f>IF(NOT(_EngineCycles!A73&lt;&gt;""),"",IF(NOT($R73="OK"),"",_EngineCycles!W73))</f>
        <v/>
      </c>
      <c r="U73" s="16"/>
      <c r="V73" s="16"/>
      <c r="W73" s="16"/>
      <c r="X73" s="16"/>
      <c r="Y73" t="str">
        <f>IF(AND($C73=Overview!$P$2,$Q73="Open",$R73="OK"),COUNTIFS($C$9:$C73,Overview!$P$2,$Q$9:$Q73,"Open",$R$9:$R73,"OK"),"")</f>
        <v/>
      </c>
    </row>
    <row r="74" spans="1:25" ht="23.1" customHeight="1" x14ac:dyDescent="0.25">
      <c r="A74" s="24" t="str">
        <f>IF(_EngineCycles!A74="","",_EngineCycles!B74&amp;IF(_EngineCycles!C74&gt;1," / "&amp;_EngineCycles!C74,""))</f>
        <v/>
      </c>
      <c r="B74" s="24" t="str">
        <f>IF(_EngineCycles!A74="","",_EngineCycles!D74)</f>
        <v/>
      </c>
      <c r="C74" s="24" t="str">
        <f>IF(_EngineCycles!A74="","",IFERROR(INDEX(Trades!$D$9:$D$508,_EngineCycles!AG74-8),""))</f>
        <v/>
      </c>
      <c r="D74" s="30" t="str">
        <f>IF(_EngineCycles!A74="","",IF($R74&lt;&gt;"OK","Review",IF(_EngineCycles!E74="Closed","Closed",IF(_EngineCycles!P74&gt;0,IF(IFERROR(LOOKUP(2,1/((_EngineTrades!$AU$9:$AU$508=_EngineCycles!A74)),_EngineTrades!$AQ$9:$AQ$508),0)&gt;0,"Covered Call","Shares Held"),"Cash-Secured Put"))))</f>
        <v/>
      </c>
      <c r="E74" s="31" t="str">
        <f>IF(NOT(_EngineCycles!A74&lt;&gt;""),"",IF(NOT($R74="OK"),"",_EngineCycles!P74))</f>
        <v/>
      </c>
      <c r="F74" s="23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AH$9:$AH$508),0),"")))</f>
        <v/>
      </c>
      <c r="G74" s="23" t="str">
        <f>IF(NOT(_EngineCycles!A74&lt;&gt;""),"",IF(NOT($R74="OK"),"",_EngineCycles!Q74))</f>
        <v/>
      </c>
      <c r="H74" s="32" t="str">
        <f>IF(NOT(_EngineCycles!A74&lt;&gt;""),"",IF(NOT($R74="OK"),"",_EngineCycles!J74))</f>
        <v/>
      </c>
      <c r="I74" s="23" t="str">
        <f>IF(NOT(_EngineCycles!A74&lt;&gt;""),"",IF(NOT($R74="OK"),"",_EngineCycles!I74))</f>
        <v/>
      </c>
      <c r="J74" s="23" t="str">
        <f>IF(NOT(_EngineCycles!A74&lt;&gt;""),"",IF(NOT($R74="OK"),"",_EngineCycles!L74))</f>
        <v/>
      </c>
      <c r="K74" s="23" t="str">
        <f>IF(NOT(_EngineCycles!A74&lt;&gt;""),"",IF(NOT($R74="OK"),"",_EngineCycles!U74))</f>
        <v/>
      </c>
      <c r="L74" s="32" t="str">
        <f>IF(NOT(_EngineCycles!A74&lt;&gt;""),"",IF(NOT($R74="OK"),"",_EngineCycles!AE74))</f>
        <v/>
      </c>
      <c r="M74" s="23" t="str">
        <f>IF(NOT(_EngineCycles!A74&lt;&gt;""),"",IF(NOT($R74="OK"),"",_EngineCycles!O74))</f>
        <v/>
      </c>
      <c r="N74" s="32" t="str">
        <f>IF(NOT(_EngineCycles!A74&lt;&gt;""),"",IF(NOT($R74="OK"),"",IF(_EngineCycles!E74="Closed",_EngineCycles!O74,"")))</f>
        <v/>
      </c>
      <c r="O74" s="33" t="str">
        <f>IF(NOT(_EngineCycles!A74&lt;&gt;""),"",IF(NOT($R74="OK"),"",_EngineCycles!Y74))</f>
        <v/>
      </c>
      <c r="P74" s="23" t="str">
        <f>IF(NOT(_EngineCycles!A74&lt;&gt;""),"",IF(NOT($R74="OK"),"",_EngineCycles!S74))</f>
        <v/>
      </c>
      <c r="Q74" s="30" t="str">
        <f>IF(_EngineCycles!A74="","",IF($R74&lt;&gt;"OK","Review",IF(_EngineCycles!E74="Closed","Closed","Open")))</f>
        <v/>
      </c>
      <c r="R74" s="24" t="str">
        <f>IF(_EngineCycles!A74="","",IF(COUNTIFS(Trades!$B$9:$B$508,_EngineCycles!B74,Trades!$C$9:$C$508,"&lt;&gt;"&amp;$B74,Trades!$A$9:$A$508,"&lt;&gt;")&gt;0,"Ticker mismatch",IF(COUNTIFS(Trades!$B$9:$B$508,_EngineCycles!B74,Trades!$D$9:$D$508,"&lt;&gt;"&amp;$C74,Trades!$A$9:$A$508,"&lt;&gt;")&gt;0,"Currency mismatch",IF(COUNTIFS(Trades!$B$9:$B$508,_EngineCycles!B74,Trades!$S$9:$S$508,"&lt;&gt;OK",Trades!$A$9:$A$508,"&lt;&gt;")&gt;0,"Check trades","OK"))))</f>
        <v/>
      </c>
      <c r="S74" s="34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P$9:$P$508),0),"")))</f>
        <v/>
      </c>
      <c r="T74" s="31" t="str">
        <f>IF(NOT(_EngineCycles!A74&lt;&gt;""),"",IF(NOT($R74="OK"),"",_EngineCycles!W74))</f>
        <v/>
      </c>
      <c r="U74" s="22"/>
      <c r="V74" s="22"/>
      <c r="W74" s="22"/>
      <c r="X74" s="22"/>
      <c r="Y74" t="str">
        <f>IF(AND($C74=Overview!$P$2,$Q74="Open",$R74="OK"),COUNTIFS($C$9:$C74,Overview!$P$2,$Q$9:$Q74,"Open",$R$9:$R74,"OK"),"")</f>
        <v/>
      </c>
    </row>
    <row r="75" spans="1:25" ht="23.1" customHeight="1" x14ac:dyDescent="0.25">
      <c r="A75" s="18" t="str">
        <f>IF(_EngineCycles!A75="","",_EngineCycles!B75&amp;IF(_EngineCycles!C75&gt;1," / "&amp;_EngineCycles!C75,""))</f>
        <v/>
      </c>
      <c r="B75" s="18" t="str">
        <f>IF(_EngineCycles!A75="","",_EngineCycles!D75)</f>
        <v/>
      </c>
      <c r="C75" s="18" t="str">
        <f>IF(_EngineCycles!A75="","",IFERROR(INDEX(Trades!$D$9:$D$508,_EngineCycles!AG75-8),""))</f>
        <v/>
      </c>
      <c r="D75" s="25" t="str">
        <f>IF(_EngineCycles!A75="","",IF($R75&lt;&gt;"OK","Review",IF(_EngineCycles!E75="Closed","Closed",IF(_EngineCycles!P75&gt;0,IF(IFERROR(LOOKUP(2,1/((_EngineTrades!$AU$9:$AU$508=_EngineCycles!A75)),_EngineTrades!$AQ$9:$AQ$508),0)&gt;0,"Covered Call","Shares Held"),"Cash-Secured Put"))))</f>
        <v/>
      </c>
      <c r="E75" s="26" t="str">
        <f>IF(NOT(_EngineCycles!A75&lt;&gt;""),"",IF(NOT($R75="OK"),"",_EngineCycles!P75))</f>
        <v/>
      </c>
      <c r="F75" s="17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AH$9:$AH$508),0),"")))</f>
        <v/>
      </c>
      <c r="G75" s="17" t="str">
        <f>IF(NOT(_EngineCycles!A75&lt;&gt;""),"",IF(NOT($R75="OK"),"",_EngineCycles!Q75))</f>
        <v/>
      </c>
      <c r="H75" s="27" t="str">
        <f>IF(NOT(_EngineCycles!A75&lt;&gt;""),"",IF(NOT($R75="OK"),"",_EngineCycles!J75))</f>
        <v/>
      </c>
      <c r="I75" s="17" t="str">
        <f>IF(NOT(_EngineCycles!A75&lt;&gt;""),"",IF(NOT($R75="OK"),"",_EngineCycles!I75))</f>
        <v/>
      </c>
      <c r="J75" s="17" t="str">
        <f>IF(NOT(_EngineCycles!A75&lt;&gt;""),"",IF(NOT($R75="OK"),"",_EngineCycles!L75))</f>
        <v/>
      </c>
      <c r="K75" s="17" t="str">
        <f>IF(NOT(_EngineCycles!A75&lt;&gt;""),"",IF(NOT($R75="OK"),"",_EngineCycles!U75))</f>
        <v/>
      </c>
      <c r="L75" s="27" t="str">
        <f>IF(NOT(_EngineCycles!A75&lt;&gt;""),"",IF(NOT($R75="OK"),"",_EngineCycles!AE75))</f>
        <v/>
      </c>
      <c r="M75" s="17" t="str">
        <f>IF(NOT(_EngineCycles!A75&lt;&gt;""),"",IF(NOT($R75="OK"),"",_EngineCycles!O75))</f>
        <v/>
      </c>
      <c r="N75" s="27" t="str">
        <f>IF(NOT(_EngineCycles!A75&lt;&gt;""),"",IF(NOT($R75="OK"),"",IF(_EngineCycles!E75="Closed",_EngineCycles!O75,"")))</f>
        <v/>
      </c>
      <c r="O75" s="28" t="str">
        <f>IF(NOT(_EngineCycles!A75&lt;&gt;""),"",IF(NOT($R75="OK"),"",_EngineCycles!Y75))</f>
        <v/>
      </c>
      <c r="P75" s="17" t="str">
        <f>IF(NOT(_EngineCycles!A75&lt;&gt;""),"",IF(NOT($R75="OK"),"",_EngineCycles!S75))</f>
        <v/>
      </c>
      <c r="Q75" s="25" t="str">
        <f>IF(_EngineCycles!A75="","",IF($R75&lt;&gt;"OK","Review",IF(_EngineCycles!E75="Closed","Closed","Open")))</f>
        <v/>
      </c>
      <c r="R75" s="18" t="str">
        <f>IF(_EngineCycles!A75="","",IF(COUNTIFS(Trades!$B$9:$B$508,_EngineCycles!B75,Trades!$C$9:$C$508,"&lt;&gt;"&amp;$B75,Trades!$A$9:$A$508,"&lt;&gt;")&gt;0,"Ticker mismatch",IF(COUNTIFS(Trades!$B$9:$B$508,_EngineCycles!B75,Trades!$D$9:$D$508,"&lt;&gt;"&amp;$C75,Trades!$A$9:$A$508,"&lt;&gt;")&gt;0,"Currency mismatch",IF(COUNTIFS(Trades!$B$9:$B$508,_EngineCycles!B75,Trades!$S$9:$S$508,"&lt;&gt;OK",Trades!$A$9:$A$508,"&lt;&gt;")&gt;0,"Check trades","OK"))))</f>
        <v/>
      </c>
      <c r="S75" s="29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P$9:$P$508),0),"")))</f>
        <v/>
      </c>
      <c r="T75" s="26" t="str">
        <f>IF(NOT(_EngineCycles!A75&lt;&gt;""),"",IF(NOT($R75="OK"),"",_EngineCycles!W75))</f>
        <v/>
      </c>
      <c r="U75" s="16"/>
      <c r="V75" s="16"/>
      <c r="W75" s="16"/>
      <c r="X75" s="16"/>
      <c r="Y75" t="str">
        <f>IF(AND($C75=Overview!$P$2,$Q75="Open",$R75="OK"),COUNTIFS($C$9:$C75,Overview!$P$2,$Q$9:$Q75,"Open",$R$9:$R75,"OK"),"")</f>
        <v/>
      </c>
    </row>
    <row r="76" spans="1:25" ht="23.1" customHeight="1" x14ac:dyDescent="0.25">
      <c r="A76" s="24" t="str">
        <f>IF(_EngineCycles!A76="","",_EngineCycles!B76&amp;IF(_EngineCycles!C76&gt;1," / "&amp;_EngineCycles!C76,""))</f>
        <v/>
      </c>
      <c r="B76" s="24" t="str">
        <f>IF(_EngineCycles!A76="","",_EngineCycles!D76)</f>
        <v/>
      </c>
      <c r="C76" s="24" t="str">
        <f>IF(_EngineCycles!A76="","",IFERROR(INDEX(Trades!$D$9:$D$508,_EngineCycles!AG76-8),""))</f>
        <v/>
      </c>
      <c r="D76" s="30" t="str">
        <f>IF(_EngineCycles!A76="","",IF($R76&lt;&gt;"OK","Review",IF(_EngineCycles!E76="Closed","Closed",IF(_EngineCycles!P76&gt;0,IF(IFERROR(LOOKUP(2,1/((_EngineTrades!$AU$9:$AU$508=_EngineCycles!A76)),_EngineTrades!$AQ$9:$AQ$508),0)&gt;0,"Covered Call","Shares Held"),"Cash-Secured Put"))))</f>
        <v/>
      </c>
      <c r="E76" s="31" t="str">
        <f>IF(NOT(_EngineCycles!A76&lt;&gt;""),"",IF(NOT($R76="OK"),"",_EngineCycles!P76))</f>
        <v/>
      </c>
      <c r="F76" s="23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AH$9:$AH$508),0),"")))</f>
        <v/>
      </c>
      <c r="G76" s="23" t="str">
        <f>IF(NOT(_EngineCycles!A76&lt;&gt;""),"",IF(NOT($R76="OK"),"",_EngineCycles!Q76))</f>
        <v/>
      </c>
      <c r="H76" s="32" t="str">
        <f>IF(NOT(_EngineCycles!A76&lt;&gt;""),"",IF(NOT($R76="OK"),"",_EngineCycles!J76))</f>
        <v/>
      </c>
      <c r="I76" s="23" t="str">
        <f>IF(NOT(_EngineCycles!A76&lt;&gt;""),"",IF(NOT($R76="OK"),"",_EngineCycles!I76))</f>
        <v/>
      </c>
      <c r="J76" s="23" t="str">
        <f>IF(NOT(_EngineCycles!A76&lt;&gt;""),"",IF(NOT($R76="OK"),"",_EngineCycles!L76))</f>
        <v/>
      </c>
      <c r="K76" s="23" t="str">
        <f>IF(NOT(_EngineCycles!A76&lt;&gt;""),"",IF(NOT($R76="OK"),"",_EngineCycles!U76))</f>
        <v/>
      </c>
      <c r="L76" s="32" t="str">
        <f>IF(NOT(_EngineCycles!A76&lt;&gt;""),"",IF(NOT($R76="OK"),"",_EngineCycles!AE76))</f>
        <v/>
      </c>
      <c r="M76" s="23" t="str">
        <f>IF(NOT(_EngineCycles!A76&lt;&gt;""),"",IF(NOT($R76="OK"),"",_EngineCycles!O76))</f>
        <v/>
      </c>
      <c r="N76" s="32" t="str">
        <f>IF(NOT(_EngineCycles!A76&lt;&gt;""),"",IF(NOT($R76="OK"),"",IF(_EngineCycles!E76="Closed",_EngineCycles!O76,"")))</f>
        <v/>
      </c>
      <c r="O76" s="33" t="str">
        <f>IF(NOT(_EngineCycles!A76&lt;&gt;""),"",IF(NOT($R76="OK"),"",_EngineCycles!Y76))</f>
        <v/>
      </c>
      <c r="P76" s="23" t="str">
        <f>IF(NOT(_EngineCycles!A76&lt;&gt;""),"",IF(NOT($R76="OK"),"",_EngineCycles!S76))</f>
        <v/>
      </c>
      <c r="Q76" s="30" t="str">
        <f>IF(_EngineCycles!A76="","",IF($R76&lt;&gt;"OK","Review",IF(_EngineCycles!E76="Closed","Closed","Open")))</f>
        <v/>
      </c>
      <c r="R76" s="24" t="str">
        <f>IF(_EngineCycles!A76="","",IF(COUNTIFS(Trades!$B$9:$B$508,_EngineCycles!B76,Trades!$C$9:$C$508,"&lt;&gt;"&amp;$B76,Trades!$A$9:$A$508,"&lt;&gt;")&gt;0,"Ticker mismatch",IF(COUNTIFS(Trades!$B$9:$B$508,_EngineCycles!B76,Trades!$D$9:$D$508,"&lt;&gt;"&amp;$C76,Trades!$A$9:$A$508,"&lt;&gt;")&gt;0,"Currency mismatch",IF(COUNTIFS(Trades!$B$9:$B$508,_EngineCycles!B76,Trades!$S$9:$S$508,"&lt;&gt;OK",Trades!$A$9:$A$508,"&lt;&gt;")&gt;0,"Check trades","OK"))))</f>
        <v/>
      </c>
      <c r="S76" s="34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P$9:$P$508),0),"")))</f>
        <v/>
      </c>
      <c r="T76" s="31" t="str">
        <f>IF(NOT(_EngineCycles!A76&lt;&gt;""),"",IF(NOT($R76="OK"),"",_EngineCycles!W76))</f>
        <v/>
      </c>
      <c r="U76" s="22"/>
      <c r="V76" s="22"/>
      <c r="W76" s="22"/>
      <c r="X76" s="22"/>
      <c r="Y76" t="str">
        <f>IF(AND($C76=Overview!$P$2,$Q76="Open",$R76="OK"),COUNTIFS($C$9:$C76,Overview!$P$2,$Q$9:$Q76,"Open",$R$9:$R76,"OK"),"")</f>
        <v/>
      </c>
    </row>
    <row r="77" spans="1:25" ht="23.1" customHeight="1" x14ac:dyDescent="0.25">
      <c r="A77" s="18" t="str">
        <f>IF(_EngineCycles!A77="","",_EngineCycles!B77&amp;IF(_EngineCycles!C77&gt;1," / "&amp;_EngineCycles!C77,""))</f>
        <v/>
      </c>
      <c r="B77" s="18" t="str">
        <f>IF(_EngineCycles!A77="","",_EngineCycles!D77)</f>
        <v/>
      </c>
      <c r="C77" s="18" t="str">
        <f>IF(_EngineCycles!A77="","",IFERROR(INDEX(Trades!$D$9:$D$508,_EngineCycles!AG77-8),""))</f>
        <v/>
      </c>
      <c r="D77" s="25" t="str">
        <f>IF(_EngineCycles!A77="","",IF($R77&lt;&gt;"OK","Review",IF(_EngineCycles!E77="Closed","Closed",IF(_EngineCycles!P77&gt;0,IF(IFERROR(LOOKUP(2,1/((_EngineTrades!$AU$9:$AU$508=_EngineCycles!A77)),_EngineTrades!$AQ$9:$AQ$508),0)&gt;0,"Covered Call","Shares Held"),"Cash-Secured Put"))))</f>
        <v/>
      </c>
      <c r="E77" s="26" t="str">
        <f>IF(NOT(_EngineCycles!A77&lt;&gt;""),"",IF(NOT($R77="OK"),"",_EngineCycles!P77))</f>
        <v/>
      </c>
      <c r="F77" s="17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AH$9:$AH$508),0),"")))</f>
        <v/>
      </c>
      <c r="G77" s="17" t="str">
        <f>IF(NOT(_EngineCycles!A77&lt;&gt;""),"",IF(NOT($R77="OK"),"",_EngineCycles!Q77))</f>
        <v/>
      </c>
      <c r="H77" s="27" t="str">
        <f>IF(NOT(_EngineCycles!A77&lt;&gt;""),"",IF(NOT($R77="OK"),"",_EngineCycles!J77))</f>
        <v/>
      </c>
      <c r="I77" s="17" t="str">
        <f>IF(NOT(_EngineCycles!A77&lt;&gt;""),"",IF(NOT($R77="OK"),"",_EngineCycles!I77))</f>
        <v/>
      </c>
      <c r="J77" s="17" t="str">
        <f>IF(NOT(_EngineCycles!A77&lt;&gt;""),"",IF(NOT($R77="OK"),"",_EngineCycles!L77))</f>
        <v/>
      </c>
      <c r="K77" s="17" t="str">
        <f>IF(NOT(_EngineCycles!A77&lt;&gt;""),"",IF(NOT($R77="OK"),"",_EngineCycles!U77))</f>
        <v/>
      </c>
      <c r="L77" s="27" t="str">
        <f>IF(NOT(_EngineCycles!A77&lt;&gt;""),"",IF(NOT($R77="OK"),"",_EngineCycles!AE77))</f>
        <v/>
      </c>
      <c r="M77" s="17" t="str">
        <f>IF(NOT(_EngineCycles!A77&lt;&gt;""),"",IF(NOT($R77="OK"),"",_EngineCycles!O77))</f>
        <v/>
      </c>
      <c r="N77" s="27" t="str">
        <f>IF(NOT(_EngineCycles!A77&lt;&gt;""),"",IF(NOT($R77="OK"),"",IF(_EngineCycles!E77="Closed",_EngineCycles!O77,"")))</f>
        <v/>
      </c>
      <c r="O77" s="28" t="str">
        <f>IF(NOT(_EngineCycles!A77&lt;&gt;""),"",IF(NOT($R77="OK"),"",_EngineCycles!Y77))</f>
        <v/>
      </c>
      <c r="P77" s="17" t="str">
        <f>IF(NOT(_EngineCycles!A77&lt;&gt;""),"",IF(NOT($R77="OK"),"",_EngineCycles!S77))</f>
        <v/>
      </c>
      <c r="Q77" s="25" t="str">
        <f>IF(_EngineCycles!A77="","",IF($R77&lt;&gt;"OK","Review",IF(_EngineCycles!E77="Closed","Closed","Open")))</f>
        <v/>
      </c>
      <c r="R77" s="18" t="str">
        <f>IF(_EngineCycles!A77="","",IF(COUNTIFS(Trades!$B$9:$B$508,_EngineCycles!B77,Trades!$C$9:$C$508,"&lt;&gt;"&amp;$B77,Trades!$A$9:$A$508,"&lt;&gt;")&gt;0,"Ticker mismatch",IF(COUNTIFS(Trades!$B$9:$B$508,_EngineCycles!B77,Trades!$D$9:$D$508,"&lt;&gt;"&amp;$C77,Trades!$A$9:$A$508,"&lt;&gt;")&gt;0,"Currency mismatch",IF(COUNTIFS(Trades!$B$9:$B$508,_EngineCycles!B77,Trades!$S$9:$S$508,"&lt;&gt;OK",Trades!$A$9:$A$508,"&lt;&gt;")&gt;0,"Check trades","OK"))))</f>
        <v/>
      </c>
      <c r="S77" s="29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P$9:$P$508),0),"")))</f>
        <v/>
      </c>
      <c r="T77" s="26" t="str">
        <f>IF(NOT(_EngineCycles!A77&lt;&gt;""),"",IF(NOT($R77="OK"),"",_EngineCycles!W77))</f>
        <v/>
      </c>
      <c r="U77" s="16"/>
      <c r="V77" s="16"/>
      <c r="W77" s="16"/>
      <c r="X77" s="16"/>
      <c r="Y77" t="str">
        <f>IF(AND($C77=Overview!$P$2,$Q77="Open",$R77="OK"),COUNTIFS($C$9:$C77,Overview!$P$2,$Q$9:$Q77,"Open",$R$9:$R77,"OK"),"")</f>
        <v/>
      </c>
    </row>
    <row r="78" spans="1:25" ht="23.1" customHeight="1" x14ac:dyDescent="0.25">
      <c r="A78" s="24" t="str">
        <f>IF(_EngineCycles!A78="","",_EngineCycles!B78&amp;IF(_EngineCycles!C78&gt;1," / "&amp;_EngineCycles!C78,""))</f>
        <v/>
      </c>
      <c r="B78" s="24" t="str">
        <f>IF(_EngineCycles!A78="","",_EngineCycles!D78)</f>
        <v/>
      </c>
      <c r="C78" s="24" t="str">
        <f>IF(_EngineCycles!A78="","",IFERROR(INDEX(Trades!$D$9:$D$508,_EngineCycles!AG78-8),""))</f>
        <v/>
      </c>
      <c r="D78" s="30" t="str">
        <f>IF(_EngineCycles!A78="","",IF($R78&lt;&gt;"OK","Review",IF(_EngineCycles!E78="Closed","Closed",IF(_EngineCycles!P78&gt;0,IF(IFERROR(LOOKUP(2,1/((_EngineTrades!$AU$9:$AU$508=_EngineCycles!A78)),_EngineTrades!$AQ$9:$AQ$508),0)&gt;0,"Covered Call","Shares Held"),"Cash-Secured Put"))))</f>
        <v/>
      </c>
      <c r="E78" s="31" t="str">
        <f>IF(NOT(_EngineCycles!A78&lt;&gt;""),"",IF(NOT($R78="OK"),"",_EngineCycles!P78))</f>
        <v/>
      </c>
      <c r="F78" s="23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AH$9:$AH$508),0),"")))</f>
        <v/>
      </c>
      <c r="G78" s="23" t="str">
        <f>IF(NOT(_EngineCycles!A78&lt;&gt;""),"",IF(NOT($R78="OK"),"",_EngineCycles!Q78))</f>
        <v/>
      </c>
      <c r="H78" s="32" t="str">
        <f>IF(NOT(_EngineCycles!A78&lt;&gt;""),"",IF(NOT($R78="OK"),"",_EngineCycles!J78))</f>
        <v/>
      </c>
      <c r="I78" s="23" t="str">
        <f>IF(NOT(_EngineCycles!A78&lt;&gt;""),"",IF(NOT($R78="OK"),"",_EngineCycles!I78))</f>
        <v/>
      </c>
      <c r="J78" s="23" t="str">
        <f>IF(NOT(_EngineCycles!A78&lt;&gt;""),"",IF(NOT($R78="OK"),"",_EngineCycles!L78))</f>
        <v/>
      </c>
      <c r="K78" s="23" t="str">
        <f>IF(NOT(_EngineCycles!A78&lt;&gt;""),"",IF(NOT($R78="OK"),"",_EngineCycles!U78))</f>
        <v/>
      </c>
      <c r="L78" s="32" t="str">
        <f>IF(NOT(_EngineCycles!A78&lt;&gt;""),"",IF(NOT($R78="OK"),"",_EngineCycles!AE78))</f>
        <v/>
      </c>
      <c r="M78" s="23" t="str">
        <f>IF(NOT(_EngineCycles!A78&lt;&gt;""),"",IF(NOT($R78="OK"),"",_EngineCycles!O78))</f>
        <v/>
      </c>
      <c r="N78" s="32" t="str">
        <f>IF(NOT(_EngineCycles!A78&lt;&gt;""),"",IF(NOT($R78="OK"),"",IF(_EngineCycles!E78="Closed",_EngineCycles!O78,"")))</f>
        <v/>
      </c>
      <c r="O78" s="33" t="str">
        <f>IF(NOT(_EngineCycles!A78&lt;&gt;""),"",IF(NOT($R78="OK"),"",_EngineCycles!Y78))</f>
        <v/>
      </c>
      <c r="P78" s="23" t="str">
        <f>IF(NOT(_EngineCycles!A78&lt;&gt;""),"",IF(NOT($R78="OK"),"",_EngineCycles!S78))</f>
        <v/>
      </c>
      <c r="Q78" s="30" t="str">
        <f>IF(_EngineCycles!A78="","",IF($R78&lt;&gt;"OK","Review",IF(_EngineCycles!E78="Closed","Closed","Open")))</f>
        <v/>
      </c>
      <c r="R78" s="24" t="str">
        <f>IF(_EngineCycles!A78="","",IF(COUNTIFS(Trades!$B$9:$B$508,_EngineCycles!B78,Trades!$C$9:$C$508,"&lt;&gt;"&amp;$B78,Trades!$A$9:$A$508,"&lt;&gt;")&gt;0,"Ticker mismatch",IF(COUNTIFS(Trades!$B$9:$B$508,_EngineCycles!B78,Trades!$D$9:$D$508,"&lt;&gt;"&amp;$C78,Trades!$A$9:$A$508,"&lt;&gt;")&gt;0,"Currency mismatch",IF(COUNTIFS(Trades!$B$9:$B$508,_EngineCycles!B78,Trades!$S$9:$S$508,"&lt;&gt;OK",Trades!$A$9:$A$508,"&lt;&gt;")&gt;0,"Check trades","OK"))))</f>
        <v/>
      </c>
      <c r="S78" s="34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P$9:$P$508),0),"")))</f>
        <v/>
      </c>
      <c r="T78" s="31" t="str">
        <f>IF(NOT(_EngineCycles!A78&lt;&gt;""),"",IF(NOT($R78="OK"),"",_EngineCycles!W78))</f>
        <v/>
      </c>
      <c r="U78" s="22"/>
      <c r="V78" s="22"/>
      <c r="W78" s="22"/>
      <c r="X78" s="22"/>
      <c r="Y78" t="str">
        <f>IF(AND($C78=Overview!$P$2,$Q78="Open",$R78="OK"),COUNTIFS($C$9:$C78,Overview!$P$2,$Q$9:$Q78,"Open",$R$9:$R78,"OK"),"")</f>
        <v/>
      </c>
    </row>
    <row r="79" spans="1:25" ht="23.1" customHeight="1" x14ac:dyDescent="0.25">
      <c r="A79" s="18" t="str">
        <f>IF(_EngineCycles!A79="","",_EngineCycles!B79&amp;IF(_EngineCycles!C79&gt;1," / "&amp;_EngineCycles!C79,""))</f>
        <v/>
      </c>
      <c r="B79" s="18" t="str">
        <f>IF(_EngineCycles!A79="","",_EngineCycles!D79)</f>
        <v/>
      </c>
      <c r="C79" s="18" t="str">
        <f>IF(_EngineCycles!A79="","",IFERROR(INDEX(Trades!$D$9:$D$508,_EngineCycles!AG79-8),""))</f>
        <v/>
      </c>
      <c r="D79" s="25" t="str">
        <f>IF(_EngineCycles!A79="","",IF($R79&lt;&gt;"OK","Review",IF(_EngineCycles!E79="Closed","Closed",IF(_EngineCycles!P79&gt;0,IF(IFERROR(LOOKUP(2,1/((_EngineTrades!$AU$9:$AU$508=_EngineCycles!A79)),_EngineTrades!$AQ$9:$AQ$508),0)&gt;0,"Covered Call","Shares Held"),"Cash-Secured Put"))))</f>
        <v/>
      </c>
      <c r="E79" s="26" t="str">
        <f>IF(NOT(_EngineCycles!A79&lt;&gt;""),"",IF(NOT($R79="OK"),"",_EngineCycles!P79))</f>
        <v/>
      </c>
      <c r="F79" s="17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AH$9:$AH$508),0),"")))</f>
        <v/>
      </c>
      <c r="G79" s="17" t="str">
        <f>IF(NOT(_EngineCycles!A79&lt;&gt;""),"",IF(NOT($R79="OK"),"",_EngineCycles!Q79))</f>
        <v/>
      </c>
      <c r="H79" s="27" t="str">
        <f>IF(NOT(_EngineCycles!A79&lt;&gt;""),"",IF(NOT($R79="OK"),"",_EngineCycles!J79))</f>
        <v/>
      </c>
      <c r="I79" s="17" t="str">
        <f>IF(NOT(_EngineCycles!A79&lt;&gt;""),"",IF(NOT($R79="OK"),"",_EngineCycles!I79))</f>
        <v/>
      </c>
      <c r="J79" s="17" t="str">
        <f>IF(NOT(_EngineCycles!A79&lt;&gt;""),"",IF(NOT($R79="OK"),"",_EngineCycles!L79))</f>
        <v/>
      </c>
      <c r="K79" s="17" t="str">
        <f>IF(NOT(_EngineCycles!A79&lt;&gt;""),"",IF(NOT($R79="OK"),"",_EngineCycles!U79))</f>
        <v/>
      </c>
      <c r="L79" s="27" t="str">
        <f>IF(NOT(_EngineCycles!A79&lt;&gt;""),"",IF(NOT($R79="OK"),"",_EngineCycles!AE79))</f>
        <v/>
      </c>
      <c r="M79" s="17" t="str">
        <f>IF(NOT(_EngineCycles!A79&lt;&gt;""),"",IF(NOT($R79="OK"),"",_EngineCycles!O79))</f>
        <v/>
      </c>
      <c r="N79" s="27" t="str">
        <f>IF(NOT(_EngineCycles!A79&lt;&gt;""),"",IF(NOT($R79="OK"),"",IF(_EngineCycles!E79="Closed",_EngineCycles!O79,"")))</f>
        <v/>
      </c>
      <c r="O79" s="28" t="str">
        <f>IF(NOT(_EngineCycles!A79&lt;&gt;""),"",IF(NOT($R79="OK"),"",_EngineCycles!Y79))</f>
        <v/>
      </c>
      <c r="P79" s="17" t="str">
        <f>IF(NOT(_EngineCycles!A79&lt;&gt;""),"",IF(NOT($R79="OK"),"",_EngineCycles!S79))</f>
        <v/>
      </c>
      <c r="Q79" s="25" t="str">
        <f>IF(_EngineCycles!A79="","",IF($R79&lt;&gt;"OK","Review",IF(_EngineCycles!E79="Closed","Closed","Open")))</f>
        <v/>
      </c>
      <c r="R79" s="18" t="str">
        <f>IF(_EngineCycles!A79="","",IF(COUNTIFS(Trades!$B$9:$B$508,_EngineCycles!B79,Trades!$C$9:$C$508,"&lt;&gt;"&amp;$B79,Trades!$A$9:$A$508,"&lt;&gt;")&gt;0,"Ticker mismatch",IF(COUNTIFS(Trades!$B$9:$B$508,_EngineCycles!B79,Trades!$D$9:$D$508,"&lt;&gt;"&amp;$C79,Trades!$A$9:$A$508,"&lt;&gt;")&gt;0,"Currency mismatch",IF(COUNTIFS(Trades!$B$9:$B$508,_EngineCycles!B79,Trades!$S$9:$S$508,"&lt;&gt;OK",Trades!$A$9:$A$508,"&lt;&gt;")&gt;0,"Check trades","OK"))))</f>
        <v/>
      </c>
      <c r="S79" s="29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P$9:$P$508),0),"")))</f>
        <v/>
      </c>
      <c r="T79" s="26" t="str">
        <f>IF(NOT(_EngineCycles!A79&lt;&gt;""),"",IF(NOT($R79="OK"),"",_EngineCycles!W79))</f>
        <v/>
      </c>
      <c r="U79" s="16"/>
      <c r="V79" s="16"/>
      <c r="W79" s="16"/>
      <c r="X79" s="16"/>
      <c r="Y79" t="str">
        <f>IF(AND($C79=Overview!$P$2,$Q79="Open",$R79="OK"),COUNTIFS($C$9:$C79,Overview!$P$2,$Q$9:$Q79,"Open",$R$9:$R79,"OK"),"")</f>
        <v/>
      </c>
    </row>
    <row r="80" spans="1:25" ht="23.1" customHeight="1" x14ac:dyDescent="0.25">
      <c r="A80" s="24" t="str">
        <f>IF(_EngineCycles!A80="","",_EngineCycles!B80&amp;IF(_EngineCycles!C80&gt;1," / "&amp;_EngineCycles!C80,""))</f>
        <v/>
      </c>
      <c r="B80" s="24" t="str">
        <f>IF(_EngineCycles!A80="","",_EngineCycles!D80)</f>
        <v/>
      </c>
      <c r="C80" s="24" t="str">
        <f>IF(_EngineCycles!A80="","",IFERROR(INDEX(Trades!$D$9:$D$508,_EngineCycles!AG80-8),""))</f>
        <v/>
      </c>
      <c r="D80" s="30" t="str">
        <f>IF(_EngineCycles!A80="","",IF($R80&lt;&gt;"OK","Review",IF(_EngineCycles!E80="Closed","Closed",IF(_EngineCycles!P80&gt;0,IF(IFERROR(LOOKUP(2,1/((_EngineTrades!$AU$9:$AU$508=_EngineCycles!A80)),_EngineTrades!$AQ$9:$AQ$508),0)&gt;0,"Covered Call","Shares Held"),"Cash-Secured Put"))))</f>
        <v/>
      </c>
      <c r="E80" s="31" t="str">
        <f>IF(NOT(_EngineCycles!A80&lt;&gt;""),"",IF(NOT($R80="OK"),"",_EngineCycles!P80))</f>
        <v/>
      </c>
      <c r="F80" s="23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AH$9:$AH$508),0),"")))</f>
        <v/>
      </c>
      <c r="G80" s="23" t="str">
        <f>IF(NOT(_EngineCycles!A80&lt;&gt;""),"",IF(NOT($R80="OK"),"",_EngineCycles!Q80))</f>
        <v/>
      </c>
      <c r="H80" s="32" t="str">
        <f>IF(NOT(_EngineCycles!A80&lt;&gt;""),"",IF(NOT($R80="OK"),"",_EngineCycles!J80))</f>
        <v/>
      </c>
      <c r="I80" s="23" t="str">
        <f>IF(NOT(_EngineCycles!A80&lt;&gt;""),"",IF(NOT($R80="OK"),"",_EngineCycles!I80))</f>
        <v/>
      </c>
      <c r="J80" s="23" t="str">
        <f>IF(NOT(_EngineCycles!A80&lt;&gt;""),"",IF(NOT($R80="OK"),"",_EngineCycles!L80))</f>
        <v/>
      </c>
      <c r="K80" s="23" t="str">
        <f>IF(NOT(_EngineCycles!A80&lt;&gt;""),"",IF(NOT($R80="OK"),"",_EngineCycles!U80))</f>
        <v/>
      </c>
      <c r="L80" s="32" t="str">
        <f>IF(NOT(_EngineCycles!A80&lt;&gt;""),"",IF(NOT($R80="OK"),"",_EngineCycles!AE80))</f>
        <v/>
      </c>
      <c r="M80" s="23" t="str">
        <f>IF(NOT(_EngineCycles!A80&lt;&gt;""),"",IF(NOT($R80="OK"),"",_EngineCycles!O80))</f>
        <v/>
      </c>
      <c r="N80" s="32" t="str">
        <f>IF(NOT(_EngineCycles!A80&lt;&gt;""),"",IF(NOT($R80="OK"),"",IF(_EngineCycles!E80="Closed",_EngineCycles!O80,"")))</f>
        <v/>
      </c>
      <c r="O80" s="33" t="str">
        <f>IF(NOT(_EngineCycles!A80&lt;&gt;""),"",IF(NOT($R80="OK"),"",_EngineCycles!Y80))</f>
        <v/>
      </c>
      <c r="P80" s="23" t="str">
        <f>IF(NOT(_EngineCycles!A80&lt;&gt;""),"",IF(NOT($R80="OK"),"",_EngineCycles!S80))</f>
        <v/>
      </c>
      <c r="Q80" s="30" t="str">
        <f>IF(_EngineCycles!A80="","",IF($R80&lt;&gt;"OK","Review",IF(_EngineCycles!E80="Closed","Closed","Open")))</f>
        <v/>
      </c>
      <c r="R80" s="24" t="str">
        <f>IF(_EngineCycles!A80="","",IF(COUNTIFS(Trades!$B$9:$B$508,_EngineCycles!B80,Trades!$C$9:$C$508,"&lt;&gt;"&amp;$B80,Trades!$A$9:$A$508,"&lt;&gt;")&gt;0,"Ticker mismatch",IF(COUNTIFS(Trades!$B$9:$B$508,_EngineCycles!B80,Trades!$D$9:$D$508,"&lt;&gt;"&amp;$C80,Trades!$A$9:$A$508,"&lt;&gt;")&gt;0,"Currency mismatch",IF(COUNTIFS(Trades!$B$9:$B$508,_EngineCycles!B80,Trades!$S$9:$S$508,"&lt;&gt;OK",Trades!$A$9:$A$508,"&lt;&gt;")&gt;0,"Check trades","OK"))))</f>
        <v/>
      </c>
      <c r="S80" s="34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P$9:$P$508),0),"")))</f>
        <v/>
      </c>
      <c r="T80" s="31" t="str">
        <f>IF(NOT(_EngineCycles!A80&lt;&gt;""),"",IF(NOT($R80="OK"),"",_EngineCycles!W80))</f>
        <v/>
      </c>
      <c r="U80" s="22"/>
      <c r="V80" s="22"/>
      <c r="W80" s="22"/>
      <c r="X80" s="22"/>
      <c r="Y80" t="str">
        <f>IF(AND($C80=Overview!$P$2,$Q80="Open",$R80="OK"),COUNTIFS($C$9:$C80,Overview!$P$2,$Q$9:$Q80,"Open",$R$9:$R80,"OK"),"")</f>
        <v/>
      </c>
    </row>
    <row r="81" spans="1:25" ht="23.1" customHeight="1" x14ac:dyDescent="0.25">
      <c r="A81" s="18" t="str">
        <f>IF(_EngineCycles!A81="","",_EngineCycles!B81&amp;IF(_EngineCycles!C81&gt;1," / "&amp;_EngineCycles!C81,""))</f>
        <v/>
      </c>
      <c r="B81" s="18" t="str">
        <f>IF(_EngineCycles!A81="","",_EngineCycles!D81)</f>
        <v/>
      </c>
      <c r="C81" s="18" t="str">
        <f>IF(_EngineCycles!A81="","",IFERROR(INDEX(Trades!$D$9:$D$508,_EngineCycles!AG81-8),""))</f>
        <v/>
      </c>
      <c r="D81" s="25" t="str">
        <f>IF(_EngineCycles!A81="","",IF($R81&lt;&gt;"OK","Review",IF(_EngineCycles!E81="Closed","Closed",IF(_EngineCycles!P81&gt;0,IF(IFERROR(LOOKUP(2,1/((_EngineTrades!$AU$9:$AU$508=_EngineCycles!A81)),_EngineTrades!$AQ$9:$AQ$508),0)&gt;0,"Covered Call","Shares Held"),"Cash-Secured Put"))))</f>
        <v/>
      </c>
      <c r="E81" s="26" t="str">
        <f>IF(NOT(_EngineCycles!A81&lt;&gt;""),"",IF(NOT($R81="OK"),"",_EngineCycles!P81))</f>
        <v/>
      </c>
      <c r="F81" s="17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AH$9:$AH$508),0),"")))</f>
        <v/>
      </c>
      <c r="G81" s="17" t="str">
        <f>IF(NOT(_EngineCycles!A81&lt;&gt;""),"",IF(NOT($R81="OK"),"",_EngineCycles!Q81))</f>
        <v/>
      </c>
      <c r="H81" s="27" t="str">
        <f>IF(NOT(_EngineCycles!A81&lt;&gt;""),"",IF(NOT($R81="OK"),"",_EngineCycles!J81))</f>
        <v/>
      </c>
      <c r="I81" s="17" t="str">
        <f>IF(NOT(_EngineCycles!A81&lt;&gt;""),"",IF(NOT($R81="OK"),"",_EngineCycles!I81))</f>
        <v/>
      </c>
      <c r="J81" s="17" t="str">
        <f>IF(NOT(_EngineCycles!A81&lt;&gt;""),"",IF(NOT($R81="OK"),"",_EngineCycles!L81))</f>
        <v/>
      </c>
      <c r="K81" s="17" t="str">
        <f>IF(NOT(_EngineCycles!A81&lt;&gt;""),"",IF(NOT($R81="OK"),"",_EngineCycles!U81))</f>
        <v/>
      </c>
      <c r="L81" s="27" t="str">
        <f>IF(NOT(_EngineCycles!A81&lt;&gt;""),"",IF(NOT($R81="OK"),"",_EngineCycles!AE81))</f>
        <v/>
      </c>
      <c r="M81" s="17" t="str">
        <f>IF(NOT(_EngineCycles!A81&lt;&gt;""),"",IF(NOT($R81="OK"),"",_EngineCycles!O81))</f>
        <v/>
      </c>
      <c r="N81" s="27" t="str">
        <f>IF(NOT(_EngineCycles!A81&lt;&gt;""),"",IF(NOT($R81="OK"),"",IF(_EngineCycles!E81="Closed",_EngineCycles!O81,"")))</f>
        <v/>
      </c>
      <c r="O81" s="28" t="str">
        <f>IF(NOT(_EngineCycles!A81&lt;&gt;""),"",IF(NOT($R81="OK"),"",_EngineCycles!Y81))</f>
        <v/>
      </c>
      <c r="P81" s="17" t="str">
        <f>IF(NOT(_EngineCycles!A81&lt;&gt;""),"",IF(NOT($R81="OK"),"",_EngineCycles!S81))</f>
        <v/>
      </c>
      <c r="Q81" s="25" t="str">
        <f>IF(_EngineCycles!A81="","",IF($R81&lt;&gt;"OK","Review",IF(_EngineCycles!E81="Closed","Closed","Open")))</f>
        <v/>
      </c>
      <c r="R81" s="18" t="str">
        <f>IF(_EngineCycles!A81="","",IF(COUNTIFS(Trades!$B$9:$B$508,_EngineCycles!B81,Trades!$C$9:$C$508,"&lt;&gt;"&amp;$B81,Trades!$A$9:$A$508,"&lt;&gt;")&gt;0,"Ticker mismatch",IF(COUNTIFS(Trades!$B$9:$B$508,_EngineCycles!B81,Trades!$D$9:$D$508,"&lt;&gt;"&amp;$C81,Trades!$A$9:$A$508,"&lt;&gt;")&gt;0,"Currency mismatch",IF(COUNTIFS(Trades!$B$9:$B$508,_EngineCycles!B81,Trades!$S$9:$S$508,"&lt;&gt;OK",Trades!$A$9:$A$508,"&lt;&gt;")&gt;0,"Check trades","OK"))))</f>
        <v/>
      </c>
      <c r="S81" s="29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P$9:$P$508),0),"")))</f>
        <v/>
      </c>
      <c r="T81" s="26" t="str">
        <f>IF(NOT(_EngineCycles!A81&lt;&gt;""),"",IF(NOT($R81="OK"),"",_EngineCycles!W81))</f>
        <v/>
      </c>
      <c r="U81" s="16"/>
      <c r="V81" s="16"/>
      <c r="W81" s="16"/>
      <c r="X81" s="16"/>
      <c r="Y81" t="str">
        <f>IF(AND($C81=Overview!$P$2,$Q81="Open",$R81="OK"),COUNTIFS($C$9:$C81,Overview!$P$2,$Q$9:$Q81,"Open",$R$9:$R81,"OK"),"")</f>
        <v/>
      </c>
    </row>
    <row r="82" spans="1:25" ht="23.1" customHeight="1" x14ac:dyDescent="0.25">
      <c r="A82" s="24" t="str">
        <f>IF(_EngineCycles!A82="","",_EngineCycles!B82&amp;IF(_EngineCycles!C82&gt;1," / "&amp;_EngineCycles!C82,""))</f>
        <v/>
      </c>
      <c r="B82" s="24" t="str">
        <f>IF(_EngineCycles!A82="","",_EngineCycles!D82)</f>
        <v/>
      </c>
      <c r="C82" s="24" t="str">
        <f>IF(_EngineCycles!A82="","",IFERROR(INDEX(Trades!$D$9:$D$508,_EngineCycles!AG82-8),""))</f>
        <v/>
      </c>
      <c r="D82" s="30" t="str">
        <f>IF(_EngineCycles!A82="","",IF($R82&lt;&gt;"OK","Review",IF(_EngineCycles!E82="Closed","Closed",IF(_EngineCycles!P82&gt;0,IF(IFERROR(LOOKUP(2,1/((_EngineTrades!$AU$9:$AU$508=_EngineCycles!A82)),_EngineTrades!$AQ$9:$AQ$508),0)&gt;0,"Covered Call","Shares Held"),"Cash-Secured Put"))))</f>
        <v/>
      </c>
      <c r="E82" s="31" t="str">
        <f>IF(NOT(_EngineCycles!A82&lt;&gt;""),"",IF(NOT($R82="OK"),"",_EngineCycles!P82))</f>
        <v/>
      </c>
      <c r="F82" s="23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AH$9:$AH$508),0),"")))</f>
        <v/>
      </c>
      <c r="G82" s="23" t="str">
        <f>IF(NOT(_EngineCycles!A82&lt;&gt;""),"",IF(NOT($R82="OK"),"",_EngineCycles!Q82))</f>
        <v/>
      </c>
      <c r="H82" s="32" t="str">
        <f>IF(NOT(_EngineCycles!A82&lt;&gt;""),"",IF(NOT($R82="OK"),"",_EngineCycles!J82))</f>
        <v/>
      </c>
      <c r="I82" s="23" t="str">
        <f>IF(NOT(_EngineCycles!A82&lt;&gt;""),"",IF(NOT($R82="OK"),"",_EngineCycles!I82))</f>
        <v/>
      </c>
      <c r="J82" s="23" t="str">
        <f>IF(NOT(_EngineCycles!A82&lt;&gt;""),"",IF(NOT($R82="OK"),"",_EngineCycles!L82))</f>
        <v/>
      </c>
      <c r="K82" s="23" t="str">
        <f>IF(NOT(_EngineCycles!A82&lt;&gt;""),"",IF(NOT($R82="OK"),"",_EngineCycles!U82))</f>
        <v/>
      </c>
      <c r="L82" s="32" t="str">
        <f>IF(NOT(_EngineCycles!A82&lt;&gt;""),"",IF(NOT($R82="OK"),"",_EngineCycles!AE82))</f>
        <v/>
      </c>
      <c r="M82" s="23" t="str">
        <f>IF(NOT(_EngineCycles!A82&lt;&gt;""),"",IF(NOT($R82="OK"),"",_EngineCycles!O82))</f>
        <v/>
      </c>
      <c r="N82" s="32" t="str">
        <f>IF(NOT(_EngineCycles!A82&lt;&gt;""),"",IF(NOT($R82="OK"),"",IF(_EngineCycles!E82="Closed",_EngineCycles!O82,"")))</f>
        <v/>
      </c>
      <c r="O82" s="33" t="str">
        <f>IF(NOT(_EngineCycles!A82&lt;&gt;""),"",IF(NOT($R82="OK"),"",_EngineCycles!Y82))</f>
        <v/>
      </c>
      <c r="P82" s="23" t="str">
        <f>IF(NOT(_EngineCycles!A82&lt;&gt;""),"",IF(NOT($R82="OK"),"",_EngineCycles!S82))</f>
        <v/>
      </c>
      <c r="Q82" s="30" t="str">
        <f>IF(_EngineCycles!A82="","",IF($R82&lt;&gt;"OK","Review",IF(_EngineCycles!E82="Closed","Closed","Open")))</f>
        <v/>
      </c>
      <c r="R82" s="24" t="str">
        <f>IF(_EngineCycles!A82="","",IF(COUNTIFS(Trades!$B$9:$B$508,_EngineCycles!B82,Trades!$C$9:$C$508,"&lt;&gt;"&amp;$B82,Trades!$A$9:$A$508,"&lt;&gt;")&gt;0,"Ticker mismatch",IF(COUNTIFS(Trades!$B$9:$B$508,_EngineCycles!B82,Trades!$D$9:$D$508,"&lt;&gt;"&amp;$C82,Trades!$A$9:$A$508,"&lt;&gt;")&gt;0,"Currency mismatch",IF(COUNTIFS(Trades!$B$9:$B$508,_EngineCycles!B82,Trades!$S$9:$S$508,"&lt;&gt;OK",Trades!$A$9:$A$508,"&lt;&gt;")&gt;0,"Check trades","OK"))))</f>
        <v/>
      </c>
      <c r="S82" s="34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P$9:$P$508),0),"")))</f>
        <v/>
      </c>
      <c r="T82" s="31" t="str">
        <f>IF(NOT(_EngineCycles!A82&lt;&gt;""),"",IF(NOT($R82="OK"),"",_EngineCycles!W82))</f>
        <v/>
      </c>
      <c r="U82" s="22"/>
      <c r="V82" s="22"/>
      <c r="W82" s="22"/>
      <c r="X82" s="22"/>
      <c r="Y82" t="str">
        <f>IF(AND($C82=Overview!$P$2,$Q82="Open",$R82="OK"),COUNTIFS($C$9:$C82,Overview!$P$2,$Q$9:$Q82,"Open",$R$9:$R82,"OK"),"")</f>
        <v/>
      </c>
    </row>
    <row r="83" spans="1:25" ht="23.1" customHeight="1" x14ac:dyDescent="0.25">
      <c r="A83" s="18" t="str">
        <f>IF(_EngineCycles!A83="","",_EngineCycles!B83&amp;IF(_EngineCycles!C83&gt;1," / "&amp;_EngineCycles!C83,""))</f>
        <v/>
      </c>
      <c r="B83" s="18" t="str">
        <f>IF(_EngineCycles!A83="","",_EngineCycles!D83)</f>
        <v/>
      </c>
      <c r="C83" s="18" t="str">
        <f>IF(_EngineCycles!A83="","",IFERROR(INDEX(Trades!$D$9:$D$508,_EngineCycles!AG83-8),""))</f>
        <v/>
      </c>
      <c r="D83" s="25" t="str">
        <f>IF(_EngineCycles!A83="","",IF($R83&lt;&gt;"OK","Review",IF(_EngineCycles!E83="Closed","Closed",IF(_EngineCycles!P83&gt;0,IF(IFERROR(LOOKUP(2,1/((_EngineTrades!$AU$9:$AU$508=_EngineCycles!A83)),_EngineTrades!$AQ$9:$AQ$508),0)&gt;0,"Covered Call","Shares Held"),"Cash-Secured Put"))))</f>
        <v/>
      </c>
      <c r="E83" s="26" t="str">
        <f>IF(NOT(_EngineCycles!A83&lt;&gt;""),"",IF(NOT($R83="OK"),"",_EngineCycles!P83))</f>
        <v/>
      </c>
      <c r="F83" s="17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AH$9:$AH$508),0),"")))</f>
        <v/>
      </c>
      <c r="G83" s="17" t="str">
        <f>IF(NOT(_EngineCycles!A83&lt;&gt;""),"",IF(NOT($R83="OK"),"",_EngineCycles!Q83))</f>
        <v/>
      </c>
      <c r="H83" s="27" t="str">
        <f>IF(NOT(_EngineCycles!A83&lt;&gt;""),"",IF(NOT($R83="OK"),"",_EngineCycles!J83))</f>
        <v/>
      </c>
      <c r="I83" s="17" t="str">
        <f>IF(NOT(_EngineCycles!A83&lt;&gt;""),"",IF(NOT($R83="OK"),"",_EngineCycles!I83))</f>
        <v/>
      </c>
      <c r="J83" s="17" t="str">
        <f>IF(NOT(_EngineCycles!A83&lt;&gt;""),"",IF(NOT($R83="OK"),"",_EngineCycles!L83))</f>
        <v/>
      </c>
      <c r="K83" s="17" t="str">
        <f>IF(NOT(_EngineCycles!A83&lt;&gt;""),"",IF(NOT($R83="OK"),"",_EngineCycles!U83))</f>
        <v/>
      </c>
      <c r="L83" s="27" t="str">
        <f>IF(NOT(_EngineCycles!A83&lt;&gt;""),"",IF(NOT($R83="OK"),"",_EngineCycles!AE83))</f>
        <v/>
      </c>
      <c r="M83" s="17" t="str">
        <f>IF(NOT(_EngineCycles!A83&lt;&gt;""),"",IF(NOT($R83="OK"),"",_EngineCycles!O83))</f>
        <v/>
      </c>
      <c r="N83" s="27" t="str">
        <f>IF(NOT(_EngineCycles!A83&lt;&gt;""),"",IF(NOT($R83="OK"),"",IF(_EngineCycles!E83="Closed",_EngineCycles!O83,"")))</f>
        <v/>
      </c>
      <c r="O83" s="28" t="str">
        <f>IF(NOT(_EngineCycles!A83&lt;&gt;""),"",IF(NOT($R83="OK"),"",_EngineCycles!Y83))</f>
        <v/>
      </c>
      <c r="P83" s="17" t="str">
        <f>IF(NOT(_EngineCycles!A83&lt;&gt;""),"",IF(NOT($R83="OK"),"",_EngineCycles!S83))</f>
        <v/>
      </c>
      <c r="Q83" s="25" t="str">
        <f>IF(_EngineCycles!A83="","",IF($R83&lt;&gt;"OK","Review",IF(_EngineCycles!E83="Closed","Closed","Open")))</f>
        <v/>
      </c>
      <c r="R83" s="18" t="str">
        <f>IF(_EngineCycles!A83="","",IF(COUNTIFS(Trades!$B$9:$B$508,_EngineCycles!B83,Trades!$C$9:$C$508,"&lt;&gt;"&amp;$B83,Trades!$A$9:$A$508,"&lt;&gt;")&gt;0,"Ticker mismatch",IF(COUNTIFS(Trades!$B$9:$B$508,_EngineCycles!B83,Trades!$D$9:$D$508,"&lt;&gt;"&amp;$C83,Trades!$A$9:$A$508,"&lt;&gt;")&gt;0,"Currency mismatch",IF(COUNTIFS(Trades!$B$9:$B$508,_EngineCycles!B83,Trades!$S$9:$S$508,"&lt;&gt;OK",Trades!$A$9:$A$508,"&lt;&gt;")&gt;0,"Check trades","OK"))))</f>
        <v/>
      </c>
      <c r="S83" s="29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P$9:$P$508),0),"")))</f>
        <v/>
      </c>
      <c r="T83" s="26" t="str">
        <f>IF(NOT(_EngineCycles!A83&lt;&gt;""),"",IF(NOT($R83="OK"),"",_EngineCycles!W83))</f>
        <v/>
      </c>
      <c r="U83" s="16"/>
      <c r="V83" s="16"/>
      <c r="W83" s="16"/>
      <c r="X83" s="16"/>
      <c r="Y83" t="str">
        <f>IF(AND($C83=Overview!$P$2,$Q83="Open",$R83="OK"),COUNTIFS($C$9:$C83,Overview!$P$2,$Q$9:$Q83,"Open",$R$9:$R83,"OK"),"")</f>
        <v/>
      </c>
    </row>
    <row r="84" spans="1:25" ht="23.1" customHeight="1" x14ac:dyDescent="0.25">
      <c r="A84" s="24" t="str">
        <f>IF(_EngineCycles!A84="","",_EngineCycles!B84&amp;IF(_EngineCycles!C84&gt;1," / "&amp;_EngineCycles!C84,""))</f>
        <v/>
      </c>
      <c r="B84" s="24" t="str">
        <f>IF(_EngineCycles!A84="","",_EngineCycles!D84)</f>
        <v/>
      </c>
      <c r="C84" s="24" t="str">
        <f>IF(_EngineCycles!A84="","",IFERROR(INDEX(Trades!$D$9:$D$508,_EngineCycles!AG84-8),""))</f>
        <v/>
      </c>
      <c r="D84" s="30" t="str">
        <f>IF(_EngineCycles!A84="","",IF($R84&lt;&gt;"OK","Review",IF(_EngineCycles!E84="Closed","Closed",IF(_EngineCycles!P84&gt;0,IF(IFERROR(LOOKUP(2,1/((_EngineTrades!$AU$9:$AU$508=_EngineCycles!A84)),_EngineTrades!$AQ$9:$AQ$508),0)&gt;0,"Covered Call","Shares Held"),"Cash-Secured Put"))))</f>
        <v/>
      </c>
      <c r="E84" s="31" t="str">
        <f>IF(NOT(_EngineCycles!A84&lt;&gt;""),"",IF(NOT($R84="OK"),"",_EngineCycles!P84))</f>
        <v/>
      </c>
      <c r="F84" s="23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AH$9:$AH$508),0),"")))</f>
        <v/>
      </c>
      <c r="G84" s="23" t="str">
        <f>IF(NOT(_EngineCycles!A84&lt;&gt;""),"",IF(NOT($R84="OK"),"",_EngineCycles!Q84))</f>
        <v/>
      </c>
      <c r="H84" s="32" t="str">
        <f>IF(NOT(_EngineCycles!A84&lt;&gt;""),"",IF(NOT($R84="OK"),"",_EngineCycles!J84))</f>
        <v/>
      </c>
      <c r="I84" s="23" t="str">
        <f>IF(NOT(_EngineCycles!A84&lt;&gt;""),"",IF(NOT($R84="OK"),"",_EngineCycles!I84))</f>
        <v/>
      </c>
      <c r="J84" s="23" t="str">
        <f>IF(NOT(_EngineCycles!A84&lt;&gt;""),"",IF(NOT($R84="OK"),"",_EngineCycles!L84))</f>
        <v/>
      </c>
      <c r="K84" s="23" t="str">
        <f>IF(NOT(_EngineCycles!A84&lt;&gt;""),"",IF(NOT($R84="OK"),"",_EngineCycles!U84))</f>
        <v/>
      </c>
      <c r="L84" s="32" t="str">
        <f>IF(NOT(_EngineCycles!A84&lt;&gt;""),"",IF(NOT($R84="OK"),"",_EngineCycles!AE84))</f>
        <v/>
      </c>
      <c r="M84" s="23" t="str">
        <f>IF(NOT(_EngineCycles!A84&lt;&gt;""),"",IF(NOT($R84="OK"),"",_EngineCycles!O84))</f>
        <v/>
      </c>
      <c r="N84" s="32" t="str">
        <f>IF(NOT(_EngineCycles!A84&lt;&gt;""),"",IF(NOT($R84="OK"),"",IF(_EngineCycles!E84="Closed",_EngineCycles!O84,"")))</f>
        <v/>
      </c>
      <c r="O84" s="33" t="str">
        <f>IF(NOT(_EngineCycles!A84&lt;&gt;""),"",IF(NOT($R84="OK"),"",_EngineCycles!Y84))</f>
        <v/>
      </c>
      <c r="P84" s="23" t="str">
        <f>IF(NOT(_EngineCycles!A84&lt;&gt;""),"",IF(NOT($R84="OK"),"",_EngineCycles!S84))</f>
        <v/>
      </c>
      <c r="Q84" s="30" t="str">
        <f>IF(_EngineCycles!A84="","",IF($R84&lt;&gt;"OK","Review",IF(_EngineCycles!E84="Closed","Closed","Open")))</f>
        <v/>
      </c>
      <c r="R84" s="24" t="str">
        <f>IF(_EngineCycles!A84="","",IF(COUNTIFS(Trades!$B$9:$B$508,_EngineCycles!B84,Trades!$C$9:$C$508,"&lt;&gt;"&amp;$B84,Trades!$A$9:$A$508,"&lt;&gt;")&gt;0,"Ticker mismatch",IF(COUNTIFS(Trades!$B$9:$B$508,_EngineCycles!B84,Trades!$D$9:$D$508,"&lt;&gt;"&amp;$C84,Trades!$A$9:$A$508,"&lt;&gt;")&gt;0,"Currency mismatch",IF(COUNTIFS(Trades!$B$9:$B$508,_EngineCycles!B84,Trades!$S$9:$S$508,"&lt;&gt;OK",Trades!$A$9:$A$508,"&lt;&gt;")&gt;0,"Check trades","OK"))))</f>
        <v/>
      </c>
      <c r="S84" s="34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P$9:$P$508),0),"")))</f>
        <v/>
      </c>
      <c r="T84" s="31" t="str">
        <f>IF(NOT(_EngineCycles!A84&lt;&gt;""),"",IF(NOT($R84="OK"),"",_EngineCycles!W84))</f>
        <v/>
      </c>
      <c r="U84" s="22"/>
      <c r="V84" s="22"/>
      <c r="W84" s="22"/>
      <c r="X84" s="22"/>
      <c r="Y84" t="str">
        <f>IF(AND($C84=Overview!$P$2,$Q84="Open",$R84="OK"),COUNTIFS($C$9:$C84,Overview!$P$2,$Q$9:$Q84,"Open",$R$9:$R84,"OK"),"")</f>
        <v/>
      </c>
    </row>
    <row r="85" spans="1:25" ht="23.1" customHeight="1" x14ac:dyDescent="0.25">
      <c r="A85" s="18" t="str">
        <f>IF(_EngineCycles!A85="","",_EngineCycles!B85&amp;IF(_EngineCycles!C85&gt;1," / "&amp;_EngineCycles!C85,""))</f>
        <v/>
      </c>
      <c r="B85" s="18" t="str">
        <f>IF(_EngineCycles!A85="","",_EngineCycles!D85)</f>
        <v/>
      </c>
      <c r="C85" s="18" t="str">
        <f>IF(_EngineCycles!A85="","",IFERROR(INDEX(Trades!$D$9:$D$508,_EngineCycles!AG85-8),""))</f>
        <v/>
      </c>
      <c r="D85" s="25" t="str">
        <f>IF(_EngineCycles!A85="","",IF($R85&lt;&gt;"OK","Review",IF(_EngineCycles!E85="Closed","Closed",IF(_EngineCycles!P85&gt;0,IF(IFERROR(LOOKUP(2,1/((_EngineTrades!$AU$9:$AU$508=_EngineCycles!A85)),_EngineTrades!$AQ$9:$AQ$508),0)&gt;0,"Covered Call","Shares Held"),"Cash-Secured Put"))))</f>
        <v/>
      </c>
      <c r="E85" s="26" t="str">
        <f>IF(NOT(_EngineCycles!A85&lt;&gt;""),"",IF(NOT($R85="OK"),"",_EngineCycles!P85))</f>
        <v/>
      </c>
      <c r="F85" s="17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AH$9:$AH$508),0),"")))</f>
        <v/>
      </c>
      <c r="G85" s="17" t="str">
        <f>IF(NOT(_EngineCycles!A85&lt;&gt;""),"",IF(NOT($R85="OK"),"",_EngineCycles!Q85))</f>
        <v/>
      </c>
      <c r="H85" s="27" t="str">
        <f>IF(NOT(_EngineCycles!A85&lt;&gt;""),"",IF(NOT($R85="OK"),"",_EngineCycles!J85))</f>
        <v/>
      </c>
      <c r="I85" s="17" t="str">
        <f>IF(NOT(_EngineCycles!A85&lt;&gt;""),"",IF(NOT($R85="OK"),"",_EngineCycles!I85))</f>
        <v/>
      </c>
      <c r="J85" s="17" t="str">
        <f>IF(NOT(_EngineCycles!A85&lt;&gt;""),"",IF(NOT($R85="OK"),"",_EngineCycles!L85))</f>
        <v/>
      </c>
      <c r="K85" s="17" t="str">
        <f>IF(NOT(_EngineCycles!A85&lt;&gt;""),"",IF(NOT($R85="OK"),"",_EngineCycles!U85))</f>
        <v/>
      </c>
      <c r="L85" s="27" t="str">
        <f>IF(NOT(_EngineCycles!A85&lt;&gt;""),"",IF(NOT($R85="OK"),"",_EngineCycles!AE85))</f>
        <v/>
      </c>
      <c r="M85" s="17" t="str">
        <f>IF(NOT(_EngineCycles!A85&lt;&gt;""),"",IF(NOT($R85="OK"),"",_EngineCycles!O85))</f>
        <v/>
      </c>
      <c r="N85" s="27" t="str">
        <f>IF(NOT(_EngineCycles!A85&lt;&gt;""),"",IF(NOT($R85="OK"),"",IF(_EngineCycles!E85="Closed",_EngineCycles!O85,"")))</f>
        <v/>
      </c>
      <c r="O85" s="28" t="str">
        <f>IF(NOT(_EngineCycles!A85&lt;&gt;""),"",IF(NOT($R85="OK"),"",_EngineCycles!Y85))</f>
        <v/>
      </c>
      <c r="P85" s="17" t="str">
        <f>IF(NOT(_EngineCycles!A85&lt;&gt;""),"",IF(NOT($R85="OK"),"",_EngineCycles!S85))</f>
        <v/>
      </c>
      <c r="Q85" s="25" t="str">
        <f>IF(_EngineCycles!A85="","",IF($R85&lt;&gt;"OK","Review",IF(_EngineCycles!E85="Closed","Closed","Open")))</f>
        <v/>
      </c>
      <c r="R85" s="18" t="str">
        <f>IF(_EngineCycles!A85="","",IF(COUNTIFS(Trades!$B$9:$B$508,_EngineCycles!B85,Trades!$C$9:$C$508,"&lt;&gt;"&amp;$B85,Trades!$A$9:$A$508,"&lt;&gt;")&gt;0,"Ticker mismatch",IF(COUNTIFS(Trades!$B$9:$B$508,_EngineCycles!B85,Trades!$D$9:$D$508,"&lt;&gt;"&amp;$C85,Trades!$A$9:$A$508,"&lt;&gt;")&gt;0,"Currency mismatch",IF(COUNTIFS(Trades!$B$9:$B$508,_EngineCycles!B85,Trades!$S$9:$S$508,"&lt;&gt;OK",Trades!$A$9:$A$508,"&lt;&gt;")&gt;0,"Check trades","OK"))))</f>
        <v/>
      </c>
      <c r="S85" s="29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P$9:$P$508),0),"")))</f>
        <v/>
      </c>
      <c r="T85" s="26" t="str">
        <f>IF(NOT(_EngineCycles!A85&lt;&gt;""),"",IF(NOT($R85="OK"),"",_EngineCycles!W85))</f>
        <v/>
      </c>
      <c r="U85" s="16"/>
      <c r="V85" s="16"/>
      <c r="W85" s="16"/>
      <c r="X85" s="16"/>
      <c r="Y85" t="str">
        <f>IF(AND($C85=Overview!$P$2,$Q85="Open",$R85="OK"),COUNTIFS($C$9:$C85,Overview!$P$2,$Q$9:$Q85,"Open",$R$9:$R85,"OK"),"")</f>
        <v/>
      </c>
    </row>
    <row r="86" spans="1:25" ht="23.1" customHeight="1" x14ac:dyDescent="0.25">
      <c r="A86" s="24" t="str">
        <f>IF(_EngineCycles!A86="","",_EngineCycles!B86&amp;IF(_EngineCycles!C86&gt;1," / "&amp;_EngineCycles!C86,""))</f>
        <v/>
      </c>
      <c r="B86" s="24" t="str">
        <f>IF(_EngineCycles!A86="","",_EngineCycles!D86)</f>
        <v/>
      </c>
      <c r="C86" s="24" t="str">
        <f>IF(_EngineCycles!A86="","",IFERROR(INDEX(Trades!$D$9:$D$508,_EngineCycles!AG86-8),""))</f>
        <v/>
      </c>
      <c r="D86" s="30" t="str">
        <f>IF(_EngineCycles!A86="","",IF($R86&lt;&gt;"OK","Review",IF(_EngineCycles!E86="Closed","Closed",IF(_EngineCycles!P86&gt;0,IF(IFERROR(LOOKUP(2,1/((_EngineTrades!$AU$9:$AU$508=_EngineCycles!A86)),_EngineTrades!$AQ$9:$AQ$508),0)&gt;0,"Covered Call","Shares Held"),"Cash-Secured Put"))))</f>
        <v/>
      </c>
      <c r="E86" s="31" t="str">
        <f>IF(NOT(_EngineCycles!A86&lt;&gt;""),"",IF(NOT($R86="OK"),"",_EngineCycles!P86))</f>
        <v/>
      </c>
      <c r="F86" s="23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AH$9:$AH$508),0),"")))</f>
        <v/>
      </c>
      <c r="G86" s="23" t="str">
        <f>IF(NOT(_EngineCycles!A86&lt;&gt;""),"",IF(NOT($R86="OK"),"",_EngineCycles!Q86))</f>
        <v/>
      </c>
      <c r="H86" s="32" t="str">
        <f>IF(NOT(_EngineCycles!A86&lt;&gt;""),"",IF(NOT($R86="OK"),"",_EngineCycles!J86))</f>
        <v/>
      </c>
      <c r="I86" s="23" t="str">
        <f>IF(NOT(_EngineCycles!A86&lt;&gt;""),"",IF(NOT($R86="OK"),"",_EngineCycles!I86))</f>
        <v/>
      </c>
      <c r="J86" s="23" t="str">
        <f>IF(NOT(_EngineCycles!A86&lt;&gt;""),"",IF(NOT($R86="OK"),"",_EngineCycles!L86))</f>
        <v/>
      </c>
      <c r="K86" s="23" t="str">
        <f>IF(NOT(_EngineCycles!A86&lt;&gt;""),"",IF(NOT($R86="OK"),"",_EngineCycles!U86))</f>
        <v/>
      </c>
      <c r="L86" s="32" t="str">
        <f>IF(NOT(_EngineCycles!A86&lt;&gt;""),"",IF(NOT($R86="OK"),"",_EngineCycles!AE86))</f>
        <v/>
      </c>
      <c r="M86" s="23" t="str">
        <f>IF(NOT(_EngineCycles!A86&lt;&gt;""),"",IF(NOT($R86="OK"),"",_EngineCycles!O86))</f>
        <v/>
      </c>
      <c r="N86" s="32" t="str">
        <f>IF(NOT(_EngineCycles!A86&lt;&gt;""),"",IF(NOT($R86="OK"),"",IF(_EngineCycles!E86="Closed",_EngineCycles!O86,"")))</f>
        <v/>
      </c>
      <c r="O86" s="33" t="str">
        <f>IF(NOT(_EngineCycles!A86&lt;&gt;""),"",IF(NOT($R86="OK"),"",_EngineCycles!Y86))</f>
        <v/>
      </c>
      <c r="P86" s="23" t="str">
        <f>IF(NOT(_EngineCycles!A86&lt;&gt;""),"",IF(NOT($R86="OK"),"",_EngineCycles!S86))</f>
        <v/>
      </c>
      <c r="Q86" s="30" t="str">
        <f>IF(_EngineCycles!A86="","",IF($R86&lt;&gt;"OK","Review",IF(_EngineCycles!E86="Closed","Closed","Open")))</f>
        <v/>
      </c>
      <c r="R86" s="24" t="str">
        <f>IF(_EngineCycles!A86="","",IF(COUNTIFS(Trades!$B$9:$B$508,_EngineCycles!B86,Trades!$C$9:$C$508,"&lt;&gt;"&amp;$B86,Trades!$A$9:$A$508,"&lt;&gt;")&gt;0,"Ticker mismatch",IF(COUNTIFS(Trades!$B$9:$B$508,_EngineCycles!B86,Trades!$D$9:$D$508,"&lt;&gt;"&amp;$C86,Trades!$A$9:$A$508,"&lt;&gt;")&gt;0,"Currency mismatch",IF(COUNTIFS(Trades!$B$9:$B$508,_EngineCycles!B86,Trades!$S$9:$S$508,"&lt;&gt;OK",Trades!$A$9:$A$508,"&lt;&gt;")&gt;0,"Check trades","OK"))))</f>
        <v/>
      </c>
      <c r="S86" s="34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P$9:$P$508),0),"")))</f>
        <v/>
      </c>
      <c r="T86" s="31" t="str">
        <f>IF(NOT(_EngineCycles!A86&lt;&gt;""),"",IF(NOT($R86="OK"),"",_EngineCycles!W86))</f>
        <v/>
      </c>
      <c r="U86" s="22"/>
      <c r="V86" s="22"/>
      <c r="W86" s="22"/>
      <c r="X86" s="22"/>
      <c r="Y86" t="str">
        <f>IF(AND($C86=Overview!$P$2,$Q86="Open",$R86="OK"),COUNTIFS($C$9:$C86,Overview!$P$2,$Q$9:$Q86,"Open",$R$9:$R86,"OK"),"")</f>
        <v/>
      </c>
    </row>
    <row r="87" spans="1:25" ht="23.1" customHeight="1" x14ac:dyDescent="0.25">
      <c r="A87" s="18" t="str">
        <f>IF(_EngineCycles!A87="","",_EngineCycles!B87&amp;IF(_EngineCycles!C87&gt;1," / "&amp;_EngineCycles!C87,""))</f>
        <v/>
      </c>
      <c r="B87" s="18" t="str">
        <f>IF(_EngineCycles!A87="","",_EngineCycles!D87)</f>
        <v/>
      </c>
      <c r="C87" s="18" t="str">
        <f>IF(_EngineCycles!A87="","",IFERROR(INDEX(Trades!$D$9:$D$508,_EngineCycles!AG87-8),""))</f>
        <v/>
      </c>
      <c r="D87" s="25" t="str">
        <f>IF(_EngineCycles!A87="","",IF($R87&lt;&gt;"OK","Review",IF(_EngineCycles!E87="Closed","Closed",IF(_EngineCycles!P87&gt;0,IF(IFERROR(LOOKUP(2,1/((_EngineTrades!$AU$9:$AU$508=_EngineCycles!A87)),_EngineTrades!$AQ$9:$AQ$508),0)&gt;0,"Covered Call","Shares Held"),"Cash-Secured Put"))))</f>
        <v/>
      </c>
      <c r="E87" s="26" t="str">
        <f>IF(NOT(_EngineCycles!A87&lt;&gt;""),"",IF(NOT($R87="OK"),"",_EngineCycles!P87))</f>
        <v/>
      </c>
      <c r="F87" s="17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AH$9:$AH$508),0),"")))</f>
        <v/>
      </c>
      <c r="G87" s="17" t="str">
        <f>IF(NOT(_EngineCycles!A87&lt;&gt;""),"",IF(NOT($R87="OK"),"",_EngineCycles!Q87))</f>
        <v/>
      </c>
      <c r="H87" s="27" t="str">
        <f>IF(NOT(_EngineCycles!A87&lt;&gt;""),"",IF(NOT($R87="OK"),"",_EngineCycles!J87))</f>
        <v/>
      </c>
      <c r="I87" s="17" t="str">
        <f>IF(NOT(_EngineCycles!A87&lt;&gt;""),"",IF(NOT($R87="OK"),"",_EngineCycles!I87))</f>
        <v/>
      </c>
      <c r="J87" s="17" t="str">
        <f>IF(NOT(_EngineCycles!A87&lt;&gt;""),"",IF(NOT($R87="OK"),"",_EngineCycles!L87))</f>
        <v/>
      </c>
      <c r="K87" s="17" t="str">
        <f>IF(NOT(_EngineCycles!A87&lt;&gt;""),"",IF(NOT($R87="OK"),"",_EngineCycles!U87))</f>
        <v/>
      </c>
      <c r="L87" s="27" t="str">
        <f>IF(NOT(_EngineCycles!A87&lt;&gt;""),"",IF(NOT($R87="OK"),"",_EngineCycles!AE87))</f>
        <v/>
      </c>
      <c r="M87" s="17" t="str">
        <f>IF(NOT(_EngineCycles!A87&lt;&gt;""),"",IF(NOT($R87="OK"),"",_EngineCycles!O87))</f>
        <v/>
      </c>
      <c r="N87" s="27" t="str">
        <f>IF(NOT(_EngineCycles!A87&lt;&gt;""),"",IF(NOT($R87="OK"),"",IF(_EngineCycles!E87="Closed",_EngineCycles!O87,"")))</f>
        <v/>
      </c>
      <c r="O87" s="28" t="str">
        <f>IF(NOT(_EngineCycles!A87&lt;&gt;""),"",IF(NOT($R87="OK"),"",_EngineCycles!Y87))</f>
        <v/>
      </c>
      <c r="P87" s="17" t="str">
        <f>IF(NOT(_EngineCycles!A87&lt;&gt;""),"",IF(NOT($R87="OK"),"",_EngineCycles!S87))</f>
        <v/>
      </c>
      <c r="Q87" s="25" t="str">
        <f>IF(_EngineCycles!A87="","",IF($R87&lt;&gt;"OK","Review",IF(_EngineCycles!E87="Closed","Closed","Open")))</f>
        <v/>
      </c>
      <c r="R87" s="18" t="str">
        <f>IF(_EngineCycles!A87="","",IF(COUNTIFS(Trades!$B$9:$B$508,_EngineCycles!B87,Trades!$C$9:$C$508,"&lt;&gt;"&amp;$B87,Trades!$A$9:$A$508,"&lt;&gt;")&gt;0,"Ticker mismatch",IF(COUNTIFS(Trades!$B$9:$B$508,_EngineCycles!B87,Trades!$D$9:$D$508,"&lt;&gt;"&amp;$C87,Trades!$A$9:$A$508,"&lt;&gt;")&gt;0,"Currency mismatch",IF(COUNTIFS(Trades!$B$9:$B$508,_EngineCycles!B87,Trades!$S$9:$S$508,"&lt;&gt;OK",Trades!$A$9:$A$508,"&lt;&gt;")&gt;0,"Check trades","OK"))))</f>
        <v/>
      </c>
      <c r="S87" s="29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P$9:$P$508),0),"")))</f>
        <v/>
      </c>
      <c r="T87" s="26" t="str">
        <f>IF(NOT(_EngineCycles!A87&lt;&gt;""),"",IF(NOT($R87="OK"),"",_EngineCycles!W87))</f>
        <v/>
      </c>
      <c r="U87" s="16"/>
      <c r="V87" s="16"/>
      <c r="W87" s="16"/>
      <c r="X87" s="16"/>
      <c r="Y87" t="str">
        <f>IF(AND($C87=Overview!$P$2,$Q87="Open",$R87="OK"),COUNTIFS($C$9:$C87,Overview!$P$2,$Q$9:$Q87,"Open",$R$9:$R87,"OK"),"")</f>
        <v/>
      </c>
    </row>
    <row r="88" spans="1:25" ht="23.1" customHeight="1" x14ac:dyDescent="0.25">
      <c r="A88" s="24" t="str">
        <f>IF(_EngineCycles!A88="","",_EngineCycles!B88&amp;IF(_EngineCycles!C88&gt;1," / "&amp;_EngineCycles!C88,""))</f>
        <v/>
      </c>
      <c r="B88" s="24" t="str">
        <f>IF(_EngineCycles!A88="","",_EngineCycles!D88)</f>
        <v/>
      </c>
      <c r="C88" s="24" t="str">
        <f>IF(_EngineCycles!A88="","",IFERROR(INDEX(Trades!$D$9:$D$508,_EngineCycles!AG88-8),""))</f>
        <v/>
      </c>
      <c r="D88" s="30" t="str">
        <f>IF(_EngineCycles!A88="","",IF($R88&lt;&gt;"OK","Review",IF(_EngineCycles!E88="Closed","Closed",IF(_EngineCycles!P88&gt;0,IF(IFERROR(LOOKUP(2,1/((_EngineTrades!$AU$9:$AU$508=_EngineCycles!A88)),_EngineTrades!$AQ$9:$AQ$508),0)&gt;0,"Covered Call","Shares Held"),"Cash-Secured Put"))))</f>
        <v/>
      </c>
      <c r="E88" s="31" t="str">
        <f>IF(NOT(_EngineCycles!A88&lt;&gt;""),"",IF(NOT($R88="OK"),"",_EngineCycles!P88))</f>
        <v/>
      </c>
      <c r="F88" s="23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AH$9:$AH$508),0),"")))</f>
        <v/>
      </c>
      <c r="G88" s="23" t="str">
        <f>IF(NOT(_EngineCycles!A88&lt;&gt;""),"",IF(NOT($R88="OK"),"",_EngineCycles!Q88))</f>
        <v/>
      </c>
      <c r="H88" s="32" t="str">
        <f>IF(NOT(_EngineCycles!A88&lt;&gt;""),"",IF(NOT($R88="OK"),"",_EngineCycles!J88))</f>
        <v/>
      </c>
      <c r="I88" s="23" t="str">
        <f>IF(NOT(_EngineCycles!A88&lt;&gt;""),"",IF(NOT($R88="OK"),"",_EngineCycles!I88))</f>
        <v/>
      </c>
      <c r="J88" s="23" t="str">
        <f>IF(NOT(_EngineCycles!A88&lt;&gt;""),"",IF(NOT($R88="OK"),"",_EngineCycles!L88))</f>
        <v/>
      </c>
      <c r="K88" s="23" t="str">
        <f>IF(NOT(_EngineCycles!A88&lt;&gt;""),"",IF(NOT($R88="OK"),"",_EngineCycles!U88))</f>
        <v/>
      </c>
      <c r="L88" s="32" t="str">
        <f>IF(NOT(_EngineCycles!A88&lt;&gt;""),"",IF(NOT($R88="OK"),"",_EngineCycles!AE88))</f>
        <v/>
      </c>
      <c r="M88" s="23" t="str">
        <f>IF(NOT(_EngineCycles!A88&lt;&gt;""),"",IF(NOT($R88="OK"),"",_EngineCycles!O88))</f>
        <v/>
      </c>
      <c r="N88" s="32" t="str">
        <f>IF(NOT(_EngineCycles!A88&lt;&gt;""),"",IF(NOT($R88="OK"),"",IF(_EngineCycles!E88="Closed",_EngineCycles!O88,"")))</f>
        <v/>
      </c>
      <c r="O88" s="33" t="str">
        <f>IF(NOT(_EngineCycles!A88&lt;&gt;""),"",IF(NOT($R88="OK"),"",_EngineCycles!Y88))</f>
        <v/>
      </c>
      <c r="P88" s="23" t="str">
        <f>IF(NOT(_EngineCycles!A88&lt;&gt;""),"",IF(NOT($R88="OK"),"",_EngineCycles!S88))</f>
        <v/>
      </c>
      <c r="Q88" s="30" t="str">
        <f>IF(_EngineCycles!A88="","",IF($R88&lt;&gt;"OK","Review",IF(_EngineCycles!E88="Closed","Closed","Open")))</f>
        <v/>
      </c>
      <c r="R88" s="24" t="str">
        <f>IF(_EngineCycles!A88="","",IF(COUNTIFS(Trades!$B$9:$B$508,_EngineCycles!B88,Trades!$C$9:$C$508,"&lt;&gt;"&amp;$B88,Trades!$A$9:$A$508,"&lt;&gt;")&gt;0,"Ticker mismatch",IF(COUNTIFS(Trades!$B$9:$B$508,_EngineCycles!B88,Trades!$D$9:$D$508,"&lt;&gt;"&amp;$C88,Trades!$A$9:$A$508,"&lt;&gt;")&gt;0,"Currency mismatch",IF(COUNTIFS(Trades!$B$9:$B$508,_EngineCycles!B88,Trades!$S$9:$S$508,"&lt;&gt;OK",Trades!$A$9:$A$508,"&lt;&gt;")&gt;0,"Check trades","OK"))))</f>
        <v/>
      </c>
      <c r="S88" s="34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P$9:$P$508),0),"")))</f>
        <v/>
      </c>
      <c r="T88" s="31" t="str">
        <f>IF(NOT(_EngineCycles!A88&lt;&gt;""),"",IF(NOT($R88="OK"),"",_EngineCycles!W88))</f>
        <v/>
      </c>
      <c r="U88" s="22"/>
      <c r="V88" s="22"/>
      <c r="W88" s="22"/>
      <c r="X88" s="22"/>
      <c r="Y88" t="str">
        <f>IF(AND($C88=Overview!$P$2,$Q88="Open",$R88="OK"),COUNTIFS($C$9:$C88,Overview!$P$2,$Q$9:$Q88,"Open",$R$9:$R88,"OK"),"")</f>
        <v/>
      </c>
    </row>
    <row r="89" spans="1:25" ht="23.1" customHeight="1" x14ac:dyDescent="0.25">
      <c r="A89" s="18" t="str">
        <f>IF(_EngineCycles!A89="","",_EngineCycles!B89&amp;IF(_EngineCycles!C89&gt;1," / "&amp;_EngineCycles!C89,""))</f>
        <v/>
      </c>
      <c r="B89" s="18" t="str">
        <f>IF(_EngineCycles!A89="","",_EngineCycles!D89)</f>
        <v/>
      </c>
      <c r="C89" s="18" t="str">
        <f>IF(_EngineCycles!A89="","",IFERROR(INDEX(Trades!$D$9:$D$508,_EngineCycles!AG89-8),""))</f>
        <v/>
      </c>
      <c r="D89" s="25" t="str">
        <f>IF(_EngineCycles!A89="","",IF($R89&lt;&gt;"OK","Review",IF(_EngineCycles!E89="Closed","Closed",IF(_EngineCycles!P89&gt;0,IF(IFERROR(LOOKUP(2,1/((_EngineTrades!$AU$9:$AU$508=_EngineCycles!A89)),_EngineTrades!$AQ$9:$AQ$508),0)&gt;0,"Covered Call","Shares Held"),"Cash-Secured Put"))))</f>
        <v/>
      </c>
      <c r="E89" s="26" t="str">
        <f>IF(NOT(_EngineCycles!A89&lt;&gt;""),"",IF(NOT($R89="OK"),"",_EngineCycles!P89))</f>
        <v/>
      </c>
      <c r="F89" s="17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AH$9:$AH$508),0),"")))</f>
        <v/>
      </c>
      <c r="G89" s="17" t="str">
        <f>IF(NOT(_EngineCycles!A89&lt;&gt;""),"",IF(NOT($R89="OK"),"",_EngineCycles!Q89))</f>
        <v/>
      </c>
      <c r="H89" s="27" t="str">
        <f>IF(NOT(_EngineCycles!A89&lt;&gt;""),"",IF(NOT($R89="OK"),"",_EngineCycles!J89))</f>
        <v/>
      </c>
      <c r="I89" s="17" t="str">
        <f>IF(NOT(_EngineCycles!A89&lt;&gt;""),"",IF(NOT($R89="OK"),"",_EngineCycles!I89))</f>
        <v/>
      </c>
      <c r="J89" s="17" t="str">
        <f>IF(NOT(_EngineCycles!A89&lt;&gt;""),"",IF(NOT($R89="OK"),"",_EngineCycles!L89))</f>
        <v/>
      </c>
      <c r="K89" s="17" t="str">
        <f>IF(NOT(_EngineCycles!A89&lt;&gt;""),"",IF(NOT($R89="OK"),"",_EngineCycles!U89))</f>
        <v/>
      </c>
      <c r="L89" s="27" t="str">
        <f>IF(NOT(_EngineCycles!A89&lt;&gt;""),"",IF(NOT($R89="OK"),"",_EngineCycles!AE89))</f>
        <v/>
      </c>
      <c r="M89" s="17" t="str">
        <f>IF(NOT(_EngineCycles!A89&lt;&gt;""),"",IF(NOT($R89="OK"),"",_EngineCycles!O89))</f>
        <v/>
      </c>
      <c r="N89" s="27" t="str">
        <f>IF(NOT(_EngineCycles!A89&lt;&gt;""),"",IF(NOT($R89="OK"),"",IF(_EngineCycles!E89="Closed",_EngineCycles!O89,"")))</f>
        <v/>
      </c>
      <c r="O89" s="28" t="str">
        <f>IF(NOT(_EngineCycles!A89&lt;&gt;""),"",IF(NOT($R89="OK"),"",_EngineCycles!Y89))</f>
        <v/>
      </c>
      <c r="P89" s="17" t="str">
        <f>IF(NOT(_EngineCycles!A89&lt;&gt;""),"",IF(NOT($R89="OK"),"",_EngineCycles!S89))</f>
        <v/>
      </c>
      <c r="Q89" s="25" t="str">
        <f>IF(_EngineCycles!A89="","",IF($R89&lt;&gt;"OK","Review",IF(_EngineCycles!E89="Closed","Closed","Open")))</f>
        <v/>
      </c>
      <c r="R89" s="18" t="str">
        <f>IF(_EngineCycles!A89="","",IF(COUNTIFS(Trades!$B$9:$B$508,_EngineCycles!B89,Trades!$C$9:$C$508,"&lt;&gt;"&amp;$B89,Trades!$A$9:$A$508,"&lt;&gt;")&gt;0,"Ticker mismatch",IF(COUNTIFS(Trades!$B$9:$B$508,_EngineCycles!B89,Trades!$D$9:$D$508,"&lt;&gt;"&amp;$C89,Trades!$A$9:$A$508,"&lt;&gt;")&gt;0,"Currency mismatch",IF(COUNTIFS(Trades!$B$9:$B$508,_EngineCycles!B89,Trades!$S$9:$S$508,"&lt;&gt;OK",Trades!$A$9:$A$508,"&lt;&gt;")&gt;0,"Check trades","OK"))))</f>
        <v/>
      </c>
      <c r="S89" s="29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P$9:$P$508),0),"")))</f>
        <v/>
      </c>
      <c r="T89" s="26" t="str">
        <f>IF(NOT(_EngineCycles!A89&lt;&gt;""),"",IF(NOT($R89="OK"),"",_EngineCycles!W89))</f>
        <v/>
      </c>
      <c r="U89" s="16"/>
      <c r="V89" s="16"/>
      <c r="W89" s="16"/>
      <c r="X89" s="16"/>
      <c r="Y89" t="str">
        <f>IF(AND($C89=Overview!$P$2,$Q89="Open",$R89="OK"),COUNTIFS($C$9:$C89,Overview!$P$2,$Q$9:$Q89,"Open",$R$9:$R89,"OK"),"")</f>
        <v/>
      </c>
    </row>
    <row r="90" spans="1:25" ht="23.1" customHeight="1" x14ac:dyDescent="0.25">
      <c r="A90" s="24" t="str">
        <f>IF(_EngineCycles!A90="","",_EngineCycles!B90&amp;IF(_EngineCycles!C90&gt;1," / "&amp;_EngineCycles!C90,""))</f>
        <v/>
      </c>
      <c r="B90" s="24" t="str">
        <f>IF(_EngineCycles!A90="","",_EngineCycles!D90)</f>
        <v/>
      </c>
      <c r="C90" s="24" t="str">
        <f>IF(_EngineCycles!A90="","",IFERROR(INDEX(Trades!$D$9:$D$508,_EngineCycles!AG90-8),""))</f>
        <v/>
      </c>
      <c r="D90" s="30" t="str">
        <f>IF(_EngineCycles!A90="","",IF($R90&lt;&gt;"OK","Review",IF(_EngineCycles!E90="Closed","Closed",IF(_EngineCycles!P90&gt;0,IF(IFERROR(LOOKUP(2,1/((_EngineTrades!$AU$9:$AU$508=_EngineCycles!A90)),_EngineTrades!$AQ$9:$AQ$508),0)&gt;0,"Covered Call","Shares Held"),"Cash-Secured Put"))))</f>
        <v/>
      </c>
      <c r="E90" s="31" t="str">
        <f>IF(NOT(_EngineCycles!A90&lt;&gt;""),"",IF(NOT($R90="OK"),"",_EngineCycles!P90))</f>
        <v/>
      </c>
      <c r="F90" s="23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AH$9:$AH$508),0),"")))</f>
        <v/>
      </c>
      <c r="G90" s="23" t="str">
        <f>IF(NOT(_EngineCycles!A90&lt;&gt;""),"",IF(NOT($R90="OK"),"",_EngineCycles!Q90))</f>
        <v/>
      </c>
      <c r="H90" s="32" t="str">
        <f>IF(NOT(_EngineCycles!A90&lt;&gt;""),"",IF(NOT($R90="OK"),"",_EngineCycles!J90))</f>
        <v/>
      </c>
      <c r="I90" s="23" t="str">
        <f>IF(NOT(_EngineCycles!A90&lt;&gt;""),"",IF(NOT($R90="OK"),"",_EngineCycles!I90))</f>
        <v/>
      </c>
      <c r="J90" s="23" t="str">
        <f>IF(NOT(_EngineCycles!A90&lt;&gt;""),"",IF(NOT($R90="OK"),"",_EngineCycles!L90))</f>
        <v/>
      </c>
      <c r="K90" s="23" t="str">
        <f>IF(NOT(_EngineCycles!A90&lt;&gt;""),"",IF(NOT($R90="OK"),"",_EngineCycles!U90))</f>
        <v/>
      </c>
      <c r="L90" s="32" t="str">
        <f>IF(NOT(_EngineCycles!A90&lt;&gt;""),"",IF(NOT($R90="OK"),"",_EngineCycles!AE90))</f>
        <v/>
      </c>
      <c r="M90" s="23" t="str">
        <f>IF(NOT(_EngineCycles!A90&lt;&gt;""),"",IF(NOT($R90="OK"),"",_EngineCycles!O90))</f>
        <v/>
      </c>
      <c r="N90" s="32" t="str">
        <f>IF(NOT(_EngineCycles!A90&lt;&gt;""),"",IF(NOT($R90="OK"),"",IF(_EngineCycles!E90="Closed",_EngineCycles!O90,"")))</f>
        <v/>
      </c>
      <c r="O90" s="33" t="str">
        <f>IF(NOT(_EngineCycles!A90&lt;&gt;""),"",IF(NOT($R90="OK"),"",_EngineCycles!Y90))</f>
        <v/>
      </c>
      <c r="P90" s="23" t="str">
        <f>IF(NOT(_EngineCycles!A90&lt;&gt;""),"",IF(NOT($R90="OK"),"",_EngineCycles!S90))</f>
        <v/>
      </c>
      <c r="Q90" s="30" t="str">
        <f>IF(_EngineCycles!A90="","",IF($R90&lt;&gt;"OK","Review",IF(_EngineCycles!E90="Closed","Closed","Open")))</f>
        <v/>
      </c>
      <c r="R90" s="24" t="str">
        <f>IF(_EngineCycles!A90="","",IF(COUNTIFS(Trades!$B$9:$B$508,_EngineCycles!B90,Trades!$C$9:$C$508,"&lt;&gt;"&amp;$B90,Trades!$A$9:$A$508,"&lt;&gt;")&gt;0,"Ticker mismatch",IF(COUNTIFS(Trades!$B$9:$B$508,_EngineCycles!B90,Trades!$D$9:$D$508,"&lt;&gt;"&amp;$C90,Trades!$A$9:$A$508,"&lt;&gt;")&gt;0,"Currency mismatch",IF(COUNTIFS(Trades!$B$9:$B$508,_EngineCycles!B90,Trades!$S$9:$S$508,"&lt;&gt;OK",Trades!$A$9:$A$508,"&lt;&gt;")&gt;0,"Check trades","OK"))))</f>
        <v/>
      </c>
      <c r="S90" s="34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P$9:$P$508),0),"")))</f>
        <v/>
      </c>
      <c r="T90" s="31" t="str">
        <f>IF(NOT(_EngineCycles!A90&lt;&gt;""),"",IF(NOT($R90="OK"),"",_EngineCycles!W90))</f>
        <v/>
      </c>
      <c r="U90" s="22"/>
      <c r="V90" s="22"/>
      <c r="W90" s="22"/>
      <c r="X90" s="22"/>
      <c r="Y90" t="str">
        <f>IF(AND($C90=Overview!$P$2,$Q90="Open",$R90="OK"),COUNTIFS($C$9:$C90,Overview!$P$2,$Q$9:$Q90,"Open",$R$9:$R90,"OK"),"")</f>
        <v/>
      </c>
    </row>
    <row r="91" spans="1:25" ht="23.1" customHeight="1" x14ac:dyDescent="0.25">
      <c r="A91" s="18" t="str">
        <f>IF(_EngineCycles!A91="","",_EngineCycles!B91&amp;IF(_EngineCycles!C91&gt;1," / "&amp;_EngineCycles!C91,""))</f>
        <v/>
      </c>
      <c r="B91" s="18" t="str">
        <f>IF(_EngineCycles!A91="","",_EngineCycles!D91)</f>
        <v/>
      </c>
      <c r="C91" s="18" t="str">
        <f>IF(_EngineCycles!A91="","",IFERROR(INDEX(Trades!$D$9:$D$508,_EngineCycles!AG91-8),""))</f>
        <v/>
      </c>
      <c r="D91" s="25" t="str">
        <f>IF(_EngineCycles!A91="","",IF($R91&lt;&gt;"OK","Review",IF(_EngineCycles!E91="Closed","Closed",IF(_EngineCycles!P91&gt;0,IF(IFERROR(LOOKUP(2,1/((_EngineTrades!$AU$9:$AU$508=_EngineCycles!A91)),_EngineTrades!$AQ$9:$AQ$508),0)&gt;0,"Covered Call","Shares Held"),"Cash-Secured Put"))))</f>
        <v/>
      </c>
      <c r="E91" s="26" t="str">
        <f>IF(NOT(_EngineCycles!A91&lt;&gt;""),"",IF(NOT($R91="OK"),"",_EngineCycles!P91))</f>
        <v/>
      </c>
      <c r="F91" s="17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AH$9:$AH$508),0),"")))</f>
        <v/>
      </c>
      <c r="G91" s="17" t="str">
        <f>IF(NOT(_EngineCycles!A91&lt;&gt;""),"",IF(NOT($R91="OK"),"",_EngineCycles!Q91))</f>
        <v/>
      </c>
      <c r="H91" s="27" t="str">
        <f>IF(NOT(_EngineCycles!A91&lt;&gt;""),"",IF(NOT($R91="OK"),"",_EngineCycles!J91))</f>
        <v/>
      </c>
      <c r="I91" s="17" t="str">
        <f>IF(NOT(_EngineCycles!A91&lt;&gt;""),"",IF(NOT($R91="OK"),"",_EngineCycles!I91))</f>
        <v/>
      </c>
      <c r="J91" s="17" t="str">
        <f>IF(NOT(_EngineCycles!A91&lt;&gt;""),"",IF(NOT($R91="OK"),"",_EngineCycles!L91))</f>
        <v/>
      </c>
      <c r="K91" s="17" t="str">
        <f>IF(NOT(_EngineCycles!A91&lt;&gt;""),"",IF(NOT($R91="OK"),"",_EngineCycles!U91))</f>
        <v/>
      </c>
      <c r="L91" s="27" t="str">
        <f>IF(NOT(_EngineCycles!A91&lt;&gt;""),"",IF(NOT($R91="OK"),"",_EngineCycles!AE91))</f>
        <v/>
      </c>
      <c r="M91" s="17" t="str">
        <f>IF(NOT(_EngineCycles!A91&lt;&gt;""),"",IF(NOT($R91="OK"),"",_EngineCycles!O91))</f>
        <v/>
      </c>
      <c r="N91" s="27" t="str">
        <f>IF(NOT(_EngineCycles!A91&lt;&gt;""),"",IF(NOT($R91="OK"),"",IF(_EngineCycles!E91="Closed",_EngineCycles!O91,"")))</f>
        <v/>
      </c>
      <c r="O91" s="28" t="str">
        <f>IF(NOT(_EngineCycles!A91&lt;&gt;""),"",IF(NOT($R91="OK"),"",_EngineCycles!Y91))</f>
        <v/>
      </c>
      <c r="P91" s="17" t="str">
        <f>IF(NOT(_EngineCycles!A91&lt;&gt;""),"",IF(NOT($R91="OK"),"",_EngineCycles!S91))</f>
        <v/>
      </c>
      <c r="Q91" s="25" t="str">
        <f>IF(_EngineCycles!A91="","",IF($R91&lt;&gt;"OK","Review",IF(_EngineCycles!E91="Closed","Closed","Open")))</f>
        <v/>
      </c>
      <c r="R91" s="18" t="str">
        <f>IF(_EngineCycles!A91="","",IF(COUNTIFS(Trades!$B$9:$B$508,_EngineCycles!B91,Trades!$C$9:$C$508,"&lt;&gt;"&amp;$B91,Trades!$A$9:$A$508,"&lt;&gt;")&gt;0,"Ticker mismatch",IF(COUNTIFS(Trades!$B$9:$B$508,_EngineCycles!B91,Trades!$D$9:$D$508,"&lt;&gt;"&amp;$C91,Trades!$A$9:$A$508,"&lt;&gt;")&gt;0,"Currency mismatch",IF(COUNTIFS(Trades!$B$9:$B$508,_EngineCycles!B91,Trades!$S$9:$S$508,"&lt;&gt;OK",Trades!$A$9:$A$508,"&lt;&gt;")&gt;0,"Check trades","OK"))))</f>
        <v/>
      </c>
      <c r="S91" s="29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P$9:$P$508),0),"")))</f>
        <v/>
      </c>
      <c r="T91" s="26" t="str">
        <f>IF(NOT(_EngineCycles!A91&lt;&gt;""),"",IF(NOT($R91="OK"),"",_EngineCycles!W91))</f>
        <v/>
      </c>
      <c r="U91" s="16"/>
      <c r="V91" s="16"/>
      <c r="W91" s="16"/>
      <c r="X91" s="16"/>
      <c r="Y91" t="str">
        <f>IF(AND($C91=Overview!$P$2,$Q91="Open",$R91="OK"),COUNTIFS($C$9:$C91,Overview!$P$2,$Q$9:$Q91,"Open",$R$9:$R91,"OK"),"")</f>
        <v/>
      </c>
    </row>
    <row r="92" spans="1:25" ht="23.1" customHeight="1" x14ac:dyDescent="0.25">
      <c r="A92" s="24" t="str">
        <f>IF(_EngineCycles!A92="","",_EngineCycles!B92&amp;IF(_EngineCycles!C92&gt;1," / "&amp;_EngineCycles!C92,""))</f>
        <v/>
      </c>
      <c r="B92" s="24" t="str">
        <f>IF(_EngineCycles!A92="","",_EngineCycles!D92)</f>
        <v/>
      </c>
      <c r="C92" s="24" t="str">
        <f>IF(_EngineCycles!A92="","",IFERROR(INDEX(Trades!$D$9:$D$508,_EngineCycles!AG92-8),""))</f>
        <v/>
      </c>
      <c r="D92" s="30" t="str">
        <f>IF(_EngineCycles!A92="","",IF($R92&lt;&gt;"OK","Review",IF(_EngineCycles!E92="Closed","Closed",IF(_EngineCycles!P92&gt;0,IF(IFERROR(LOOKUP(2,1/((_EngineTrades!$AU$9:$AU$508=_EngineCycles!A92)),_EngineTrades!$AQ$9:$AQ$508),0)&gt;0,"Covered Call","Shares Held"),"Cash-Secured Put"))))</f>
        <v/>
      </c>
      <c r="E92" s="31" t="str">
        <f>IF(NOT(_EngineCycles!A92&lt;&gt;""),"",IF(NOT($R92="OK"),"",_EngineCycles!P92))</f>
        <v/>
      </c>
      <c r="F92" s="23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AH$9:$AH$508),0),"")))</f>
        <v/>
      </c>
      <c r="G92" s="23" t="str">
        <f>IF(NOT(_EngineCycles!A92&lt;&gt;""),"",IF(NOT($R92="OK"),"",_EngineCycles!Q92))</f>
        <v/>
      </c>
      <c r="H92" s="32" t="str">
        <f>IF(NOT(_EngineCycles!A92&lt;&gt;""),"",IF(NOT($R92="OK"),"",_EngineCycles!J92))</f>
        <v/>
      </c>
      <c r="I92" s="23" t="str">
        <f>IF(NOT(_EngineCycles!A92&lt;&gt;""),"",IF(NOT($R92="OK"),"",_EngineCycles!I92))</f>
        <v/>
      </c>
      <c r="J92" s="23" t="str">
        <f>IF(NOT(_EngineCycles!A92&lt;&gt;""),"",IF(NOT($R92="OK"),"",_EngineCycles!L92))</f>
        <v/>
      </c>
      <c r="K92" s="23" t="str">
        <f>IF(NOT(_EngineCycles!A92&lt;&gt;""),"",IF(NOT($R92="OK"),"",_EngineCycles!U92))</f>
        <v/>
      </c>
      <c r="L92" s="32" t="str">
        <f>IF(NOT(_EngineCycles!A92&lt;&gt;""),"",IF(NOT($R92="OK"),"",_EngineCycles!AE92))</f>
        <v/>
      </c>
      <c r="M92" s="23" t="str">
        <f>IF(NOT(_EngineCycles!A92&lt;&gt;""),"",IF(NOT($R92="OK"),"",_EngineCycles!O92))</f>
        <v/>
      </c>
      <c r="N92" s="32" t="str">
        <f>IF(NOT(_EngineCycles!A92&lt;&gt;""),"",IF(NOT($R92="OK"),"",IF(_EngineCycles!E92="Closed",_EngineCycles!O92,"")))</f>
        <v/>
      </c>
      <c r="O92" s="33" t="str">
        <f>IF(NOT(_EngineCycles!A92&lt;&gt;""),"",IF(NOT($R92="OK"),"",_EngineCycles!Y92))</f>
        <v/>
      </c>
      <c r="P92" s="23" t="str">
        <f>IF(NOT(_EngineCycles!A92&lt;&gt;""),"",IF(NOT($R92="OK"),"",_EngineCycles!S92))</f>
        <v/>
      </c>
      <c r="Q92" s="30" t="str">
        <f>IF(_EngineCycles!A92="","",IF($R92&lt;&gt;"OK","Review",IF(_EngineCycles!E92="Closed","Closed","Open")))</f>
        <v/>
      </c>
      <c r="R92" s="24" t="str">
        <f>IF(_EngineCycles!A92="","",IF(COUNTIFS(Trades!$B$9:$B$508,_EngineCycles!B92,Trades!$C$9:$C$508,"&lt;&gt;"&amp;$B92,Trades!$A$9:$A$508,"&lt;&gt;")&gt;0,"Ticker mismatch",IF(COUNTIFS(Trades!$B$9:$B$508,_EngineCycles!B92,Trades!$D$9:$D$508,"&lt;&gt;"&amp;$C92,Trades!$A$9:$A$508,"&lt;&gt;")&gt;0,"Currency mismatch",IF(COUNTIFS(Trades!$B$9:$B$508,_EngineCycles!B92,Trades!$S$9:$S$508,"&lt;&gt;OK",Trades!$A$9:$A$508,"&lt;&gt;")&gt;0,"Check trades","OK"))))</f>
        <v/>
      </c>
      <c r="S92" s="34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P$9:$P$508),0),"")))</f>
        <v/>
      </c>
      <c r="T92" s="31" t="str">
        <f>IF(NOT(_EngineCycles!A92&lt;&gt;""),"",IF(NOT($R92="OK"),"",_EngineCycles!W92))</f>
        <v/>
      </c>
      <c r="U92" s="22"/>
      <c r="V92" s="22"/>
      <c r="W92" s="22"/>
      <c r="X92" s="22"/>
      <c r="Y92" t="str">
        <f>IF(AND($C92=Overview!$P$2,$Q92="Open",$R92="OK"),COUNTIFS($C$9:$C92,Overview!$P$2,$Q$9:$Q92,"Open",$R$9:$R92,"OK"),"")</f>
        <v/>
      </c>
    </row>
    <row r="93" spans="1:25" ht="23.1" customHeight="1" x14ac:dyDescent="0.25">
      <c r="A93" s="18" t="str">
        <f>IF(_EngineCycles!A93="","",_EngineCycles!B93&amp;IF(_EngineCycles!C93&gt;1," / "&amp;_EngineCycles!C93,""))</f>
        <v/>
      </c>
      <c r="B93" s="18" t="str">
        <f>IF(_EngineCycles!A93="","",_EngineCycles!D93)</f>
        <v/>
      </c>
      <c r="C93" s="18" t="str">
        <f>IF(_EngineCycles!A93="","",IFERROR(INDEX(Trades!$D$9:$D$508,_EngineCycles!AG93-8),""))</f>
        <v/>
      </c>
      <c r="D93" s="25" t="str">
        <f>IF(_EngineCycles!A93="","",IF($R93&lt;&gt;"OK","Review",IF(_EngineCycles!E93="Closed","Closed",IF(_EngineCycles!P93&gt;0,IF(IFERROR(LOOKUP(2,1/((_EngineTrades!$AU$9:$AU$508=_EngineCycles!A93)),_EngineTrades!$AQ$9:$AQ$508),0)&gt;0,"Covered Call","Shares Held"),"Cash-Secured Put"))))</f>
        <v/>
      </c>
      <c r="E93" s="26" t="str">
        <f>IF(NOT(_EngineCycles!A93&lt;&gt;""),"",IF(NOT($R93="OK"),"",_EngineCycles!P93))</f>
        <v/>
      </c>
      <c r="F93" s="17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AH$9:$AH$508),0),"")))</f>
        <v/>
      </c>
      <c r="G93" s="17" t="str">
        <f>IF(NOT(_EngineCycles!A93&lt;&gt;""),"",IF(NOT($R93="OK"),"",_EngineCycles!Q93))</f>
        <v/>
      </c>
      <c r="H93" s="27" t="str">
        <f>IF(NOT(_EngineCycles!A93&lt;&gt;""),"",IF(NOT($R93="OK"),"",_EngineCycles!J93))</f>
        <v/>
      </c>
      <c r="I93" s="17" t="str">
        <f>IF(NOT(_EngineCycles!A93&lt;&gt;""),"",IF(NOT($R93="OK"),"",_EngineCycles!I93))</f>
        <v/>
      </c>
      <c r="J93" s="17" t="str">
        <f>IF(NOT(_EngineCycles!A93&lt;&gt;""),"",IF(NOT($R93="OK"),"",_EngineCycles!L93))</f>
        <v/>
      </c>
      <c r="K93" s="17" t="str">
        <f>IF(NOT(_EngineCycles!A93&lt;&gt;""),"",IF(NOT($R93="OK"),"",_EngineCycles!U93))</f>
        <v/>
      </c>
      <c r="L93" s="27" t="str">
        <f>IF(NOT(_EngineCycles!A93&lt;&gt;""),"",IF(NOT($R93="OK"),"",_EngineCycles!AE93))</f>
        <v/>
      </c>
      <c r="M93" s="17" t="str">
        <f>IF(NOT(_EngineCycles!A93&lt;&gt;""),"",IF(NOT($R93="OK"),"",_EngineCycles!O93))</f>
        <v/>
      </c>
      <c r="N93" s="27" t="str">
        <f>IF(NOT(_EngineCycles!A93&lt;&gt;""),"",IF(NOT($R93="OK"),"",IF(_EngineCycles!E93="Closed",_EngineCycles!O93,"")))</f>
        <v/>
      </c>
      <c r="O93" s="28" t="str">
        <f>IF(NOT(_EngineCycles!A93&lt;&gt;""),"",IF(NOT($R93="OK"),"",_EngineCycles!Y93))</f>
        <v/>
      </c>
      <c r="P93" s="17" t="str">
        <f>IF(NOT(_EngineCycles!A93&lt;&gt;""),"",IF(NOT($R93="OK"),"",_EngineCycles!S93))</f>
        <v/>
      </c>
      <c r="Q93" s="25" t="str">
        <f>IF(_EngineCycles!A93="","",IF($R93&lt;&gt;"OK","Review",IF(_EngineCycles!E93="Closed","Closed","Open")))</f>
        <v/>
      </c>
      <c r="R93" s="18" t="str">
        <f>IF(_EngineCycles!A93="","",IF(COUNTIFS(Trades!$B$9:$B$508,_EngineCycles!B93,Trades!$C$9:$C$508,"&lt;&gt;"&amp;$B93,Trades!$A$9:$A$508,"&lt;&gt;")&gt;0,"Ticker mismatch",IF(COUNTIFS(Trades!$B$9:$B$508,_EngineCycles!B93,Trades!$D$9:$D$508,"&lt;&gt;"&amp;$C93,Trades!$A$9:$A$508,"&lt;&gt;")&gt;0,"Currency mismatch",IF(COUNTIFS(Trades!$B$9:$B$508,_EngineCycles!B93,Trades!$S$9:$S$508,"&lt;&gt;OK",Trades!$A$9:$A$508,"&lt;&gt;")&gt;0,"Check trades","OK"))))</f>
        <v/>
      </c>
      <c r="S93" s="29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P$9:$P$508),0),"")))</f>
        <v/>
      </c>
      <c r="T93" s="26" t="str">
        <f>IF(NOT(_EngineCycles!A93&lt;&gt;""),"",IF(NOT($R93="OK"),"",_EngineCycles!W93))</f>
        <v/>
      </c>
      <c r="U93" s="16"/>
      <c r="V93" s="16"/>
      <c r="W93" s="16"/>
      <c r="X93" s="16"/>
      <c r="Y93" t="str">
        <f>IF(AND($C93=Overview!$P$2,$Q93="Open",$R93="OK"),COUNTIFS($C$9:$C93,Overview!$P$2,$Q$9:$Q93,"Open",$R$9:$R93,"OK"),"")</f>
        <v/>
      </c>
    </row>
    <row r="94" spans="1:25" ht="23.1" customHeight="1" x14ac:dyDescent="0.25">
      <c r="A94" s="24" t="str">
        <f>IF(_EngineCycles!A94="","",_EngineCycles!B94&amp;IF(_EngineCycles!C94&gt;1," / "&amp;_EngineCycles!C94,""))</f>
        <v/>
      </c>
      <c r="B94" s="24" t="str">
        <f>IF(_EngineCycles!A94="","",_EngineCycles!D94)</f>
        <v/>
      </c>
      <c r="C94" s="24" t="str">
        <f>IF(_EngineCycles!A94="","",IFERROR(INDEX(Trades!$D$9:$D$508,_EngineCycles!AG94-8),""))</f>
        <v/>
      </c>
      <c r="D94" s="30" t="str">
        <f>IF(_EngineCycles!A94="","",IF($R94&lt;&gt;"OK","Review",IF(_EngineCycles!E94="Closed","Closed",IF(_EngineCycles!P94&gt;0,IF(IFERROR(LOOKUP(2,1/((_EngineTrades!$AU$9:$AU$508=_EngineCycles!A94)),_EngineTrades!$AQ$9:$AQ$508),0)&gt;0,"Covered Call","Shares Held"),"Cash-Secured Put"))))</f>
        <v/>
      </c>
      <c r="E94" s="31" t="str">
        <f>IF(NOT(_EngineCycles!A94&lt;&gt;""),"",IF(NOT($R94="OK"),"",_EngineCycles!P94))</f>
        <v/>
      </c>
      <c r="F94" s="23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AH$9:$AH$508),0),"")))</f>
        <v/>
      </c>
      <c r="G94" s="23" t="str">
        <f>IF(NOT(_EngineCycles!A94&lt;&gt;""),"",IF(NOT($R94="OK"),"",_EngineCycles!Q94))</f>
        <v/>
      </c>
      <c r="H94" s="32" t="str">
        <f>IF(NOT(_EngineCycles!A94&lt;&gt;""),"",IF(NOT($R94="OK"),"",_EngineCycles!J94))</f>
        <v/>
      </c>
      <c r="I94" s="23" t="str">
        <f>IF(NOT(_EngineCycles!A94&lt;&gt;""),"",IF(NOT($R94="OK"),"",_EngineCycles!I94))</f>
        <v/>
      </c>
      <c r="J94" s="23" t="str">
        <f>IF(NOT(_EngineCycles!A94&lt;&gt;""),"",IF(NOT($R94="OK"),"",_EngineCycles!L94))</f>
        <v/>
      </c>
      <c r="K94" s="23" t="str">
        <f>IF(NOT(_EngineCycles!A94&lt;&gt;""),"",IF(NOT($R94="OK"),"",_EngineCycles!U94))</f>
        <v/>
      </c>
      <c r="L94" s="32" t="str">
        <f>IF(NOT(_EngineCycles!A94&lt;&gt;""),"",IF(NOT($R94="OK"),"",_EngineCycles!AE94))</f>
        <v/>
      </c>
      <c r="M94" s="23" t="str">
        <f>IF(NOT(_EngineCycles!A94&lt;&gt;""),"",IF(NOT($R94="OK"),"",_EngineCycles!O94))</f>
        <v/>
      </c>
      <c r="N94" s="32" t="str">
        <f>IF(NOT(_EngineCycles!A94&lt;&gt;""),"",IF(NOT($R94="OK"),"",IF(_EngineCycles!E94="Closed",_EngineCycles!O94,"")))</f>
        <v/>
      </c>
      <c r="O94" s="33" t="str">
        <f>IF(NOT(_EngineCycles!A94&lt;&gt;""),"",IF(NOT($R94="OK"),"",_EngineCycles!Y94))</f>
        <v/>
      </c>
      <c r="P94" s="23" t="str">
        <f>IF(NOT(_EngineCycles!A94&lt;&gt;""),"",IF(NOT($R94="OK"),"",_EngineCycles!S94))</f>
        <v/>
      </c>
      <c r="Q94" s="30" t="str">
        <f>IF(_EngineCycles!A94="","",IF($R94&lt;&gt;"OK","Review",IF(_EngineCycles!E94="Closed","Closed","Open")))</f>
        <v/>
      </c>
      <c r="R94" s="24" t="str">
        <f>IF(_EngineCycles!A94="","",IF(COUNTIFS(Trades!$B$9:$B$508,_EngineCycles!B94,Trades!$C$9:$C$508,"&lt;&gt;"&amp;$B94,Trades!$A$9:$A$508,"&lt;&gt;")&gt;0,"Ticker mismatch",IF(COUNTIFS(Trades!$B$9:$B$508,_EngineCycles!B94,Trades!$D$9:$D$508,"&lt;&gt;"&amp;$C94,Trades!$A$9:$A$508,"&lt;&gt;")&gt;0,"Currency mismatch",IF(COUNTIFS(Trades!$B$9:$B$508,_EngineCycles!B94,Trades!$S$9:$S$508,"&lt;&gt;OK",Trades!$A$9:$A$508,"&lt;&gt;")&gt;0,"Check trades","OK"))))</f>
        <v/>
      </c>
      <c r="S94" s="34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P$9:$P$508),0),"")))</f>
        <v/>
      </c>
      <c r="T94" s="31" t="str">
        <f>IF(NOT(_EngineCycles!A94&lt;&gt;""),"",IF(NOT($R94="OK"),"",_EngineCycles!W94))</f>
        <v/>
      </c>
      <c r="U94" s="22"/>
      <c r="V94" s="22"/>
      <c r="W94" s="22"/>
      <c r="X94" s="22"/>
      <c r="Y94" t="str">
        <f>IF(AND($C94=Overview!$P$2,$Q94="Open",$R94="OK"),COUNTIFS($C$9:$C94,Overview!$P$2,$Q$9:$Q94,"Open",$R$9:$R94,"OK"),"")</f>
        <v/>
      </c>
    </row>
    <row r="95" spans="1:25" ht="23.1" customHeight="1" x14ac:dyDescent="0.25">
      <c r="A95" s="18" t="str">
        <f>IF(_EngineCycles!A95="","",_EngineCycles!B95&amp;IF(_EngineCycles!C95&gt;1," / "&amp;_EngineCycles!C95,""))</f>
        <v/>
      </c>
      <c r="B95" s="18" t="str">
        <f>IF(_EngineCycles!A95="","",_EngineCycles!D95)</f>
        <v/>
      </c>
      <c r="C95" s="18" t="str">
        <f>IF(_EngineCycles!A95="","",IFERROR(INDEX(Trades!$D$9:$D$508,_EngineCycles!AG95-8),""))</f>
        <v/>
      </c>
      <c r="D95" s="25" t="str">
        <f>IF(_EngineCycles!A95="","",IF($R95&lt;&gt;"OK","Review",IF(_EngineCycles!E95="Closed","Closed",IF(_EngineCycles!P95&gt;0,IF(IFERROR(LOOKUP(2,1/((_EngineTrades!$AU$9:$AU$508=_EngineCycles!A95)),_EngineTrades!$AQ$9:$AQ$508),0)&gt;0,"Covered Call","Shares Held"),"Cash-Secured Put"))))</f>
        <v/>
      </c>
      <c r="E95" s="26" t="str">
        <f>IF(NOT(_EngineCycles!A95&lt;&gt;""),"",IF(NOT($R95="OK"),"",_EngineCycles!P95))</f>
        <v/>
      </c>
      <c r="F95" s="17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AH$9:$AH$508),0),"")))</f>
        <v/>
      </c>
      <c r="G95" s="17" t="str">
        <f>IF(NOT(_EngineCycles!A95&lt;&gt;""),"",IF(NOT($R95="OK"),"",_EngineCycles!Q95))</f>
        <v/>
      </c>
      <c r="H95" s="27" t="str">
        <f>IF(NOT(_EngineCycles!A95&lt;&gt;""),"",IF(NOT($R95="OK"),"",_EngineCycles!J95))</f>
        <v/>
      </c>
      <c r="I95" s="17" t="str">
        <f>IF(NOT(_EngineCycles!A95&lt;&gt;""),"",IF(NOT($R95="OK"),"",_EngineCycles!I95))</f>
        <v/>
      </c>
      <c r="J95" s="17" t="str">
        <f>IF(NOT(_EngineCycles!A95&lt;&gt;""),"",IF(NOT($R95="OK"),"",_EngineCycles!L95))</f>
        <v/>
      </c>
      <c r="K95" s="17" t="str">
        <f>IF(NOT(_EngineCycles!A95&lt;&gt;""),"",IF(NOT($R95="OK"),"",_EngineCycles!U95))</f>
        <v/>
      </c>
      <c r="L95" s="27" t="str">
        <f>IF(NOT(_EngineCycles!A95&lt;&gt;""),"",IF(NOT($R95="OK"),"",_EngineCycles!AE95))</f>
        <v/>
      </c>
      <c r="M95" s="17" t="str">
        <f>IF(NOT(_EngineCycles!A95&lt;&gt;""),"",IF(NOT($R95="OK"),"",_EngineCycles!O95))</f>
        <v/>
      </c>
      <c r="N95" s="27" t="str">
        <f>IF(NOT(_EngineCycles!A95&lt;&gt;""),"",IF(NOT($R95="OK"),"",IF(_EngineCycles!E95="Closed",_EngineCycles!O95,"")))</f>
        <v/>
      </c>
      <c r="O95" s="28" t="str">
        <f>IF(NOT(_EngineCycles!A95&lt;&gt;""),"",IF(NOT($R95="OK"),"",_EngineCycles!Y95))</f>
        <v/>
      </c>
      <c r="P95" s="17" t="str">
        <f>IF(NOT(_EngineCycles!A95&lt;&gt;""),"",IF(NOT($R95="OK"),"",_EngineCycles!S95))</f>
        <v/>
      </c>
      <c r="Q95" s="25" t="str">
        <f>IF(_EngineCycles!A95="","",IF($R95&lt;&gt;"OK","Review",IF(_EngineCycles!E95="Closed","Closed","Open")))</f>
        <v/>
      </c>
      <c r="R95" s="18" t="str">
        <f>IF(_EngineCycles!A95="","",IF(COUNTIFS(Trades!$B$9:$B$508,_EngineCycles!B95,Trades!$C$9:$C$508,"&lt;&gt;"&amp;$B95,Trades!$A$9:$A$508,"&lt;&gt;")&gt;0,"Ticker mismatch",IF(COUNTIFS(Trades!$B$9:$B$508,_EngineCycles!B95,Trades!$D$9:$D$508,"&lt;&gt;"&amp;$C95,Trades!$A$9:$A$508,"&lt;&gt;")&gt;0,"Currency mismatch",IF(COUNTIFS(Trades!$B$9:$B$508,_EngineCycles!B95,Trades!$S$9:$S$508,"&lt;&gt;OK",Trades!$A$9:$A$508,"&lt;&gt;")&gt;0,"Check trades","OK"))))</f>
        <v/>
      </c>
      <c r="S95" s="29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P$9:$P$508),0),"")))</f>
        <v/>
      </c>
      <c r="T95" s="26" t="str">
        <f>IF(NOT(_EngineCycles!A95&lt;&gt;""),"",IF(NOT($R95="OK"),"",_EngineCycles!W95))</f>
        <v/>
      </c>
      <c r="U95" s="16"/>
      <c r="V95" s="16"/>
      <c r="W95" s="16"/>
      <c r="X95" s="16"/>
      <c r="Y95" t="str">
        <f>IF(AND($C95=Overview!$P$2,$Q95="Open",$R95="OK"),COUNTIFS($C$9:$C95,Overview!$P$2,$Q$9:$Q95,"Open",$R$9:$R95,"OK"),"")</f>
        <v/>
      </c>
    </row>
    <row r="96" spans="1:25" ht="23.1" customHeight="1" x14ac:dyDescent="0.25">
      <c r="A96" s="24" t="str">
        <f>IF(_EngineCycles!A96="","",_EngineCycles!B96&amp;IF(_EngineCycles!C96&gt;1," / "&amp;_EngineCycles!C96,""))</f>
        <v/>
      </c>
      <c r="B96" s="24" t="str">
        <f>IF(_EngineCycles!A96="","",_EngineCycles!D96)</f>
        <v/>
      </c>
      <c r="C96" s="24" t="str">
        <f>IF(_EngineCycles!A96="","",IFERROR(INDEX(Trades!$D$9:$D$508,_EngineCycles!AG96-8),""))</f>
        <v/>
      </c>
      <c r="D96" s="30" t="str">
        <f>IF(_EngineCycles!A96="","",IF($R96&lt;&gt;"OK","Review",IF(_EngineCycles!E96="Closed","Closed",IF(_EngineCycles!P96&gt;0,IF(IFERROR(LOOKUP(2,1/((_EngineTrades!$AU$9:$AU$508=_EngineCycles!A96)),_EngineTrades!$AQ$9:$AQ$508),0)&gt;0,"Covered Call","Shares Held"),"Cash-Secured Put"))))</f>
        <v/>
      </c>
      <c r="E96" s="31" t="str">
        <f>IF(NOT(_EngineCycles!A96&lt;&gt;""),"",IF(NOT($R96="OK"),"",_EngineCycles!P96))</f>
        <v/>
      </c>
      <c r="F96" s="23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AH$9:$AH$508),0),"")))</f>
        <v/>
      </c>
      <c r="G96" s="23" t="str">
        <f>IF(NOT(_EngineCycles!A96&lt;&gt;""),"",IF(NOT($R96="OK"),"",_EngineCycles!Q96))</f>
        <v/>
      </c>
      <c r="H96" s="32" t="str">
        <f>IF(NOT(_EngineCycles!A96&lt;&gt;""),"",IF(NOT($R96="OK"),"",_EngineCycles!J96))</f>
        <v/>
      </c>
      <c r="I96" s="23" t="str">
        <f>IF(NOT(_EngineCycles!A96&lt;&gt;""),"",IF(NOT($R96="OK"),"",_EngineCycles!I96))</f>
        <v/>
      </c>
      <c r="J96" s="23" t="str">
        <f>IF(NOT(_EngineCycles!A96&lt;&gt;""),"",IF(NOT($R96="OK"),"",_EngineCycles!L96))</f>
        <v/>
      </c>
      <c r="K96" s="23" t="str">
        <f>IF(NOT(_EngineCycles!A96&lt;&gt;""),"",IF(NOT($R96="OK"),"",_EngineCycles!U96))</f>
        <v/>
      </c>
      <c r="L96" s="32" t="str">
        <f>IF(NOT(_EngineCycles!A96&lt;&gt;""),"",IF(NOT($R96="OK"),"",_EngineCycles!AE96))</f>
        <v/>
      </c>
      <c r="M96" s="23" t="str">
        <f>IF(NOT(_EngineCycles!A96&lt;&gt;""),"",IF(NOT($R96="OK"),"",_EngineCycles!O96))</f>
        <v/>
      </c>
      <c r="N96" s="32" t="str">
        <f>IF(NOT(_EngineCycles!A96&lt;&gt;""),"",IF(NOT($R96="OK"),"",IF(_EngineCycles!E96="Closed",_EngineCycles!O96,"")))</f>
        <v/>
      </c>
      <c r="O96" s="33" t="str">
        <f>IF(NOT(_EngineCycles!A96&lt;&gt;""),"",IF(NOT($R96="OK"),"",_EngineCycles!Y96))</f>
        <v/>
      </c>
      <c r="P96" s="23" t="str">
        <f>IF(NOT(_EngineCycles!A96&lt;&gt;""),"",IF(NOT($R96="OK"),"",_EngineCycles!S96))</f>
        <v/>
      </c>
      <c r="Q96" s="30" t="str">
        <f>IF(_EngineCycles!A96="","",IF($R96&lt;&gt;"OK","Review",IF(_EngineCycles!E96="Closed","Closed","Open")))</f>
        <v/>
      </c>
      <c r="R96" s="24" t="str">
        <f>IF(_EngineCycles!A96="","",IF(COUNTIFS(Trades!$B$9:$B$508,_EngineCycles!B96,Trades!$C$9:$C$508,"&lt;&gt;"&amp;$B96,Trades!$A$9:$A$508,"&lt;&gt;")&gt;0,"Ticker mismatch",IF(COUNTIFS(Trades!$B$9:$B$508,_EngineCycles!B96,Trades!$D$9:$D$508,"&lt;&gt;"&amp;$C96,Trades!$A$9:$A$508,"&lt;&gt;")&gt;0,"Currency mismatch",IF(COUNTIFS(Trades!$B$9:$B$508,_EngineCycles!B96,Trades!$S$9:$S$508,"&lt;&gt;OK",Trades!$A$9:$A$508,"&lt;&gt;")&gt;0,"Check trades","OK"))))</f>
        <v/>
      </c>
      <c r="S96" s="34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P$9:$P$508),0),"")))</f>
        <v/>
      </c>
      <c r="T96" s="31" t="str">
        <f>IF(NOT(_EngineCycles!A96&lt;&gt;""),"",IF(NOT($R96="OK"),"",_EngineCycles!W96))</f>
        <v/>
      </c>
      <c r="U96" s="22"/>
      <c r="V96" s="22"/>
      <c r="W96" s="22"/>
      <c r="X96" s="22"/>
      <c r="Y96" t="str">
        <f>IF(AND($C96=Overview!$P$2,$Q96="Open",$R96="OK"),COUNTIFS($C$9:$C96,Overview!$P$2,$Q$9:$Q96,"Open",$R$9:$R96,"OK"),"")</f>
        <v/>
      </c>
    </row>
    <row r="97" spans="1:25" ht="23.1" customHeight="1" x14ac:dyDescent="0.25">
      <c r="A97" s="18" t="str">
        <f>IF(_EngineCycles!A97="","",_EngineCycles!B97&amp;IF(_EngineCycles!C97&gt;1," / "&amp;_EngineCycles!C97,""))</f>
        <v/>
      </c>
      <c r="B97" s="18" t="str">
        <f>IF(_EngineCycles!A97="","",_EngineCycles!D97)</f>
        <v/>
      </c>
      <c r="C97" s="18" t="str">
        <f>IF(_EngineCycles!A97="","",IFERROR(INDEX(Trades!$D$9:$D$508,_EngineCycles!AG97-8),""))</f>
        <v/>
      </c>
      <c r="D97" s="25" t="str">
        <f>IF(_EngineCycles!A97="","",IF($R97&lt;&gt;"OK","Review",IF(_EngineCycles!E97="Closed","Closed",IF(_EngineCycles!P97&gt;0,IF(IFERROR(LOOKUP(2,1/((_EngineTrades!$AU$9:$AU$508=_EngineCycles!A97)),_EngineTrades!$AQ$9:$AQ$508),0)&gt;0,"Covered Call","Shares Held"),"Cash-Secured Put"))))</f>
        <v/>
      </c>
      <c r="E97" s="26" t="str">
        <f>IF(NOT(_EngineCycles!A97&lt;&gt;""),"",IF(NOT($R97="OK"),"",_EngineCycles!P97))</f>
        <v/>
      </c>
      <c r="F97" s="17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AH$9:$AH$508),0),"")))</f>
        <v/>
      </c>
      <c r="G97" s="17" t="str">
        <f>IF(NOT(_EngineCycles!A97&lt;&gt;""),"",IF(NOT($R97="OK"),"",_EngineCycles!Q97))</f>
        <v/>
      </c>
      <c r="H97" s="27" t="str">
        <f>IF(NOT(_EngineCycles!A97&lt;&gt;""),"",IF(NOT($R97="OK"),"",_EngineCycles!J97))</f>
        <v/>
      </c>
      <c r="I97" s="17" t="str">
        <f>IF(NOT(_EngineCycles!A97&lt;&gt;""),"",IF(NOT($R97="OK"),"",_EngineCycles!I97))</f>
        <v/>
      </c>
      <c r="J97" s="17" t="str">
        <f>IF(NOT(_EngineCycles!A97&lt;&gt;""),"",IF(NOT($R97="OK"),"",_EngineCycles!L97))</f>
        <v/>
      </c>
      <c r="K97" s="17" t="str">
        <f>IF(NOT(_EngineCycles!A97&lt;&gt;""),"",IF(NOT($R97="OK"),"",_EngineCycles!U97))</f>
        <v/>
      </c>
      <c r="L97" s="27" t="str">
        <f>IF(NOT(_EngineCycles!A97&lt;&gt;""),"",IF(NOT($R97="OK"),"",_EngineCycles!AE97))</f>
        <v/>
      </c>
      <c r="M97" s="17" t="str">
        <f>IF(NOT(_EngineCycles!A97&lt;&gt;""),"",IF(NOT($R97="OK"),"",_EngineCycles!O97))</f>
        <v/>
      </c>
      <c r="N97" s="27" t="str">
        <f>IF(NOT(_EngineCycles!A97&lt;&gt;""),"",IF(NOT($R97="OK"),"",IF(_EngineCycles!E97="Closed",_EngineCycles!O97,"")))</f>
        <v/>
      </c>
      <c r="O97" s="28" t="str">
        <f>IF(NOT(_EngineCycles!A97&lt;&gt;""),"",IF(NOT($R97="OK"),"",_EngineCycles!Y97))</f>
        <v/>
      </c>
      <c r="P97" s="17" t="str">
        <f>IF(NOT(_EngineCycles!A97&lt;&gt;""),"",IF(NOT($R97="OK"),"",_EngineCycles!S97))</f>
        <v/>
      </c>
      <c r="Q97" s="25" t="str">
        <f>IF(_EngineCycles!A97="","",IF($R97&lt;&gt;"OK","Review",IF(_EngineCycles!E97="Closed","Closed","Open")))</f>
        <v/>
      </c>
      <c r="R97" s="18" t="str">
        <f>IF(_EngineCycles!A97="","",IF(COUNTIFS(Trades!$B$9:$B$508,_EngineCycles!B97,Trades!$C$9:$C$508,"&lt;&gt;"&amp;$B97,Trades!$A$9:$A$508,"&lt;&gt;")&gt;0,"Ticker mismatch",IF(COUNTIFS(Trades!$B$9:$B$508,_EngineCycles!B97,Trades!$D$9:$D$508,"&lt;&gt;"&amp;$C97,Trades!$A$9:$A$508,"&lt;&gt;")&gt;0,"Currency mismatch",IF(COUNTIFS(Trades!$B$9:$B$508,_EngineCycles!B97,Trades!$S$9:$S$508,"&lt;&gt;OK",Trades!$A$9:$A$508,"&lt;&gt;")&gt;0,"Check trades","OK"))))</f>
        <v/>
      </c>
      <c r="S97" s="29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P$9:$P$508),0),"")))</f>
        <v/>
      </c>
      <c r="T97" s="26" t="str">
        <f>IF(NOT(_EngineCycles!A97&lt;&gt;""),"",IF(NOT($R97="OK"),"",_EngineCycles!W97))</f>
        <v/>
      </c>
      <c r="U97" s="16"/>
      <c r="V97" s="16"/>
      <c r="W97" s="16"/>
      <c r="X97" s="16"/>
      <c r="Y97" t="str">
        <f>IF(AND($C97=Overview!$P$2,$Q97="Open",$R97="OK"),COUNTIFS($C$9:$C97,Overview!$P$2,$Q$9:$Q97,"Open",$R$9:$R97,"OK"),"")</f>
        <v/>
      </c>
    </row>
    <row r="98" spans="1:25" ht="23.1" customHeight="1" x14ac:dyDescent="0.25">
      <c r="A98" s="24" t="str">
        <f>IF(_EngineCycles!A98="","",_EngineCycles!B98&amp;IF(_EngineCycles!C98&gt;1," / "&amp;_EngineCycles!C98,""))</f>
        <v/>
      </c>
      <c r="B98" s="24" t="str">
        <f>IF(_EngineCycles!A98="","",_EngineCycles!D98)</f>
        <v/>
      </c>
      <c r="C98" s="24" t="str">
        <f>IF(_EngineCycles!A98="","",IFERROR(INDEX(Trades!$D$9:$D$508,_EngineCycles!AG98-8),""))</f>
        <v/>
      </c>
      <c r="D98" s="30" t="str">
        <f>IF(_EngineCycles!A98="","",IF($R98&lt;&gt;"OK","Review",IF(_EngineCycles!E98="Closed","Closed",IF(_EngineCycles!P98&gt;0,IF(IFERROR(LOOKUP(2,1/((_EngineTrades!$AU$9:$AU$508=_EngineCycles!A98)),_EngineTrades!$AQ$9:$AQ$508),0)&gt;0,"Covered Call","Shares Held"),"Cash-Secured Put"))))</f>
        <v/>
      </c>
      <c r="E98" s="31" t="str">
        <f>IF(NOT(_EngineCycles!A98&lt;&gt;""),"",IF(NOT($R98="OK"),"",_EngineCycles!P98))</f>
        <v/>
      </c>
      <c r="F98" s="23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AH$9:$AH$508),0),"")))</f>
        <v/>
      </c>
      <c r="G98" s="23" t="str">
        <f>IF(NOT(_EngineCycles!A98&lt;&gt;""),"",IF(NOT($R98="OK"),"",_EngineCycles!Q98))</f>
        <v/>
      </c>
      <c r="H98" s="32" t="str">
        <f>IF(NOT(_EngineCycles!A98&lt;&gt;""),"",IF(NOT($R98="OK"),"",_EngineCycles!J98))</f>
        <v/>
      </c>
      <c r="I98" s="23" t="str">
        <f>IF(NOT(_EngineCycles!A98&lt;&gt;""),"",IF(NOT($R98="OK"),"",_EngineCycles!I98))</f>
        <v/>
      </c>
      <c r="J98" s="23" t="str">
        <f>IF(NOT(_EngineCycles!A98&lt;&gt;""),"",IF(NOT($R98="OK"),"",_EngineCycles!L98))</f>
        <v/>
      </c>
      <c r="K98" s="23" t="str">
        <f>IF(NOT(_EngineCycles!A98&lt;&gt;""),"",IF(NOT($R98="OK"),"",_EngineCycles!U98))</f>
        <v/>
      </c>
      <c r="L98" s="32" t="str">
        <f>IF(NOT(_EngineCycles!A98&lt;&gt;""),"",IF(NOT($R98="OK"),"",_EngineCycles!AE98))</f>
        <v/>
      </c>
      <c r="M98" s="23" t="str">
        <f>IF(NOT(_EngineCycles!A98&lt;&gt;""),"",IF(NOT($R98="OK"),"",_EngineCycles!O98))</f>
        <v/>
      </c>
      <c r="N98" s="32" t="str">
        <f>IF(NOT(_EngineCycles!A98&lt;&gt;""),"",IF(NOT($R98="OK"),"",IF(_EngineCycles!E98="Closed",_EngineCycles!O98,"")))</f>
        <v/>
      </c>
      <c r="O98" s="33" t="str">
        <f>IF(NOT(_EngineCycles!A98&lt;&gt;""),"",IF(NOT($R98="OK"),"",_EngineCycles!Y98))</f>
        <v/>
      </c>
      <c r="P98" s="23" t="str">
        <f>IF(NOT(_EngineCycles!A98&lt;&gt;""),"",IF(NOT($R98="OK"),"",_EngineCycles!S98))</f>
        <v/>
      </c>
      <c r="Q98" s="30" t="str">
        <f>IF(_EngineCycles!A98="","",IF($R98&lt;&gt;"OK","Review",IF(_EngineCycles!E98="Closed","Closed","Open")))</f>
        <v/>
      </c>
      <c r="R98" s="24" t="str">
        <f>IF(_EngineCycles!A98="","",IF(COUNTIFS(Trades!$B$9:$B$508,_EngineCycles!B98,Trades!$C$9:$C$508,"&lt;&gt;"&amp;$B98,Trades!$A$9:$A$508,"&lt;&gt;")&gt;0,"Ticker mismatch",IF(COUNTIFS(Trades!$B$9:$B$508,_EngineCycles!B98,Trades!$D$9:$D$508,"&lt;&gt;"&amp;$C98,Trades!$A$9:$A$508,"&lt;&gt;")&gt;0,"Currency mismatch",IF(COUNTIFS(Trades!$B$9:$B$508,_EngineCycles!B98,Trades!$S$9:$S$508,"&lt;&gt;OK",Trades!$A$9:$A$508,"&lt;&gt;")&gt;0,"Check trades","OK"))))</f>
        <v/>
      </c>
      <c r="S98" s="34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P$9:$P$508),0),"")))</f>
        <v/>
      </c>
      <c r="T98" s="31" t="str">
        <f>IF(NOT(_EngineCycles!A98&lt;&gt;""),"",IF(NOT($R98="OK"),"",_EngineCycles!W98))</f>
        <v/>
      </c>
      <c r="U98" s="22"/>
      <c r="V98" s="22"/>
      <c r="W98" s="22"/>
      <c r="X98" s="22"/>
      <c r="Y98" t="str">
        <f>IF(AND($C98=Overview!$P$2,$Q98="Open",$R98="OK"),COUNTIFS($C$9:$C98,Overview!$P$2,$Q$9:$Q98,"Open",$R$9:$R98,"OK"),"")</f>
        <v/>
      </c>
    </row>
    <row r="99" spans="1:25" ht="23.1" customHeight="1" x14ac:dyDescent="0.25">
      <c r="A99" s="18" t="str">
        <f>IF(_EngineCycles!A99="","",_EngineCycles!B99&amp;IF(_EngineCycles!C99&gt;1," / "&amp;_EngineCycles!C99,""))</f>
        <v/>
      </c>
      <c r="B99" s="18" t="str">
        <f>IF(_EngineCycles!A99="","",_EngineCycles!D99)</f>
        <v/>
      </c>
      <c r="C99" s="18" t="str">
        <f>IF(_EngineCycles!A99="","",IFERROR(INDEX(Trades!$D$9:$D$508,_EngineCycles!AG99-8),""))</f>
        <v/>
      </c>
      <c r="D99" s="25" t="str">
        <f>IF(_EngineCycles!A99="","",IF($R99&lt;&gt;"OK","Review",IF(_EngineCycles!E99="Closed","Closed",IF(_EngineCycles!P99&gt;0,IF(IFERROR(LOOKUP(2,1/((_EngineTrades!$AU$9:$AU$508=_EngineCycles!A99)),_EngineTrades!$AQ$9:$AQ$508),0)&gt;0,"Covered Call","Shares Held"),"Cash-Secured Put"))))</f>
        <v/>
      </c>
      <c r="E99" s="26" t="str">
        <f>IF(NOT(_EngineCycles!A99&lt;&gt;""),"",IF(NOT($R99="OK"),"",_EngineCycles!P99))</f>
        <v/>
      </c>
      <c r="F99" s="17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AH$9:$AH$508),0),"")))</f>
        <v/>
      </c>
      <c r="G99" s="17" t="str">
        <f>IF(NOT(_EngineCycles!A99&lt;&gt;""),"",IF(NOT($R99="OK"),"",_EngineCycles!Q99))</f>
        <v/>
      </c>
      <c r="H99" s="27" t="str">
        <f>IF(NOT(_EngineCycles!A99&lt;&gt;""),"",IF(NOT($R99="OK"),"",_EngineCycles!J99))</f>
        <v/>
      </c>
      <c r="I99" s="17" t="str">
        <f>IF(NOT(_EngineCycles!A99&lt;&gt;""),"",IF(NOT($R99="OK"),"",_EngineCycles!I99))</f>
        <v/>
      </c>
      <c r="J99" s="17" t="str">
        <f>IF(NOT(_EngineCycles!A99&lt;&gt;""),"",IF(NOT($R99="OK"),"",_EngineCycles!L99))</f>
        <v/>
      </c>
      <c r="K99" s="17" t="str">
        <f>IF(NOT(_EngineCycles!A99&lt;&gt;""),"",IF(NOT($R99="OK"),"",_EngineCycles!U99))</f>
        <v/>
      </c>
      <c r="L99" s="27" t="str">
        <f>IF(NOT(_EngineCycles!A99&lt;&gt;""),"",IF(NOT($R99="OK"),"",_EngineCycles!AE99))</f>
        <v/>
      </c>
      <c r="M99" s="17" t="str">
        <f>IF(NOT(_EngineCycles!A99&lt;&gt;""),"",IF(NOT($R99="OK"),"",_EngineCycles!O99))</f>
        <v/>
      </c>
      <c r="N99" s="27" t="str">
        <f>IF(NOT(_EngineCycles!A99&lt;&gt;""),"",IF(NOT($R99="OK"),"",IF(_EngineCycles!E99="Closed",_EngineCycles!O99,"")))</f>
        <v/>
      </c>
      <c r="O99" s="28" t="str">
        <f>IF(NOT(_EngineCycles!A99&lt;&gt;""),"",IF(NOT($R99="OK"),"",_EngineCycles!Y99))</f>
        <v/>
      </c>
      <c r="P99" s="17" t="str">
        <f>IF(NOT(_EngineCycles!A99&lt;&gt;""),"",IF(NOT($R99="OK"),"",_EngineCycles!S99))</f>
        <v/>
      </c>
      <c r="Q99" s="25" t="str">
        <f>IF(_EngineCycles!A99="","",IF($R99&lt;&gt;"OK","Review",IF(_EngineCycles!E99="Closed","Closed","Open")))</f>
        <v/>
      </c>
      <c r="R99" s="18" t="str">
        <f>IF(_EngineCycles!A99="","",IF(COUNTIFS(Trades!$B$9:$B$508,_EngineCycles!B99,Trades!$C$9:$C$508,"&lt;&gt;"&amp;$B99,Trades!$A$9:$A$508,"&lt;&gt;")&gt;0,"Ticker mismatch",IF(COUNTIFS(Trades!$B$9:$B$508,_EngineCycles!B99,Trades!$D$9:$D$508,"&lt;&gt;"&amp;$C99,Trades!$A$9:$A$508,"&lt;&gt;")&gt;0,"Currency mismatch",IF(COUNTIFS(Trades!$B$9:$B$508,_EngineCycles!B99,Trades!$S$9:$S$508,"&lt;&gt;OK",Trades!$A$9:$A$508,"&lt;&gt;")&gt;0,"Check trades","OK"))))</f>
        <v/>
      </c>
      <c r="S99" s="29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P$9:$P$508),0),"")))</f>
        <v/>
      </c>
      <c r="T99" s="26" t="str">
        <f>IF(NOT(_EngineCycles!A99&lt;&gt;""),"",IF(NOT($R99="OK"),"",_EngineCycles!W99))</f>
        <v/>
      </c>
      <c r="U99" s="16"/>
      <c r="V99" s="16"/>
      <c r="W99" s="16"/>
      <c r="X99" s="16"/>
      <c r="Y99" t="str">
        <f>IF(AND($C99=Overview!$P$2,$Q99="Open",$R99="OK"),COUNTIFS($C$9:$C99,Overview!$P$2,$Q$9:$Q99,"Open",$R$9:$R99,"OK"),"")</f>
        <v/>
      </c>
    </row>
    <row r="100" spans="1:25" ht="23.1" customHeight="1" x14ac:dyDescent="0.25">
      <c r="A100" s="24" t="str">
        <f>IF(_EngineCycles!A100="","",_EngineCycles!B100&amp;IF(_EngineCycles!C100&gt;1," / "&amp;_EngineCycles!C100,""))</f>
        <v/>
      </c>
      <c r="B100" s="24" t="str">
        <f>IF(_EngineCycles!A100="","",_EngineCycles!D100)</f>
        <v/>
      </c>
      <c r="C100" s="24" t="str">
        <f>IF(_EngineCycles!A100="","",IFERROR(INDEX(Trades!$D$9:$D$508,_EngineCycles!AG100-8),""))</f>
        <v/>
      </c>
      <c r="D100" s="30" t="str">
        <f>IF(_EngineCycles!A100="","",IF($R100&lt;&gt;"OK","Review",IF(_EngineCycles!E100="Closed","Closed",IF(_EngineCycles!P100&gt;0,IF(IFERROR(LOOKUP(2,1/((_EngineTrades!$AU$9:$AU$508=_EngineCycles!A100)),_EngineTrades!$AQ$9:$AQ$508),0)&gt;0,"Covered Call","Shares Held"),"Cash-Secured Put"))))</f>
        <v/>
      </c>
      <c r="E100" s="31" t="str">
        <f>IF(NOT(_EngineCycles!A100&lt;&gt;""),"",IF(NOT($R100="OK"),"",_EngineCycles!P100))</f>
        <v/>
      </c>
      <c r="F100" s="23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AH$9:$AH$508),0),"")))</f>
        <v/>
      </c>
      <c r="G100" s="23" t="str">
        <f>IF(NOT(_EngineCycles!A100&lt;&gt;""),"",IF(NOT($R100="OK"),"",_EngineCycles!Q100))</f>
        <v/>
      </c>
      <c r="H100" s="32" t="str">
        <f>IF(NOT(_EngineCycles!A100&lt;&gt;""),"",IF(NOT($R100="OK"),"",_EngineCycles!J100))</f>
        <v/>
      </c>
      <c r="I100" s="23" t="str">
        <f>IF(NOT(_EngineCycles!A100&lt;&gt;""),"",IF(NOT($R100="OK"),"",_EngineCycles!I100))</f>
        <v/>
      </c>
      <c r="J100" s="23" t="str">
        <f>IF(NOT(_EngineCycles!A100&lt;&gt;""),"",IF(NOT($R100="OK"),"",_EngineCycles!L100))</f>
        <v/>
      </c>
      <c r="K100" s="23" t="str">
        <f>IF(NOT(_EngineCycles!A100&lt;&gt;""),"",IF(NOT($R100="OK"),"",_EngineCycles!U100))</f>
        <v/>
      </c>
      <c r="L100" s="32" t="str">
        <f>IF(NOT(_EngineCycles!A100&lt;&gt;""),"",IF(NOT($R100="OK"),"",_EngineCycles!AE100))</f>
        <v/>
      </c>
      <c r="M100" s="23" t="str">
        <f>IF(NOT(_EngineCycles!A100&lt;&gt;""),"",IF(NOT($R100="OK"),"",_EngineCycles!O100))</f>
        <v/>
      </c>
      <c r="N100" s="32" t="str">
        <f>IF(NOT(_EngineCycles!A100&lt;&gt;""),"",IF(NOT($R100="OK"),"",IF(_EngineCycles!E100="Closed",_EngineCycles!O100,"")))</f>
        <v/>
      </c>
      <c r="O100" s="33" t="str">
        <f>IF(NOT(_EngineCycles!A100&lt;&gt;""),"",IF(NOT($R100="OK"),"",_EngineCycles!Y100))</f>
        <v/>
      </c>
      <c r="P100" s="23" t="str">
        <f>IF(NOT(_EngineCycles!A100&lt;&gt;""),"",IF(NOT($R100="OK"),"",_EngineCycles!S100))</f>
        <v/>
      </c>
      <c r="Q100" s="30" t="str">
        <f>IF(_EngineCycles!A100="","",IF($R100&lt;&gt;"OK","Review",IF(_EngineCycles!E100="Closed","Closed","Open")))</f>
        <v/>
      </c>
      <c r="R100" s="24" t="str">
        <f>IF(_EngineCycles!A100="","",IF(COUNTIFS(Trades!$B$9:$B$508,_EngineCycles!B100,Trades!$C$9:$C$508,"&lt;&gt;"&amp;$B100,Trades!$A$9:$A$508,"&lt;&gt;")&gt;0,"Ticker mismatch",IF(COUNTIFS(Trades!$B$9:$B$508,_EngineCycles!B100,Trades!$D$9:$D$508,"&lt;&gt;"&amp;$C100,Trades!$A$9:$A$508,"&lt;&gt;")&gt;0,"Currency mismatch",IF(COUNTIFS(Trades!$B$9:$B$508,_EngineCycles!B100,Trades!$S$9:$S$508,"&lt;&gt;OK",Trades!$A$9:$A$508,"&lt;&gt;")&gt;0,"Check trades","OK"))))</f>
        <v/>
      </c>
      <c r="S100" s="34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P$9:$P$508),0),"")))</f>
        <v/>
      </c>
      <c r="T100" s="31" t="str">
        <f>IF(NOT(_EngineCycles!A100&lt;&gt;""),"",IF(NOT($R100="OK"),"",_EngineCycles!W100))</f>
        <v/>
      </c>
      <c r="U100" s="22"/>
      <c r="V100" s="22"/>
      <c r="W100" s="22"/>
      <c r="X100" s="22"/>
      <c r="Y100" t="str">
        <f>IF(AND($C100=Overview!$P$2,$Q100="Open",$R100="OK"),COUNTIFS($C$9:$C100,Overview!$P$2,$Q$9:$Q100,"Open",$R$9:$R100,"OK"),"")</f>
        <v/>
      </c>
    </row>
    <row r="101" spans="1:25" ht="23.1" customHeight="1" x14ac:dyDescent="0.25">
      <c r="A101" s="18" t="str">
        <f>IF(_EngineCycles!A101="","",_EngineCycles!B101&amp;IF(_EngineCycles!C101&gt;1," / "&amp;_EngineCycles!C101,""))</f>
        <v/>
      </c>
      <c r="B101" s="18" t="str">
        <f>IF(_EngineCycles!A101="","",_EngineCycles!D101)</f>
        <v/>
      </c>
      <c r="C101" s="18" t="str">
        <f>IF(_EngineCycles!A101="","",IFERROR(INDEX(Trades!$D$9:$D$508,_EngineCycles!AG101-8),""))</f>
        <v/>
      </c>
      <c r="D101" s="25" t="str">
        <f>IF(_EngineCycles!A101="","",IF($R101&lt;&gt;"OK","Review",IF(_EngineCycles!E101="Closed","Closed",IF(_EngineCycles!P101&gt;0,IF(IFERROR(LOOKUP(2,1/((_EngineTrades!$AU$9:$AU$508=_EngineCycles!A101)),_EngineTrades!$AQ$9:$AQ$508),0)&gt;0,"Covered Call","Shares Held"),"Cash-Secured Put"))))</f>
        <v/>
      </c>
      <c r="E101" s="26" t="str">
        <f>IF(NOT(_EngineCycles!A101&lt;&gt;""),"",IF(NOT($R101="OK"),"",_EngineCycles!P101))</f>
        <v/>
      </c>
      <c r="F101" s="17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AH$9:$AH$508),0),"")))</f>
        <v/>
      </c>
      <c r="G101" s="17" t="str">
        <f>IF(NOT(_EngineCycles!A101&lt;&gt;""),"",IF(NOT($R101="OK"),"",_EngineCycles!Q101))</f>
        <v/>
      </c>
      <c r="H101" s="27" t="str">
        <f>IF(NOT(_EngineCycles!A101&lt;&gt;""),"",IF(NOT($R101="OK"),"",_EngineCycles!J101))</f>
        <v/>
      </c>
      <c r="I101" s="17" t="str">
        <f>IF(NOT(_EngineCycles!A101&lt;&gt;""),"",IF(NOT($R101="OK"),"",_EngineCycles!I101))</f>
        <v/>
      </c>
      <c r="J101" s="17" t="str">
        <f>IF(NOT(_EngineCycles!A101&lt;&gt;""),"",IF(NOT($R101="OK"),"",_EngineCycles!L101))</f>
        <v/>
      </c>
      <c r="K101" s="17" t="str">
        <f>IF(NOT(_EngineCycles!A101&lt;&gt;""),"",IF(NOT($R101="OK"),"",_EngineCycles!U101))</f>
        <v/>
      </c>
      <c r="L101" s="27" t="str">
        <f>IF(NOT(_EngineCycles!A101&lt;&gt;""),"",IF(NOT($R101="OK"),"",_EngineCycles!AE101))</f>
        <v/>
      </c>
      <c r="M101" s="17" t="str">
        <f>IF(NOT(_EngineCycles!A101&lt;&gt;""),"",IF(NOT($R101="OK"),"",_EngineCycles!O101))</f>
        <v/>
      </c>
      <c r="N101" s="27" t="str">
        <f>IF(NOT(_EngineCycles!A101&lt;&gt;""),"",IF(NOT($R101="OK"),"",IF(_EngineCycles!E101="Closed",_EngineCycles!O101,"")))</f>
        <v/>
      </c>
      <c r="O101" s="28" t="str">
        <f>IF(NOT(_EngineCycles!A101&lt;&gt;""),"",IF(NOT($R101="OK"),"",_EngineCycles!Y101))</f>
        <v/>
      </c>
      <c r="P101" s="17" t="str">
        <f>IF(NOT(_EngineCycles!A101&lt;&gt;""),"",IF(NOT($R101="OK"),"",_EngineCycles!S101))</f>
        <v/>
      </c>
      <c r="Q101" s="25" t="str">
        <f>IF(_EngineCycles!A101="","",IF($R101&lt;&gt;"OK","Review",IF(_EngineCycles!E101="Closed","Closed","Open")))</f>
        <v/>
      </c>
      <c r="R101" s="18" t="str">
        <f>IF(_EngineCycles!A101="","",IF(COUNTIFS(Trades!$B$9:$B$508,_EngineCycles!B101,Trades!$C$9:$C$508,"&lt;&gt;"&amp;$B101,Trades!$A$9:$A$508,"&lt;&gt;")&gt;0,"Ticker mismatch",IF(COUNTIFS(Trades!$B$9:$B$508,_EngineCycles!B101,Trades!$D$9:$D$508,"&lt;&gt;"&amp;$C101,Trades!$A$9:$A$508,"&lt;&gt;")&gt;0,"Currency mismatch",IF(COUNTIFS(Trades!$B$9:$B$508,_EngineCycles!B101,Trades!$S$9:$S$508,"&lt;&gt;OK",Trades!$A$9:$A$508,"&lt;&gt;")&gt;0,"Check trades","OK"))))</f>
        <v/>
      </c>
      <c r="S101" s="29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P$9:$P$508),0),"")))</f>
        <v/>
      </c>
      <c r="T101" s="26" t="str">
        <f>IF(NOT(_EngineCycles!A101&lt;&gt;""),"",IF(NOT($R101="OK"),"",_EngineCycles!W101))</f>
        <v/>
      </c>
      <c r="U101" s="16"/>
      <c r="V101" s="16"/>
      <c r="W101" s="16"/>
      <c r="X101" s="16"/>
      <c r="Y101" t="str">
        <f>IF(AND($C101=Overview!$P$2,$Q101="Open",$R101="OK"),COUNTIFS($C$9:$C101,Overview!$P$2,$Q$9:$Q101,"Open",$R$9:$R101,"OK"),"")</f>
        <v/>
      </c>
    </row>
    <row r="102" spans="1:25" ht="23.1" customHeight="1" x14ac:dyDescent="0.25">
      <c r="A102" s="24" t="str">
        <f>IF(_EngineCycles!A102="","",_EngineCycles!B102&amp;IF(_EngineCycles!C102&gt;1," / "&amp;_EngineCycles!C102,""))</f>
        <v/>
      </c>
      <c r="B102" s="24" t="str">
        <f>IF(_EngineCycles!A102="","",_EngineCycles!D102)</f>
        <v/>
      </c>
      <c r="C102" s="24" t="str">
        <f>IF(_EngineCycles!A102="","",IFERROR(INDEX(Trades!$D$9:$D$508,_EngineCycles!AG102-8),""))</f>
        <v/>
      </c>
      <c r="D102" s="30" t="str">
        <f>IF(_EngineCycles!A102="","",IF($R102&lt;&gt;"OK","Review",IF(_EngineCycles!E102="Closed","Closed",IF(_EngineCycles!P102&gt;0,IF(IFERROR(LOOKUP(2,1/((_EngineTrades!$AU$9:$AU$508=_EngineCycles!A102)),_EngineTrades!$AQ$9:$AQ$508),0)&gt;0,"Covered Call","Shares Held"),"Cash-Secured Put"))))</f>
        <v/>
      </c>
      <c r="E102" s="31" t="str">
        <f>IF(NOT(_EngineCycles!A102&lt;&gt;""),"",IF(NOT($R102="OK"),"",_EngineCycles!P102))</f>
        <v/>
      </c>
      <c r="F102" s="23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AH$9:$AH$508),0),"")))</f>
        <v/>
      </c>
      <c r="G102" s="23" t="str">
        <f>IF(NOT(_EngineCycles!A102&lt;&gt;""),"",IF(NOT($R102="OK"),"",_EngineCycles!Q102))</f>
        <v/>
      </c>
      <c r="H102" s="32" t="str">
        <f>IF(NOT(_EngineCycles!A102&lt;&gt;""),"",IF(NOT($R102="OK"),"",_EngineCycles!J102))</f>
        <v/>
      </c>
      <c r="I102" s="23" t="str">
        <f>IF(NOT(_EngineCycles!A102&lt;&gt;""),"",IF(NOT($R102="OK"),"",_EngineCycles!I102))</f>
        <v/>
      </c>
      <c r="J102" s="23" t="str">
        <f>IF(NOT(_EngineCycles!A102&lt;&gt;""),"",IF(NOT($R102="OK"),"",_EngineCycles!L102))</f>
        <v/>
      </c>
      <c r="K102" s="23" t="str">
        <f>IF(NOT(_EngineCycles!A102&lt;&gt;""),"",IF(NOT($R102="OK"),"",_EngineCycles!U102))</f>
        <v/>
      </c>
      <c r="L102" s="32" t="str">
        <f>IF(NOT(_EngineCycles!A102&lt;&gt;""),"",IF(NOT($R102="OK"),"",_EngineCycles!AE102))</f>
        <v/>
      </c>
      <c r="M102" s="23" t="str">
        <f>IF(NOT(_EngineCycles!A102&lt;&gt;""),"",IF(NOT($R102="OK"),"",_EngineCycles!O102))</f>
        <v/>
      </c>
      <c r="N102" s="32" t="str">
        <f>IF(NOT(_EngineCycles!A102&lt;&gt;""),"",IF(NOT($R102="OK"),"",IF(_EngineCycles!E102="Closed",_EngineCycles!O102,"")))</f>
        <v/>
      </c>
      <c r="O102" s="33" t="str">
        <f>IF(NOT(_EngineCycles!A102&lt;&gt;""),"",IF(NOT($R102="OK"),"",_EngineCycles!Y102))</f>
        <v/>
      </c>
      <c r="P102" s="23" t="str">
        <f>IF(NOT(_EngineCycles!A102&lt;&gt;""),"",IF(NOT($R102="OK"),"",_EngineCycles!S102))</f>
        <v/>
      </c>
      <c r="Q102" s="30" t="str">
        <f>IF(_EngineCycles!A102="","",IF($R102&lt;&gt;"OK","Review",IF(_EngineCycles!E102="Closed","Closed","Open")))</f>
        <v/>
      </c>
      <c r="R102" s="24" t="str">
        <f>IF(_EngineCycles!A102="","",IF(COUNTIFS(Trades!$B$9:$B$508,_EngineCycles!B102,Trades!$C$9:$C$508,"&lt;&gt;"&amp;$B102,Trades!$A$9:$A$508,"&lt;&gt;")&gt;0,"Ticker mismatch",IF(COUNTIFS(Trades!$B$9:$B$508,_EngineCycles!B102,Trades!$D$9:$D$508,"&lt;&gt;"&amp;$C102,Trades!$A$9:$A$508,"&lt;&gt;")&gt;0,"Currency mismatch",IF(COUNTIFS(Trades!$B$9:$B$508,_EngineCycles!B102,Trades!$S$9:$S$508,"&lt;&gt;OK",Trades!$A$9:$A$508,"&lt;&gt;")&gt;0,"Check trades","OK"))))</f>
        <v/>
      </c>
      <c r="S102" s="34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P$9:$P$508),0),"")))</f>
        <v/>
      </c>
      <c r="T102" s="31" t="str">
        <f>IF(NOT(_EngineCycles!A102&lt;&gt;""),"",IF(NOT($R102="OK"),"",_EngineCycles!W102))</f>
        <v/>
      </c>
      <c r="U102" s="22"/>
      <c r="V102" s="22"/>
      <c r="W102" s="22"/>
      <c r="X102" s="22"/>
      <c r="Y102" t="str">
        <f>IF(AND($C102=Overview!$P$2,$Q102="Open",$R102="OK"),COUNTIFS($C$9:$C102,Overview!$P$2,$Q$9:$Q102,"Open",$R$9:$R102,"OK"),"")</f>
        <v/>
      </c>
    </row>
    <row r="103" spans="1:25" ht="23.1" customHeight="1" x14ac:dyDescent="0.25">
      <c r="A103" s="18" t="str">
        <f>IF(_EngineCycles!A103="","",_EngineCycles!B103&amp;IF(_EngineCycles!C103&gt;1," / "&amp;_EngineCycles!C103,""))</f>
        <v/>
      </c>
      <c r="B103" s="18" t="str">
        <f>IF(_EngineCycles!A103="","",_EngineCycles!D103)</f>
        <v/>
      </c>
      <c r="C103" s="18" t="str">
        <f>IF(_EngineCycles!A103="","",IFERROR(INDEX(Trades!$D$9:$D$508,_EngineCycles!AG103-8),""))</f>
        <v/>
      </c>
      <c r="D103" s="25" t="str">
        <f>IF(_EngineCycles!A103="","",IF($R103&lt;&gt;"OK","Review",IF(_EngineCycles!E103="Closed","Closed",IF(_EngineCycles!P103&gt;0,IF(IFERROR(LOOKUP(2,1/((_EngineTrades!$AU$9:$AU$508=_EngineCycles!A103)),_EngineTrades!$AQ$9:$AQ$508),0)&gt;0,"Covered Call","Shares Held"),"Cash-Secured Put"))))</f>
        <v/>
      </c>
      <c r="E103" s="26" t="str">
        <f>IF(NOT(_EngineCycles!A103&lt;&gt;""),"",IF(NOT($R103="OK"),"",_EngineCycles!P103))</f>
        <v/>
      </c>
      <c r="F103" s="17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AH$9:$AH$508),0),"")))</f>
        <v/>
      </c>
      <c r="G103" s="17" t="str">
        <f>IF(NOT(_EngineCycles!A103&lt;&gt;""),"",IF(NOT($R103="OK"),"",_EngineCycles!Q103))</f>
        <v/>
      </c>
      <c r="H103" s="27" t="str">
        <f>IF(NOT(_EngineCycles!A103&lt;&gt;""),"",IF(NOT($R103="OK"),"",_EngineCycles!J103))</f>
        <v/>
      </c>
      <c r="I103" s="17" t="str">
        <f>IF(NOT(_EngineCycles!A103&lt;&gt;""),"",IF(NOT($R103="OK"),"",_EngineCycles!I103))</f>
        <v/>
      </c>
      <c r="J103" s="17" t="str">
        <f>IF(NOT(_EngineCycles!A103&lt;&gt;""),"",IF(NOT($R103="OK"),"",_EngineCycles!L103))</f>
        <v/>
      </c>
      <c r="K103" s="17" t="str">
        <f>IF(NOT(_EngineCycles!A103&lt;&gt;""),"",IF(NOT($R103="OK"),"",_EngineCycles!U103))</f>
        <v/>
      </c>
      <c r="L103" s="27" t="str">
        <f>IF(NOT(_EngineCycles!A103&lt;&gt;""),"",IF(NOT($R103="OK"),"",_EngineCycles!AE103))</f>
        <v/>
      </c>
      <c r="M103" s="17" t="str">
        <f>IF(NOT(_EngineCycles!A103&lt;&gt;""),"",IF(NOT($R103="OK"),"",_EngineCycles!O103))</f>
        <v/>
      </c>
      <c r="N103" s="27" t="str">
        <f>IF(NOT(_EngineCycles!A103&lt;&gt;""),"",IF(NOT($R103="OK"),"",IF(_EngineCycles!E103="Closed",_EngineCycles!O103,"")))</f>
        <v/>
      </c>
      <c r="O103" s="28" t="str">
        <f>IF(NOT(_EngineCycles!A103&lt;&gt;""),"",IF(NOT($R103="OK"),"",_EngineCycles!Y103))</f>
        <v/>
      </c>
      <c r="P103" s="17" t="str">
        <f>IF(NOT(_EngineCycles!A103&lt;&gt;""),"",IF(NOT($R103="OK"),"",_EngineCycles!S103))</f>
        <v/>
      </c>
      <c r="Q103" s="25" t="str">
        <f>IF(_EngineCycles!A103="","",IF($R103&lt;&gt;"OK","Review",IF(_EngineCycles!E103="Closed","Closed","Open")))</f>
        <v/>
      </c>
      <c r="R103" s="18" t="str">
        <f>IF(_EngineCycles!A103="","",IF(COUNTIFS(Trades!$B$9:$B$508,_EngineCycles!B103,Trades!$C$9:$C$508,"&lt;&gt;"&amp;$B103,Trades!$A$9:$A$508,"&lt;&gt;")&gt;0,"Ticker mismatch",IF(COUNTIFS(Trades!$B$9:$B$508,_EngineCycles!B103,Trades!$D$9:$D$508,"&lt;&gt;"&amp;$C103,Trades!$A$9:$A$508,"&lt;&gt;")&gt;0,"Currency mismatch",IF(COUNTIFS(Trades!$B$9:$B$508,_EngineCycles!B103,Trades!$S$9:$S$508,"&lt;&gt;OK",Trades!$A$9:$A$508,"&lt;&gt;")&gt;0,"Check trades","OK"))))</f>
        <v/>
      </c>
      <c r="S103" s="29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P$9:$P$508),0),"")))</f>
        <v/>
      </c>
      <c r="T103" s="26" t="str">
        <f>IF(NOT(_EngineCycles!A103&lt;&gt;""),"",IF(NOT($R103="OK"),"",_EngineCycles!W103))</f>
        <v/>
      </c>
      <c r="U103" s="16"/>
      <c r="V103" s="16"/>
      <c r="W103" s="16"/>
      <c r="X103" s="16"/>
      <c r="Y103" t="str">
        <f>IF(AND($C103=Overview!$P$2,$Q103="Open",$R103="OK"),COUNTIFS($C$9:$C103,Overview!$P$2,$Q$9:$Q103,"Open",$R$9:$R103,"OK"),"")</f>
        <v/>
      </c>
    </row>
    <row r="104" spans="1:25" ht="23.1" customHeight="1" x14ac:dyDescent="0.25">
      <c r="A104" s="24" t="str">
        <f>IF(_EngineCycles!A104="","",_EngineCycles!B104&amp;IF(_EngineCycles!C104&gt;1," / "&amp;_EngineCycles!C104,""))</f>
        <v/>
      </c>
      <c r="B104" s="24" t="str">
        <f>IF(_EngineCycles!A104="","",_EngineCycles!D104)</f>
        <v/>
      </c>
      <c r="C104" s="24" t="str">
        <f>IF(_EngineCycles!A104="","",IFERROR(INDEX(Trades!$D$9:$D$508,_EngineCycles!AG104-8),""))</f>
        <v/>
      </c>
      <c r="D104" s="30" t="str">
        <f>IF(_EngineCycles!A104="","",IF($R104&lt;&gt;"OK","Review",IF(_EngineCycles!E104="Closed","Closed",IF(_EngineCycles!P104&gt;0,IF(IFERROR(LOOKUP(2,1/((_EngineTrades!$AU$9:$AU$508=_EngineCycles!A104)),_EngineTrades!$AQ$9:$AQ$508),0)&gt;0,"Covered Call","Shares Held"),"Cash-Secured Put"))))</f>
        <v/>
      </c>
      <c r="E104" s="31" t="str">
        <f>IF(NOT(_EngineCycles!A104&lt;&gt;""),"",IF(NOT($R104="OK"),"",_EngineCycles!P104))</f>
        <v/>
      </c>
      <c r="F104" s="23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AH$9:$AH$508),0),"")))</f>
        <v/>
      </c>
      <c r="G104" s="23" t="str">
        <f>IF(NOT(_EngineCycles!A104&lt;&gt;""),"",IF(NOT($R104="OK"),"",_EngineCycles!Q104))</f>
        <v/>
      </c>
      <c r="H104" s="32" t="str">
        <f>IF(NOT(_EngineCycles!A104&lt;&gt;""),"",IF(NOT($R104="OK"),"",_EngineCycles!J104))</f>
        <v/>
      </c>
      <c r="I104" s="23" t="str">
        <f>IF(NOT(_EngineCycles!A104&lt;&gt;""),"",IF(NOT($R104="OK"),"",_EngineCycles!I104))</f>
        <v/>
      </c>
      <c r="J104" s="23" t="str">
        <f>IF(NOT(_EngineCycles!A104&lt;&gt;""),"",IF(NOT($R104="OK"),"",_EngineCycles!L104))</f>
        <v/>
      </c>
      <c r="K104" s="23" t="str">
        <f>IF(NOT(_EngineCycles!A104&lt;&gt;""),"",IF(NOT($R104="OK"),"",_EngineCycles!U104))</f>
        <v/>
      </c>
      <c r="L104" s="32" t="str">
        <f>IF(NOT(_EngineCycles!A104&lt;&gt;""),"",IF(NOT($R104="OK"),"",_EngineCycles!AE104))</f>
        <v/>
      </c>
      <c r="M104" s="23" t="str">
        <f>IF(NOT(_EngineCycles!A104&lt;&gt;""),"",IF(NOT($R104="OK"),"",_EngineCycles!O104))</f>
        <v/>
      </c>
      <c r="N104" s="32" t="str">
        <f>IF(NOT(_EngineCycles!A104&lt;&gt;""),"",IF(NOT($R104="OK"),"",IF(_EngineCycles!E104="Closed",_EngineCycles!O104,"")))</f>
        <v/>
      </c>
      <c r="O104" s="33" t="str">
        <f>IF(NOT(_EngineCycles!A104&lt;&gt;""),"",IF(NOT($R104="OK"),"",_EngineCycles!Y104))</f>
        <v/>
      </c>
      <c r="P104" s="23" t="str">
        <f>IF(NOT(_EngineCycles!A104&lt;&gt;""),"",IF(NOT($R104="OK"),"",_EngineCycles!S104))</f>
        <v/>
      </c>
      <c r="Q104" s="30" t="str">
        <f>IF(_EngineCycles!A104="","",IF($R104&lt;&gt;"OK","Review",IF(_EngineCycles!E104="Closed","Closed","Open")))</f>
        <v/>
      </c>
      <c r="R104" s="24" t="str">
        <f>IF(_EngineCycles!A104="","",IF(COUNTIFS(Trades!$B$9:$B$508,_EngineCycles!B104,Trades!$C$9:$C$508,"&lt;&gt;"&amp;$B104,Trades!$A$9:$A$508,"&lt;&gt;")&gt;0,"Ticker mismatch",IF(COUNTIFS(Trades!$B$9:$B$508,_EngineCycles!B104,Trades!$D$9:$D$508,"&lt;&gt;"&amp;$C104,Trades!$A$9:$A$508,"&lt;&gt;")&gt;0,"Currency mismatch",IF(COUNTIFS(Trades!$B$9:$B$508,_EngineCycles!B104,Trades!$S$9:$S$508,"&lt;&gt;OK",Trades!$A$9:$A$508,"&lt;&gt;")&gt;0,"Check trades","OK"))))</f>
        <v/>
      </c>
      <c r="S104" s="34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P$9:$P$508),0),"")))</f>
        <v/>
      </c>
      <c r="T104" s="31" t="str">
        <f>IF(NOT(_EngineCycles!A104&lt;&gt;""),"",IF(NOT($R104="OK"),"",_EngineCycles!W104))</f>
        <v/>
      </c>
      <c r="U104" s="22"/>
      <c r="V104" s="22"/>
      <c r="W104" s="22"/>
      <c r="X104" s="22"/>
      <c r="Y104" t="str">
        <f>IF(AND($C104=Overview!$P$2,$Q104="Open",$R104="OK"),COUNTIFS($C$9:$C104,Overview!$P$2,$Q$9:$Q104,"Open",$R$9:$R104,"OK"),"")</f>
        <v/>
      </c>
    </row>
    <row r="105" spans="1:25" ht="23.1" customHeight="1" x14ac:dyDescent="0.25">
      <c r="A105" s="18" t="str">
        <f>IF(_EngineCycles!A105="","",_EngineCycles!B105&amp;IF(_EngineCycles!C105&gt;1," / "&amp;_EngineCycles!C105,""))</f>
        <v/>
      </c>
      <c r="B105" s="18" t="str">
        <f>IF(_EngineCycles!A105="","",_EngineCycles!D105)</f>
        <v/>
      </c>
      <c r="C105" s="18" t="str">
        <f>IF(_EngineCycles!A105="","",IFERROR(INDEX(Trades!$D$9:$D$508,_EngineCycles!AG105-8),""))</f>
        <v/>
      </c>
      <c r="D105" s="25" t="str">
        <f>IF(_EngineCycles!A105="","",IF($R105&lt;&gt;"OK","Review",IF(_EngineCycles!E105="Closed","Closed",IF(_EngineCycles!P105&gt;0,IF(IFERROR(LOOKUP(2,1/((_EngineTrades!$AU$9:$AU$508=_EngineCycles!A105)),_EngineTrades!$AQ$9:$AQ$508),0)&gt;0,"Covered Call","Shares Held"),"Cash-Secured Put"))))</f>
        <v/>
      </c>
      <c r="E105" s="26" t="str">
        <f>IF(NOT(_EngineCycles!A105&lt;&gt;""),"",IF(NOT($R105="OK"),"",_EngineCycles!P105))</f>
        <v/>
      </c>
      <c r="F105" s="17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AH$9:$AH$508),0),"")))</f>
        <v/>
      </c>
      <c r="G105" s="17" t="str">
        <f>IF(NOT(_EngineCycles!A105&lt;&gt;""),"",IF(NOT($R105="OK"),"",_EngineCycles!Q105))</f>
        <v/>
      </c>
      <c r="H105" s="27" t="str">
        <f>IF(NOT(_EngineCycles!A105&lt;&gt;""),"",IF(NOT($R105="OK"),"",_EngineCycles!J105))</f>
        <v/>
      </c>
      <c r="I105" s="17" t="str">
        <f>IF(NOT(_EngineCycles!A105&lt;&gt;""),"",IF(NOT($R105="OK"),"",_EngineCycles!I105))</f>
        <v/>
      </c>
      <c r="J105" s="17" t="str">
        <f>IF(NOT(_EngineCycles!A105&lt;&gt;""),"",IF(NOT($R105="OK"),"",_EngineCycles!L105))</f>
        <v/>
      </c>
      <c r="K105" s="17" t="str">
        <f>IF(NOT(_EngineCycles!A105&lt;&gt;""),"",IF(NOT($R105="OK"),"",_EngineCycles!U105))</f>
        <v/>
      </c>
      <c r="L105" s="27" t="str">
        <f>IF(NOT(_EngineCycles!A105&lt;&gt;""),"",IF(NOT($R105="OK"),"",_EngineCycles!AE105))</f>
        <v/>
      </c>
      <c r="M105" s="17" t="str">
        <f>IF(NOT(_EngineCycles!A105&lt;&gt;""),"",IF(NOT($R105="OK"),"",_EngineCycles!O105))</f>
        <v/>
      </c>
      <c r="N105" s="27" t="str">
        <f>IF(NOT(_EngineCycles!A105&lt;&gt;""),"",IF(NOT($R105="OK"),"",IF(_EngineCycles!E105="Closed",_EngineCycles!O105,"")))</f>
        <v/>
      </c>
      <c r="O105" s="28" t="str">
        <f>IF(NOT(_EngineCycles!A105&lt;&gt;""),"",IF(NOT($R105="OK"),"",_EngineCycles!Y105))</f>
        <v/>
      </c>
      <c r="P105" s="17" t="str">
        <f>IF(NOT(_EngineCycles!A105&lt;&gt;""),"",IF(NOT($R105="OK"),"",_EngineCycles!S105))</f>
        <v/>
      </c>
      <c r="Q105" s="25" t="str">
        <f>IF(_EngineCycles!A105="","",IF($R105&lt;&gt;"OK","Review",IF(_EngineCycles!E105="Closed","Closed","Open")))</f>
        <v/>
      </c>
      <c r="R105" s="18" t="str">
        <f>IF(_EngineCycles!A105="","",IF(COUNTIFS(Trades!$B$9:$B$508,_EngineCycles!B105,Trades!$C$9:$C$508,"&lt;&gt;"&amp;$B105,Trades!$A$9:$A$508,"&lt;&gt;")&gt;0,"Ticker mismatch",IF(COUNTIFS(Trades!$B$9:$B$508,_EngineCycles!B105,Trades!$D$9:$D$508,"&lt;&gt;"&amp;$C105,Trades!$A$9:$A$508,"&lt;&gt;")&gt;0,"Currency mismatch",IF(COUNTIFS(Trades!$B$9:$B$508,_EngineCycles!B105,Trades!$S$9:$S$508,"&lt;&gt;OK",Trades!$A$9:$A$508,"&lt;&gt;")&gt;0,"Check trades","OK"))))</f>
        <v/>
      </c>
      <c r="S105" s="29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P$9:$P$508),0),"")))</f>
        <v/>
      </c>
      <c r="T105" s="26" t="str">
        <f>IF(NOT(_EngineCycles!A105&lt;&gt;""),"",IF(NOT($R105="OK"),"",_EngineCycles!W105))</f>
        <v/>
      </c>
      <c r="U105" s="16"/>
      <c r="V105" s="16"/>
      <c r="W105" s="16"/>
      <c r="X105" s="16"/>
      <c r="Y105" t="str">
        <f>IF(AND($C105=Overview!$P$2,$Q105="Open",$R105="OK"),COUNTIFS($C$9:$C105,Overview!$P$2,$Q$9:$Q105,"Open",$R$9:$R105,"OK"),"")</f>
        <v/>
      </c>
    </row>
    <row r="106" spans="1:25" ht="23.1" customHeight="1" x14ac:dyDescent="0.25">
      <c r="A106" s="24" t="str">
        <f>IF(_EngineCycles!A106="","",_EngineCycles!B106&amp;IF(_EngineCycles!C106&gt;1," / "&amp;_EngineCycles!C106,""))</f>
        <v/>
      </c>
      <c r="B106" s="24" t="str">
        <f>IF(_EngineCycles!A106="","",_EngineCycles!D106)</f>
        <v/>
      </c>
      <c r="C106" s="24" t="str">
        <f>IF(_EngineCycles!A106="","",IFERROR(INDEX(Trades!$D$9:$D$508,_EngineCycles!AG106-8),""))</f>
        <v/>
      </c>
      <c r="D106" s="30" t="str">
        <f>IF(_EngineCycles!A106="","",IF($R106&lt;&gt;"OK","Review",IF(_EngineCycles!E106="Closed","Closed",IF(_EngineCycles!P106&gt;0,IF(IFERROR(LOOKUP(2,1/((_EngineTrades!$AU$9:$AU$508=_EngineCycles!A106)),_EngineTrades!$AQ$9:$AQ$508),0)&gt;0,"Covered Call","Shares Held"),"Cash-Secured Put"))))</f>
        <v/>
      </c>
      <c r="E106" s="31" t="str">
        <f>IF(NOT(_EngineCycles!A106&lt;&gt;""),"",IF(NOT($R106="OK"),"",_EngineCycles!P106))</f>
        <v/>
      </c>
      <c r="F106" s="23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AH$9:$AH$508),0),"")))</f>
        <v/>
      </c>
      <c r="G106" s="23" t="str">
        <f>IF(NOT(_EngineCycles!A106&lt;&gt;""),"",IF(NOT($R106="OK"),"",_EngineCycles!Q106))</f>
        <v/>
      </c>
      <c r="H106" s="32" t="str">
        <f>IF(NOT(_EngineCycles!A106&lt;&gt;""),"",IF(NOT($R106="OK"),"",_EngineCycles!J106))</f>
        <v/>
      </c>
      <c r="I106" s="23" t="str">
        <f>IF(NOT(_EngineCycles!A106&lt;&gt;""),"",IF(NOT($R106="OK"),"",_EngineCycles!I106))</f>
        <v/>
      </c>
      <c r="J106" s="23" t="str">
        <f>IF(NOT(_EngineCycles!A106&lt;&gt;""),"",IF(NOT($R106="OK"),"",_EngineCycles!L106))</f>
        <v/>
      </c>
      <c r="K106" s="23" t="str">
        <f>IF(NOT(_EngineCycles!A106&lt;&gt;""),"",IF(NOT($R106="OK"),"",_EngineCycles!U106))</f>
        <v/>
      </c>
      <c r="L106" s="32" t="str">
        <f>IF(NOT(_EngineCycles!A106&lt;&gt;""),"",IF(NOT($R106="OK"),"",_EngineCycles!AE106))</f>
        <v/>
      </c>
      <c r="M106" s="23" t="str">
        <f>IF(NOT(_EngineCycles!A106&lt;&gt;""),"",IF(NOT($R106="OK"),"",_EngineCycles!O106))</f>
        <v/>
      </c>
      <c r="N106" s="32" t="str">
        <f>IF(NOT(_EngineCycles!A106&lt;&gt;""),"",IF(NOT($R106="OK"),"",IF(_EngineCycles!E106="Closed",_EngineCycles!O106,"")))</f>
        <v/>
      </c>
      <c r="O106" s="33" t="str">
        <f>IF(NOT(_EngineCycles!A106&lt;&gt;""),"",IF(NOT($R106="OK"),"",_EngineCycles!Y106))</f>
        <v/>
      </c>
      <c r="P106" s="23" t="str">
        <f>IF(NOT(_EngineCycles!A106&lt;&gt;""),"",IF(NOT($R106="OK"),"",_EngineCycles!S106))</f>
        <v/>
      </c>
      <c r="Q106" s="30" t="str">
        <f>IF(_EngineCycles!A106="","",IF($R106&lt;&gt;"OK","Review",IF(_EngineCycles!E106="Closed","Closed","Open")))</f>
        <v/>
      </c>
      <c r="R106" s="24" t="str">
        <f>IF(_EngineCycles!A106="","",IF(COUNTIFS(Trades!$B$9:$B$508,_EngineCycles!B106,Trades!$C$9:$C$508,"&lt;&gt;"&amp;$B106,Trades!$A$9:$A$508,"&lt;&gt;")&gt;0,"Ticker mismatch",IF(COUNTIFS(Trades!$B$9:$B$508,_EngineCycles!B106,Trades!$D$9:$D$508,"&lt;&gt;"&amp;$C106,Trades!$A$9:$A$508,"&lt;&gt;")&gt;0,"Currency mismatch",IF(COUNTIFS(Trades!$B$9:$B$508,_EngineCycles!B106,Trades!$S$9:$S$508,"&lt;&gt;OK",Trades!$A$9:$A$508,"&lt;&gt;")&gt;0,"Check trades","OK"))))</f>
        <v/>
      </c>
      <c r="S106" s="34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P$9:$P$508),0),"")))</f>
        <v/>
      </c>
      <c r="T106" s="31" t="str">
        <f>IF(NOT(_EngineCycles!A106&lt;&gt;""),"",IF(NOT($R106="OK"),"",_EngineCycles!W106))</f>
        <v/>
      </c>
      <c r="U106" s="22"/>
      <c r="V106" s="22"/>
      <c r="W106" s="22"/>
      <c r="X106" s="22"/>
      <c r="Y106" t="str">
        <f>IF(AND($C106=Overview!$P$2,$Q106="Open",$R106="OK"),COUNTIFS($C$9:$C106,Overview!$P$2,$Q$9:$Q106,"Open",$R$9:$R106,"OK"),"")</f>
        <v/>
      </c>
    </row>
    <row r="107" spans="1:25" ht="23.1" customHeight="1" x14ac:dyDescent="0.25">
      <c r="A107" s="18" t="str">
        <f>IF(_EngineCycles!A107="","",_EngineCycles!B107&amp;IF(_EngineCycles!C107&gt;1," / "&amp;_EngineCycles!C107,""))</f>
        <v/>
      </c>
      <c r="B107" s="18" t="str">
        <f>IF(_EngineCycles!A107="","",_EngineCycles!D107)</f>
        <v/>
      </c>
      <c r="C107" s="18" t="str">
        <f>IF(_EngineCycles!A107="","",IFERROR(INDEX(Trades!$D$9:$D$508,_EngineCycles!AG107-8),""))</f>
        <v/>
      </c>
      <c r="D107" s="25" t="str">
        <f>IF(_EngineCycles!A107="","",IF($R107&lt;&gt;"OK","Review",IF(_EngineCycles!E107="Closed","Closed",IF(_EngineCycles!P107&gt;0,IF(IFERROR(LOOKUP(2,1/((_EngineTrades!$AU$9:$AU$508=_EngineCycles!A107)),_EngineTrades!$AQ$9:$AQ$508),0)&gt;0,"Covered Call","Shares Held"),"Cash-Secured Put"))))</f>
        <v/>
      </c>
      <c r="E107" s="26" t="str">
        <f>IF(NOT(_EngineCycles!A107&lt;&gt;""),"",IF(NOT($R107="OK"),"",_EngineCycles!P107))</f>
        <v/>
      </c>
      <c r="F107" s="17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AH$9:$AH$508),0),"")))</f>
        <v/>
      </c>
      <c r="G107" s="17" t="str">
        <f>IF(NOT(_EngineCycles!A107&lt;&gt;""),"",IF(NOT($R107="OK"),"",_EngineCycles!Q107))</f>
        <v/>
      </c>
      <c r="H107" s="27" t="str">
        <f>IF(NOT(_EngineCycles!A107&lt;&gt;""),"",IF(NOT($R107="OK"),"",_EngineCycles!J107))</f>
        <v/>
      </c>
      <c r="I107" s="17" t="str">
        <f>IF(NOT(_EngineCycles!A107&lt;&gt;""),"",IF(NOT($R107="OK"),"",_EngineCycles!I107))</f>
        <v/>
      </c>
      <c r="J107" s="17" t="str">
        <f>IF(NOT(_EngineCycles!A107&lt;&gt;""),"",IF(NOT($R107="OK"),"",_EngineCycles!L107))</f>
        <v/>
      </c>
      <c r="K107" s="17" t="str">
        <f>IF(NOT(_EngineCycles!A107&lt;&gt;""),"",IF(NOT($R107="OK"),"",_EngineCycles!U107))</f>
        <v/>
      </c>
      <c r="L107" s="27" t="str">
        <f>IF(NOT(_EngineCycles!A107&lt;&gt;""),"",IF(NOT($R107="OK"),"",_EngineCycles!AE107))</f>
        <v/>
      </c>
      <c r="M107" s="17" t="str">
        <f>IF(NOT(_EngineCycles!A107&lt;&gt;""),"",IF(NOT($R107="OK"),"",_EngineCycles!O107))</f>
        <v/>
      </c>
      <c r="N107" s="27" t="str">
        <f>IF(NOT(_EngineCycles!A107&lt;&gt;""),"",IF(NOT($R107="OK"),"",IF(_EngineCycles!E107="Closed",_EngineCycles!O107,"")))</f>
        <v/>
      </c>
      <c r="O107" s="28" t="str">
        <f>IF(NOT(_EngineCycles!A107&lt;&gt;""),"",IF(NOT($R107="OK"),"",_EngineCycles!Y107))</f>
        <v/>
      </c>
      <c r="P107" s="17" t="str">
        <f>IF(NOT(_EngineCycles!A107&lt;&gt;""),"",IF(NOT($R107="OK"),"",_EngineCycles!S107))</f>
        <v/>
      </c>
      <c r="Q107" s="25" t="str">
        <f>IF(_EngineCycles!A107="","",IF($R107&lt;&gt;"OK","Review",IF(_EngineCycles!E107="Closed","Closed","Open")))</f>
        <v/>
      </c>
      <c r="R107" s="18" t="str">
        <f>IF(_EngineCycles!A107="","",IF(COUNTIFS(Trades!$B$9:$B$508,_EngineCycles!B107,Trades!$C$9:$C$508,"&lt;&gt;"&amp;$B107,Trades!$A$9:$A$508,"&lt;&gt;")&gt;0,"Ticker mismatch",IF(COUNTIFS(Trades!$B$9:$B$508,_EngineCycles!B107,Trades!$D$9:$D$508,"&lt;&gt;"&amp;$C107,Trades!$A$9:$A$508,"&lt;&gt;")&gt;0,"Currency mismatch",IF(COUNTIFS(Trades!$B$9:$B$508,_EngineCycles!B107,Trades!$S$9:$S$508,"&lt;&gt;OK",Trades!$A$9:$A$508,"&lt;&gt;")&gt;0,"Check trades","OK"))))</f>
        <v/>
      </c>
      <c r="S107" s="29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P$9:$P$508),0),"")))</f>
        <v/>
      </c>
      <c r="T107" s="26" t="str">
        <f>IF(NOT(_EngineCycles!A107&lt;&gt;""),"",IF(NOT($R107="OK"),"",_EngineCycles!W107))</f>
        <v/>
      </c>
      <c r="U107" s="16"/>
      <c r="V107" s="16"/>
      <c r="W107" s="16"/>
      <c r="X107" s="16"/>
      <c r="Y107" t="str">
        <f>IF(AND($C107=Overview!$P$2,$Q107="Open",$R107="OK"),COUNTIFS($C$9:$C107,Overview!$P$2,$Q$9:$Q107,"Open",$R$9:$R107,"OK"),"")</f>
        <v/>
      </c>
    </row>
    <row r="108" spans="1:25" ht="23.1" customHeight="1" x14ac:dyDescent="0.25">
      <c r="A108" s="24" t="str">
        <f>IF(_EngineCycles!A108="","",_EngineCycles!B108&amp;IF(_EngineCycles!C108&gt;1," / "&amp;_EngineCycles!C108,""))</f>
        <v/>
      </c>
      <c r="B108" s="24" t="str">
        <f>IF(_EngineCycles!A108="","",_EngineCycles!D108)</f>
        <v/>
      </c>
      <c r="C108" s="24" t="str">
        <f>IF(_EngineCycles!A108="","",IFERROR(INDEX(Trades!$D$9:$D$508,_EngineCycles!AG108-8),""))</f>
        <v/>
      </c>
      <c r="D108" s="30" t="str">
        <f>IF(_EngineCycles!A108="","",IF($R108&lt;&gt;"OK","Review",IF(_EngineCycles!E108="Closed","Closed",IF(_EngineCycles!P108&gt;0,IF(IFERROR(LOOKUP(2,1/((_EngineTrades!$AU$9:$AU$508=_EngineCycles!A108)),_EngineTrades!$AQ$9:$AQ$508),0)&gt;0,"Covered Call","Shares Held"),"Cash-Secured Put"))))</f>
        <v/>
      </c>
      <c r="E108" s="31" t="str">
        <f>IF(NOT(_EngineCycles!A108&lt;&gt;""),"",IF(NOT($R108="OK"),"",_EngineCycles!P108))</f>
        <v/>
      </c>
      <c r="F108" s="23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AH$9:$AH$508),0),"")))</f>
        <v/>
      </c>
      <c r="G108" s="23" t="str">
        <f>IF(NOT(_EngineCycles!A108&lt;&gt;""),"",IF(NOT($R108="OK"),"",_EngineCycles!Q108))</f>
        <v/>
      </c>
      <c r="H108" s="32" t="str">
        <f>IF(NOT(_EngineCycles!A108&lt;&gt;""),"",IF(NOT($R108="OK"),"",_EngineCycles!J108))</f>
        <v/>
      </c>
      <c r="I108" s="23" t="str">
        <f>IF(NOT(_EngineCycles!A108&lt;&gt;""),"",IF(NOT($R108="OK"),"",_EngineCycles!I108))</f>
        <v/>
      </c>
      <c r="J108" s="23" t="str">
        <f>IF(NOT(_EngineCycles!A108&lt;&gt;""),"",IF(NOT($R108="OK"),"",_EngineCycles!L108))</f>
        <v/>
      </c>
      <c r="K108" s="23" t="str">
        <f>IF(NOT(_EngineCycles!A108&lt;&gt;""),"",IF(NOT($R108="OK"),"",_EngineCycles!U108))</f>
        <v/>
      </c>
      <c r="L108" s="32" t="str">
        <f>IF(NOT(_EngineCycles!A108&lt;&gt;""),"",IF(NOT($R108="OK"),"",_EngineCycles!AE108))</f>
        <v/>
      </c>
      <c r="M108" s="23" t="str">
        <f>IF(NOT(_EngineCycles!A108&lt;&gt;""),"",IF(NOT($R108="OK"),"",_EngineCycles!O108))</f>
        <v/>
      </c>
      <c r="N108" s="32" t="str">
        <f>IF(NOT(_EngineCycles!A108&lt;&gt;""),"",IF(NOT($R108="OK"),"",IF(_EngineCycles!E108="Closed",_EngineCycles!O108,"")))</f>
        <v/>
      </c>
      <c r="O108" s="33" t="str">
        <f>IF(NOT(_EngineCycles!A108&lt;&gt;""),"",IF(NOT($R108="OK"),"",_EngineCycles!Y108))</f>
        <v/>
      </c>
      <c r="P108" s="23" t="str">
        <f>IF(NOT(_EngineCycles!A108&lt;&gt;""),"",IF(NOT($R108="OK"),"",_EngineCycles!S108))</f>
        <v/>
      </c>
      <c r="Q108" s="30" t="str">
        <f>IF(_EngineCycles!A108="","",IF($R108&lt;&gt;"OK","Review",IF(_EngineCycles!E108="Closed","Closed","Open")))</f>
        <v/>
      </c>
      <c r="R108" s="24" t="str">
        <f>IF(_EngineCycles!A108="","",IF(COUNTIFS(Trades!$B$9:$B$508,_EngineCycles!B108,Trades!$C$9:$C$508,"&lt;&gt;"&amp;$B108,Trades!$A$9:$A$508,"&lt;&gt;")&gt;0,"Ticker mismatch",IF(COUNTIFS(Trades!$B$9:$B$508,_EngineCycles!B108,Trades!$D$9:$D$508,"&lt;&gt;"&amp;$C108,Trades!$A$9:$A$508,"&lt;&gt;")&gt;0,"Currency mismatch",IF(COUNTIFS(Trades!$B$9:$B$508,_EngineCycles!B108,Trades!$S$9:$S$508,"&lt;&gt;OK",Trades!$A$9:$A$508,"&lt;&gt;")&gt;0,"Check trades","OK"))))</f>
        <v/>
      </c>
      <c r="S108" s="34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P$9:$P$508),0),"")))</f>
        <v/>
      </c>
      <c r="T108" s="31" t="str">
        <f>IF(NOT(_EngineCycles!A108&lt;&gt;""),"",IF(NOT($R108="OK"),"",_EngineCycles!W108))</f>
        <v/>
      </c>
      <c r="U108" s="22"/>
      <c r="V108" s="22"/>
      <c r="W108" s="22"/>
      <c r="X108" s="22"/>
      <c r="Y108" t="str">
        <f>IF(AND($C108=Overview!$P$2,$Q108="Open",$R108="OK"),COUNTIFS($C$9:$C108,Overview!$P$2,$Q$9:$Q108,"Open",$R$9:$R108,"OK"),"")</f>
        <v/>
      </c>
    </row>
    <row r="109" spans="1:25" ht="23.1" customHeight="1" x14ac:dyDescent="0.25">
      <c r="A109" s="18" t="str">
        <f>IF(_EngineCycles!A109="","",_EngineCycles!B109&amp;IF(_EngineCycles!C109&gt;1," / "&amp;_EngineCycles!C109,""))</f>
        <v/>
      </c>
      <c r="B109" s="18" t="str">
        <f>IF(_EngineCycles!A109="","",_EngineCycles!D109)</f>
        <v/>
      </c>
      <c r="C109" s="18" t="str">
        <f>IF(_EngineCycles!A109="","",IFERROR(INDEX(Trades!$D$9:$D$508,_EngineCycles!AG109-8),""))</f>
        <v/>
      </c>
      <c r="D109" s="25" t="str">
        <f>IF(_EngineCycles!A109="","",IF($R109&lt;&gt;"OK","Review",IF(_EngineCycles!E109="Closed","Closed",IF(_EngineCycles!P109&gt;0,IF(IFERROR(LOOKUP(2,1/((_EngineTrades!$AU$9:$AU$508=_EngineCycles!A109)),_EngineTrades!$AQ$9:$AQ$508),0)&gt;0,"Covered Call","Shares Held"),"Cash-Secured Put"))))</f>
        <v/>
      </c>
      <c r="E109" s="26" t="str">
        <f>IF(NOT(_EngineCycles!A109&lt;&gt;""),"",IF(NOT($R109="OK"),"",_EngineCycles!P109))</f>
        <v/>
      </c>
      <c r="F109" s="17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AH$9:$AH$508),0),"")))</f>
        <v/>
      </c>
      <c r="G109" s="17" t="str">
        <f>IF(NOT(_EngineCycles!A109&lt;&gt;""),"",IF(NOT($R109="OK"),"",_EngineCycles!Q109))</f>
        <v/>
      </c>
      <c r="H109" s="27" t="str">
        <f>IF(NOT(_EngineCycles!A109&lt;&gt;""),"",IF(NOT($R109="OK"),"",_EngineCycles!J109))</f>
        <v/>
      </c>
      <c r="I109" s="17" t="str">
        <f>IF(NOT(_EngineCycles!A109&lt;&gt;""),"",IF(NOT($R109="OK"),"",_EngineCycles!I109))</f>
        <v/>
      </c>
      <c r="J109" s="17" t="str">
        <f>IF(NOT(_EngineCycles!A109&lt;&gt;""),"",IF(NOT($R109="OK"),"",_EngineCycles!L109))</f>
        <v/>
      </c>
      <c r="K109" s="17" t="str">
        <f>IF(NOT(_EngineCycles!A109&lt;&gt;""),"",IF(NOT($R109="OK"),"",_EngineCycles!U109))</f>
        <v/>
      </c>
      <c r="L109" s="27" t="str">
        <f>IF(NOT(_EngineCycles!A109&lt;&gt;""),"",IF(NOT($R109="OK"),"",_EngineCycles!AE109))</f>
        <v/>
      </c>
      <c r="M109" s="17" t="str">
        <f>IF(NOT(_EngineCycles!A109&lt;&gt;""),"",IF(NOT($R109="OK"),"",_EngineCycles!O109))</f>
        <v/>
      </c>
      <c r="N109" s="27" t="str">
        <f>IF(NOT(_EngineCycles!A109&lt;&gt;""),"",IF(NOT($R109="OK"),"",IF(_EngineCycles!E109="Closed",_EngineCycles!O109,"")))</f>
        <v/>
      </c>
      <c r="O109" s="28" t="str">
        <f>IF(NOT(_EngineCycles!A109&lt;&gt;""),"",IF(NOT($R109="OK"),"",_EngineCycles!Y109))</f>
        <v/>
      </c>
      <c r="P109" s="17" t="str">
        <f>IF(NOT(_EngineCycles!A109&lt;&gt;""),"",IF(NOT($R109="OK"),"",_EngineCycles!S109))</f>
        <v/>
      </c>
      <c r="Q109" s="25" t="str">
        <f>IF(_EngineCycles!A109="","",IF($R109&lt;&gt;"OK","Review",IF(_EngineCycles!E109="Closed","Closed","Open")))</f>
        <v/>
      </c>
      <c r="R109" s="18" t="str">
        <f>IF(_EngineCycles!A109="","",IF(COUNTIFS(Trades!$B$9:$B$508,_EngineCycles!B109,Trades!$C$9:$C$508,"&lt;&gt;"&amp;$B109,Trades!$A$9:$A$508,"&lt;&gt;")&gt;0,"Ticker mismatch",IF(COUNTIFS(Trades!$B$9:$B$508,_EngineCycles!B109,Trades!$D$9:$D$508,"&lt;&gt;"&amp;$C109,Trades!$A$9:$A$508,"&lt;&gt;")&gt;0,"Currency mismatch",IF(COUNTIFS(Trades!$B$9:$B$508,_EngineCycles!B109,Trades!$S$9:$S$508,"&lt;&gt;OK",Trades!$A$9:$A$508,"&lt;&gt;")&gt;0,"Check trades","OK"))))</f>
        <v/>
      </c>
      <c r="S109" s="29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P$9:$P$508),0),"")))</f>
        <v/>
      </c>
      <c r="T109" s="26" t="str">
        <f>IF(NOT(_EngineCycles!A109&lt;&gt;""),"",IF(NOT($R109="OK"),"",_EngineCycles!W109))</f>
        <v/>
      </c>
      <c r="U109" s="16"/>
      <c r="V109" s="16"/>
      <c r="W109" s="16"/>
      <c r="X109" s="16"/>
      <c r="Y109" t="str">
        <f>IF(AND($C109=Overview!$P$2,$Q109="Open",$R109="OK"),COUNTIFS($C$9:$C109,Overview!$P$2,$Q$9:$Q109,"Open",$R$9:$R109,"OK"),"")</f>
        <v/>
      </c>
    </row>
    <row r="110" spans="1:25" ht="23.1" customHeight="1" x14ac:dyDescent="0.25">
      <c r="A110" s="24" t="str">
        <f>IF(_EngineCycles!A110="","",_EngineCycles!B110&amp;IF(_EngineCycles!C110&gt;1," / "&amp;_EngineCycles!C110,""))</f>
        <v/>
      </c>
      <c r="B110" s="24" t="str">
        <f>IF(_EngineCycles!A110="","",_EngineCycles!D110)</f>
        <v/>
      </c>
      <c r="C110" s="24" t="str">
        <f>IF(_EngineCycles!A110="","",IFERROR(INDEX(Trades!$D$9:$D$508,_EngineCycles!AG110-8),""))</f>
        <v/>
      </c>
      <c r="D110" s="30" t="str">
        <f>IF(_EngineCycles!A110="","",IF($R110&lt;&gt;"OK","Review",IF(_EngineCycles!E110="Closed","Closed",IF(_EngineCycles!P110&gt;0,IF(IFERROR(LOOKUP(2,1/((_EngineTrades!$AU$9:$AU$508=_EngineCycles!A110)),_EngineTrades!$AQ$9:$AQ$508),0)&gt;0,"Covered Call","Shares Held"),"Cash-Secured Put"))))</f>
        <v/>
      </c>
      <c r="E110" s="31" t="str">
        <f>IF(NOT(_EngineCycles!A110&lt;&gt;""),"",IF(NOT($R110="OK"),"",_EngineCycles!P110))</f>
        <v/>
      </c>
      <c r="F110" s="23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AH$9:$AH$508),0),"")))</f>
        <v/>
      </c>
      <c r="G110" s="23" t="str">
        <f>IF(NOT(_EngineCycles!A110&lt;&gt;""),"",IF(NOT($R110="OK"),"",_EngineCycles!Q110))</f>
        <v/>
      </c>
      <c r="H110" s="32" t="str">
        <f>IF(NOT(_EngineCycles!A110&lt;&gt;""),"",IF(NOT($R110="OK"),"",_EngineCycles!J110))</f>
        <v/>
      </c>
      <c r="I110" s="23" t="str">
        <f>IF(NOT(_EngineCycles!A110&lt;&gt;""),"",IF(NOT($R110="OK"),"",_EngineCycles!I110))</f>
        <v/>
      </c>
      <c r="J110" s="23" t="str">
        <f>IF(NOT(_EngineCycles!A110&lt;&gt;""),"",IF(NOT($R110="OK"),"",_EngineCycles!L110))</f>
        <v/>
      </c>
      <c r="K110" s="23" t="str">
        <f>IF(NOT(_EngineCycles!A110&lt;&gt;""),"",IF(NOT($R110="OK"),"",_EngineCycles!U110))</f>
        <v/>
      </c>
      <c r="L110" s="32" t="str">
        <f>IF(NOT(_EngineCycles!A110&lt;&gt;""),"",IF(NOT($R110="OK"),"",_EngineCycles!AE110))</f>
        <v/>
      </c>
      <c r="M110" s="23" t="str">
        <f>IF(NOT(_EngineCycles!A110&lt;&gt;""),"",IF(NOT($R110="OK"),"",_EngineCycles!O110))</f>
        <v/>
      </c>
      <c r="N110" s="32" t="str">
        <f>IF(NOT(_EngineCycles!A110&lt;&gt;""),"",IF(NOT($R110="OK"),"",IF(_EngineCycles!E110="Closed",_EngineCycles!O110,"")))</f>
        <v/>
      </c>
      <c r="O110" s="33" t="str">
        <f>IF(NOT(_EngineCycles!A110&lt;&gt;""),"",IF(NOT($R110="OK"),"",_EngineCycles!Y110))</f>
        <v/>
      </c>
      <c r="P110" s="23" t="str">
        <f>IF(NOT(_EngineCycles!A110&lt;&gt;""),"",IF(NOT($R110="OK"),"",_EngineCycles!S110))</f>
        <v/>
      </c>
      <c r="Q110" s="30" t="str">
        <f>IF(_EngineCycles!A110="","",IF($R110&lt;&gt;"OK","Review",IF(_EngineCycles!E110="Closed","Closed","Open")))</f>
        <v/>
      </c>
      <c r="R110" s="24" t="str">
        <f>IF(_EngineCycles!A110="","",IF(COUNTIFS(Trades!$B$9:$B$508,_EngineCycles!B110,Trades!$C$9:$C$508,"&lt;&gt;"&amp;$B110,Trades!$A$9:$A$508,"&lt;&gt;")&gt;0,"Ticker mismatch",IF(COUNTIFS(Trades!$B$9:$B$508,_EngineCycles!B110,Trades!$D$9:$D$508,"&lt;&gt;"&amp;$C110,Trades!$A$9:$A$508,"&lt;&gt;")&gt;0,"Currency mismatch",IF(COUNTIFS(Trades!$B$9:$B$508,_EngineCycles!B110,Trades!$S$9:$S$508,"&lt;&gt;OK",Trades!$A$9:$A$508,"&lt;&gt;")&gt;0,"Check trades","OK"))))</f>
        <v/>
      </c>
      <c r="S110" s="34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P$9:$P$508),0),"")))</f>
        <v/>
      </c>
      <c r="T110" s="31" t="str">
        <f>IF(NOT(_EngineCycles!A110&lt;&gt;""),"",IF(NOT($R110="OK"),"",_EngineCycles!W110))</f>
        <v/>
      </c>
      <c r="U110" s="22"/>
      <c r="V110" s="22"/>
      <c r="W110" s="22"/>
      <c r="X110" s="22"/>
      <c r="Y110" t="str">
        <f>IF(AND($C110=Overview!$P$2,$Q110="Open",$R110="OK"),COUNTIFS($C$9:$C110,Overview!$P$2,$Q$9:$Q110,"Open",$R$9:$R110,"OK"),"")</f>
        <v/>
      </c>
    </row>
    <row r="111" spans="1:25" ht="23.1" customHeight="1" x14ac:dyDescent="0.25">
      <c r="A111" s="18" t="str">
        <f>IF(_EngineCycles!A111="","",_EngineCycles!B111&amp;IF(_EngineCycles!C111&gt;1," / "&amp;_EngineCycles!C111,""))</f>
        <v/>
      </c>
      <c r="B111" s="18" t="str">
        <f>IF(_EngineCycles!A111="","",_EngineCycles!D111)</f>
        <v/>
      </c>
      <c r="C111" s="18" t="str">
        <f>IF(_EngineCycles!A111="","",IFERROR(INDEX(Trades!$D$9:$D$508,_EngineCycles!AG111-8),""))</f>
        <v/>
      </c>
      <c r="D111" s="25" t="str">
        <f>IF(_EngineCycles!A111="","",IF($R111&lt;&gt;"OK","Review",IF(_EngineCycles!E111="Closed","Closed",IF(_EngineCycles!P111&gt;0,IF(IFERROR(LOOKUP(2,1/((_EngineTrades!$AU$9:$AU$508=_EngineCycles!A111)),_EngineTrades!$AQ$9:$AQ$508),0)&gt;0,"Covered Call","Shares Held"),"Cash-Secured Put"))))</f>
        <v/>
      </c>
      <c r="E111" s="26" t="str">
        <f>IF(NOT(_EngineCycles!A111&lt;&gt;""),"",IF(NOT($R111="OK"),"",_EngineCycles!P111))</f>
        <v/>
      </c>
      <c r="F111" s="17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AH$9:$AH$508),0),"")))</f>
        <v/>
      </c>
      <c r="G111" s="17" t="str">
        <f>IF(NOT(_EngineCycles!A111&lt;&gt;""),"",IF(NOT($R111="OK"),"",_EngineCycles!Q111))</f>
        <v/>
      </c>
      <c r="H111" s="27" t="str">
        <f>IF(NOT(_EngineCycles!A111&lt;&gt;""),"",IF(NOT($R111="OK"),"",_EngineCycles!J111))</f>
        <v/>
      </c>
      <c r="I111" s="17" t="str">
        <f>IF(NOT(_EngineCycles!A111&lt;&gt;""),"",IF(NOT($R111="OK"),"",_EngineCycles!I111))</f>
        <v/>
      </c>
      <c r="J111" s="17" t="str">
        <f>IF(NOT(_EngineCycles!A111&lt;&gt;""),"",IF(NOT($R111="OK"),"",_EngineCycles!L111))</f>
        <v/>
      </c>
      <c r="K111" s="17" t="str">
        <f>IF(NOT(_EngineCycles!A111&lt;&gt;""),"",IF(NOT($R111="OK"),"",_EngineCycles!U111))</f>
        <v/>
      </c>
      <c r="L111" s="27" t="str">
        <f>IF(NOT(_EngineCycles!A111&lt;&gt;""),"",IF(NOT($R111="OK"),"",_EngineCycles!AE111))</f>
        <v/>
      </c>
      <c r="M111" s="17" t="str">
        <f>IF(NOT(_EngineCycles!A111&lt;&gt;""),"",IF(NOT($R111="OK"),"",_EngineCycles!O111))</f>
        <v/>
      </c>
      <c r="N111" s="27" t="str">
        <f>IF(NOT(_EngineCycles!A111&lt;&gt;""),"",IF(NOT($R111="OK"),"",IF(_EngineCycles!E111="Closed",_EngineCycles!O111,"")))</f>
        <v/>
      </c>
      <c r="O111" s="28" t="str">
        <f>IF(NOT(_EngineCycles!A111&lt;&gt;""),"",IF(NOT($R111="OK"),"",_EngineCycles!Y111))</f>
        <v/>
      </c>
      <c r="P111" s="17" t="str">
        <f>IF(NOT(_EngineCycles!A111&lt;&gt;""),"",IF(NOT($R111="OK"),"",_EngineCycles!S111))</f>
        <v/>
      </c>
      <c r="Q111" s="25" t="str">
        <f>IF(_EngineCycles!A111="","",IF($R111&lt;&gt;"OK","Review",IF(_EngineCycles!E111="Closed","Closed","Open")))</f>
        <v/>
      </c>
      <c r="R111" s="18" t="str">
        <f>IF(_EngineCycles!A111="","",IF(COUNTIFS(Trades!$B$9:$B$508,_EngineCycles!B111,Trades!$C$9:$C$508,"&lt;&gt;"&amp;$B111,Trades!$A$9:$A$508,"&lt;&gt;")&gt;0,"Ticker mismatch",IF(COUNTIFS(Trades!$B$9:$B$508,_EngineCycles!B111,Trades!$D$9:$D$508,"&lt;&gt;"&amp;$C111,Trades!$A$9:$A$508,"&lt;&gt;")&gt;0,"Currency mismatch",IF(COUNTIFS(Trades!$B$9:$B$508,_EngineCycles!B111,Trades!$S$9:$S$508,"&lt;&gt;OK",Trades!$A$9:$A$508,"&lt;&gt;")&gt;0,"Check trades","OK"))))</f>
        <v/>
      </c>
      <c r="S111" s="29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P$9:$P$508),0),"")))</f>
        <v/>
      </c>
      <c r="T111" s="26" t="str">
        <f>IF(NOT(_EngineCycles!A111&lt;&gt;""),"",IF(NOT($R111="OK"),"",_EngineCycles!W111))</f>
        <v/>
      </c>
      <c r="U111" s="16"/>
      <c r="V111" s="16"/>
      <c r="W111" s="16"/>
      <c r="X111" s="16"/>
      <c r="Y111" t="str">
        <f>IF(AND($C111=Overview!$P$2,$Q111="Open",$R111="OK"),COUNTIFS($C$9:$C111,Overview!$P$2,$Q$9:$Q111,"Open",$R$9:$R111,"OK"),"")</f>
        <v/>
      </c>
    </row>
    <row r="112" spans="1:25" ht="23.1" customHeight="1" x14ac:dyDescent="0.25">
      <c r="A112" s="24" t="str">
        <f>IF(_EngineCycles!A112="","",_EngineCycles!B112&amp;IF(_EngineCycles!C112&gt;1," / "&amp;_EngineCycles!C112,""))</f>
        <v/>
      </c>
      <c r="B112" s="24" t="str">
        <f>IF(_EngineCycles!A112="","",_EngineCycles!D112)</f>
        <v/>
      </c>
      <c r="C112" s="24" t="str">
        <f>IF(_EngineCycles!A112="","",IFERROR(INDEX(Trades!$D$9:$D$508,_EngineCycles!AG112-8),""))</f>
        <v/>
      </c>
      <c r="D112" s="30" t="str">
        <f>IF(_EngineCycles!A112="","",IF($R112&lt;&gt;"OK","Review",IF(_EngineCycles!E112="Closed","Closed",IF(_EngineCycles!P112&gt;0,IF(IFERROR(LOOKUP(2,1/((_EngineTrades!$AU$9:$AU$508=_EngineCycles!A112)),_EngineTrades!$AQ$9:$AQ$508),0)&gt;0,"Covered Call","Shares Held"),"Cash-Secured Put"))))</f>
        <v/>
      </c>
      <c r="E112" s="31" t="str">
        <f>IF(NOT(_EngineCycles!A112&lt;&gt;""),"",IF(NOT($R112="OK"),"",_EngineCycles!P112))</f>
        <v/>
      </c>
      <c r="F112" s="23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AH$9:$AH$508),0),"")))</f>
        <v/>
      </c>
      <c r="G112" s="23" t="str">
        <f>IF(NOT(_EngineCycles!A112&lt;&gt;""),"",IF(NOT($R112="OK"),"",_EngineCycles!Q112))</f>
        <v/>
      </c>
      <c r="H112" s="32" t="str">
        <f>IF(NOT(_EngineCycles!A112&lt;&gt;""),"",IF(NOT($R112="OK"),"",_EngineCycles!J112))</f>
        <v/>
      </c>
      <c r="I112" s="23" t="str">
        <f>IF(NOT(_EngineCycles!A112&lt;&gt;""),"",IF(NOT($R112="OK"),"",_EngineCycles!I112))</f>
        <v/>
      </c>
      <c r="J112" s="23" t="str">
        <f>IF(NOT(_EngineCycles!A112&lt;&gt;""),"",IF(NOT($R112="OK"),"",_EngineCycles!L112))</f>
        <v/>
      </c>
      <c r="K112" s="23" t="str">
        <f>IF(NOT(_EngineCycles!A112&lt;&gt;""),"",IF(NOT($R112="OK"),"",_EngineCycles!U112))</f>
        <v/>
      </c>
      <c r="L112" s="32" t="str">
        <f>IF(NOT(_EngineCycles!A112&lt;&gt;""),"",IF(NOT($R112="OK"),"",_EngineCycles!AE112))</f>
        <v/>
      </c>
      <c r="M112" s="23" t="str">
        <f>IF(NOT(_EngineCycles!A112&lt;&gt;""),"",IF(NOT($R112="OK"),"",_EngineCycles!O112))</f>
        <v/>
      </c>
      <c r="N112" s="32" t="str">
        <f>IF(NOT(_EngineCycles!A112&lt;&gt;""),"",IF(NOT($R112="OK"),"",IF(_EngineCycles!E112="Closed",_EngineCycles!O112,"")))</f>
        <v/>
      </c>
      <c r="O112" s="33" t="str">
        <f>IF(NOT(_EngineCycles!A112&lt;&gt;""),"",IF(NOT($R112="OK"),"",_EngineCycles!Y112))</f>
        <v/>
      </c>
      <c r="P112" s="23" t="str">
        <f>IF(NOT(_EngineCycles!A112&lt;&gt;""),"",IF(NOT($R112="OK"),"",_EngineCycles!S112))</f>
        <v/>
      </c>
      <c r="Q112" s="30" t="str">
        <f>IF(_EngineCycles!A112="","",IF($R112&lt;&gt;"OK","Review",IF(_EngineCycles!E112="Closed","Closed","Open")))</f>
        <v/>
      </c>
      <c r="R112" s="24" t="str">
        <f>IF(_EngineCycles!A112="","",IF(COUNTIFS(Trades!$B$9:$B$508,_EngineCycles!B112,Trades!$C$9:$C$508,"&lt;&gt;"&amp;$B112,Trades!$A$9:$A$508,"&lt;&gt;")&gt;0,"Ticker mismatch",IF(COUNTIFS(Trades!$B$9:$B$508,_EngineCycles!B112,Trades!$D$9:$D$508,"&lt;&gt;"&amp;$C112,Trades!$A$9:$A$508,"&lt;&gt;")&gt;0,"Currency mismatch",IF(COUNTIFS(Trades!$B$9:$B$508,_EngineCycles!B112,Trades!$S$9:$S$508,"&lt;&gt;OK",Trades!$A$9:$A$508,"&lt;&gt;")&gt;0,"Check trades","OK"))))</f>
        <v/>
      </c>
      <c r="S112" s="34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P$9:$P$508),0),"")))</f>
        <v/>
      </c>
      <c r="T112" s="31" t="str">
        <f>IF(NOT(_EngineCycles!A112&lt;&gt;""),"",IF(NOT($R112="OK"),"",_EngineCycles!W112))</f>
        <v/>
      </c>
      <c r="U112" s="22"/>
      <c r="V112" s="22"/>
      <c r="W112" s="22"/>
      <c r="X112" s="22"/>
      <c r="Y112" t="str">
        <f>IF(AND($C112=Overview!$P$2,$Q112="Open",$R112="OK"),COUNTIFS($C$9:$C112,Overview!$P$2,$Q$9:$Q112,"Open",$R$9:$R112,"OK"),"")</f>
        <v/>
      </c>
    </row>
    <row r="113" spans="1:25" ht="23.1" customHeight="1" x14ac:dyDescent="0.25">
      <c r="A113" s="18" t="str">
        <f>IF(_EngineCycles!A113="","",_EngineCycles!B113&amp;IF(_EngineCycles!C113&gt;1," / "&amp;_EngineCycles!C113,""))</f>
        <v/>
      </c>
      <c r="B113" s="18" t="str">
        <f>IF(_EngineCycles!A113="","",_EngineCycles!D113)</f>
        <v/>
      </c>
      <c r="C113" s="18" t="str">
        <f>IF(_EngineCycles!A113="","",IFERROR(INDEX(Trades!$D$9:$D$508,_EngineCycles!AG113-8),""))</f>
        <v/>
      </c>
      <c r="D113" s="25" t="str">
        <f>IF(_EngineCycles!A113="","",IF($R113&lt;&gt;"OK","Review",IF(_EngineCycles!E113="Closed","Closed",IF(_EngineCycles!P113&gt;0,IF(IFERROR(LOOKUP(2,1/((_EngineTrades!$AU$9:$AU$508=_EngineCycles!A113)),_EngineTrades!$AQ$9:$AQ$508),0)&gt;0,"Covered Call","Shares Held"),"Cash-Secured Put"))))</f>
        <v/>
      </c>
      <c r="E113" s="26" t="str">
        <f>IF(NOT(_EngineCycles!A113&lt;&gt;""),"",IF(NOT($R113="OK"),"",_EngineCycles!P113))</f>
        <v/>
      </c>
      <c r="F113" s="17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AH$9:$AH$508),0),"")))</f>
        <v/>
      </c>
      <c r="G113" s="17" t="str">
        <f>IF(NOT(_EngineCycles!A113&lt;&gt;""),"",IF(NOT($R113="OK"),"",_EngineCycles!Q113))</f>
        <v/>
      </c>
      <c r="H113" s="27" t="str">
        <f>IF(NOT(_EngineCycles!A113&lt;&gt;""),"",IF(NOT($R113="OK"),"",_EngineCycles!J113))</f>
        <v/>
      </c>
      <c r="I113" s="17" t="str">
        <f>IF(NOT(_EngineCycles!A113&lt;&gt;""),"",IF(NOT($R113="OK"),"",_EngineCycles!I113))</f>
        <v/>
      </c>
      <c r="J113" s="17" t="str">
        <f>IF(NOT(_EngineCycles!A113&lt;&gt;""),"",IF(NOT($R113="OK"),"",_EngineCycles!L113))</f>
        <v/>
      </c>
      <c r="K113" s="17" t="str">
        <f>IF(NOT(_EngineCycles!A113&lt;&gt;""),"",IF(NOT($R113="OK"),"",_EngineCycles!U113))</f>
        <v/>
      </c>
      <c r="L113" s="27" t="str">
        <f>IF(NOT(_EngineCycles!A113&lt;&gt;""),"",IF(NOT($R113="OK"),"",_EngineCycles!AE113))</f>
        <v/>
      </c>
      <c r="M113" s="17" t="str">
        <f>IF(NOT(_EngineCycles!A113&lt;&gt;""),"",IF(NOT($R113="OK"),"",_EngineCycles!O113))</f>
        <v/>
      </c>
      <c r="N113" s="27" t="str">
        <f>IF(NOT(_EngineCycles!A113&lt;&gt;""),"",IF(NOT($R113="OK"),"",IF(_EngineCycles!E113="Closed",_EngineCycles!O113,"")))</f>
        <v/>
      </c>
      <c r="O113" s="28" t="str">
        <f>IF(NOT(_EngineCycles!A113&lt;&gt;""),"",IF(NOT($R113="OK"),"",_EngineCycles!Y113))</f>
        <v/>
      </c>
      <c r="P113" s="17" t="str">
        <f>IF(NOT(_EngineCycles!A113&lt;&gt;""),"",IF(NOT($R113="OK"),"",_EngineCycles!S113))</f>
        <v/>
      </c>
      <c r="Q113" s="25" t="str">
        <f>IF(_EngineCycles!A113="","",IF($R113&lt;&gt;"OK","Review",IF(_EngineCycles!E113="Closed","Closed","Open")))</f>
        <v/>
      </c>
      <c r="R113" s="18" t="str">
        <f>IF(_EngineCycles!A113="","",IF(COUNTIFS(Trades!$B$9:$B$508,_EngineCycles!B113,Trades!$C$9:$C$508,"&lt;&gt;"&amp;$B113,Trades!$A$9:$A$508,"&lt;&gt;")&gt;0,"Ticker mismatch",IF(COUNTIFS(Trades!$B$9:$B$508,_EngineCycles!B113,Trades!$D$9:$D$508,"&lt;&gt;"&amp;$C113,Trades!$A$9:$A$508,"&lt;&gt;")&gt;0,"Currency mismatch",IF(COUNTIFS(Trades!$B$9:$B$508,_EngineCycles!B113,Trades!$S$9:$S$508,"&lt;&gt;OK",Trades!$A$9:$A$508,"&lt;&gt;")&gt;0,"Check trades","OK"))))</f>
        <v/>
      </c>
      <c r="S113" s="29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P$9:$P$508),0),"")))</f>
        <v/>
      </c>
      <c r="T113" s="26" t="str">
        <f>IF(NOT(_EngineCycles!A113&lt;&gt;""),"",IF(NOT($R113="OK"),"",_EngineCycles!W113))</f>
        <v/>
      </c>
      <c r="U113" s="16"/>
      <c r="V113" s="16"/>
      <c r="W113" s="16"/>
      <c r="X113" s="16"/>
      <c r="Y113" t="str">
        <f>IF(AND($C113=Overview!$P$2,$Q113="Open",$R113="OK"),COUNTIFS($C$9:$C113,Overview!$P$2,$Q$9:$Q113,"Open",$R$9:$R113,"OK"),"")</f>
        <v/>
      </c>
    </row>
    <row r="114" spans="1:25" ht="23.1" customHeight="1" x14ac:dyDescent="0.25">
      <c r="A114" s="24" t="str">
        <f>IF(_EngineCycles!A114="","",_EngineCycles!B114&amp;IF(_EngineCycles!C114&gt;1," / "&amp;_EngineCycles!C114,""))</f>
        <v/>
      </c>
      <c r="B114" s="24" t="str">
        <f>IF(_EngineCycles!A114="","",_EngineCycles!D114)</f>
        <v/>
      </c>
      <c r="C114" s="24" t="str">
        <f>IF(_EngineCycles!A114="","",IFERROR(INDEX(Trades!$D$9:$D$508,_EngineCycles!AG114-8),""))</f>
        <v/>
      </c>
      <c r="D114" s="30" t="str">
        <f>IF(_EngineCycles!A114="","",IF($R114&lt;&gt;"OK","Review",IF(_EngineCycles!E114="Closed","Closed",IF(_EngineCycles!P114&gt;0,IF(IFERROR(LOOKUP(2,1/((_EngineTrades!$AU$9:$AU$508=_EngineCycles!A114)),_EngineTrades!$AQ$9:$AQ$508),0)&gt;0,"Covered Call","Shares Held"),"Cash-Secured Put"))))</f>
        <v/>
      </c>
      <c r="E114" s="31" t="str">
        <f>IF(NOT(_EngineCycles!A114&lt;&gt;""),"",IF(NOT($R114="OK"),"",_EngineCycles!P114))</f>
        <v/>
      </c>
      <c r="F114" s="23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AH$9:$AH$508),0),"")))</f>
        <v/>
      </c>
      <c r="G114" s="23" t="str">
        <f>IF(NOT(_EngineCycles!A114&lt;&gt;""),"",IF(NOT($R114="OK"),"",_EngineCycles!Q114))</f>
        <v/>
      </c>
      <c r="H114" s="32" t="str">
        <f>IF(NOT(_EngineCycles!A114&lt;&gt;""),"",IF(NOT($R114="OK"),"",_EngineCycles!J114))</f>
        <v/>
      </c>
      <c r="I114" s="23" t="str">
        <f>IF(NOT(_EngineCycles!A114&lt;&gt;""),"",IF(NOT($R114="OK"),"",_EngineCycles!I114))</f>
        <v/>
      </c>
      <c r="J114" s="23" t="str">
        <f>IF(NOT(_EngineCycles!A114&lt;&gt;""),"",IF(NOT($R114="OK"),"",_EngineCycles!L114))</f>
        <v/>
      </c>
      <c r="K114" s="23" t="str">
        <f>IF(NOT(_EngineCycles!A114&lt;&gt;""),"",IF(NOT($R114="OK"),"",_EngineCycles!U114))</f>
        <v/>
      </c>
      <c r="L114" s="32" t="str">
        <f>IF(NOT(_EngineCycles!A114&lt;&gt;""),"",IF(NOT($R114="OK"),"",_EngineCycles!AE114))</f>
        <v/>
      </c>
      <c r="M114" s="23" t="str">
        <f>IF(NOT(_EngineCycles!A114&lt;&gt;""),"",IF(NOT($R114="OK"),"",_EngineCycles!O114))</f>
        <v/>
      </c>
      <c r="N114" s="32" t="str">
        <f>IF(NOT(_EngineCycles!A114&lt;&gt;""),"",IF(NOT($R114="OK"),"",IF(_EngineCycles!E114="Closed",_EngineCycles!O114,"")))</f>
        <v/>
      </c>
      <c r="O114" s="33" t="str">
        <f>IF(NOT(_EngineCycles!A114&lt;&gt;""),"",IF(NOT($R114="OK"),"",_EngineCycles!Y114))</f>
        <v/>
      </c>
      <c r="P114" s="23" t="str">
        <f>IF(NOT(_EngineCycles!A114&lt;&gt;""),"",IF(NOT($R114="OK"),"",_EngineCycles!S114))</f>
        <v/>
      </c>
      <c r="Q114" s="30" t="str">
        <f>IF(_EngineCycles!A114="","",IF($R114&lt;&gt;"OK","Review",IF(_EngineCycles!E114="Closed","Closed","Open")))</f>
        <v/>
      </c>
      <c r="R114" s="24" t="str">
        <f>IF(_EngineCycles!A114="","",IF(COUNTIFS(Trades!$B$9:$B$508,_EngineCycles!B114,Trades!$C$9:$C$508,"&lt;&gt;"&amp;$B114,Trades!$A$9:$A$508,"&lt;&gt;")&gt;0,"Ticker mismatch",IF(COUNTIFS(Trades!$B$9:$B$508,_EngineCycles!B114,Trades!$D$9:$D$508,"&lt;&gt;"&amp;$C114,Trades!$A$9:$A$508,"&lt;&gt;")&gt;0,"Currency mismatch",IF(COUNTIFS(Trades!$B$9:$B$508,_EngineCycles!B114,Trades!$S$9:$S$508,"&lt;&gt;OK",Trades!$A$9:$A$508,"&lt;&gt;")&gt;0,"Check trades","OK"))))</f>
        <v/>
      </c>
      <c r="S114" s="34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P$9:$P$508),0),"")))</f>
        <v/>
      </c>
      <c r="T114" s="31" t="str">
        <f>IF(NOT(_EngineCycles!A114&lt;&gt;""),"",IF(NOT($R114="OK"),"",_EngineCycles!W114))</f>
        <v/>
      </c>
      <c r="U114" s="22"/>
      <c r="V114" s="22"/>
      <c r="W114" s="22"/>
      <c r="X114" s="22"/>
      <c r="Y114" t="str">
        <f>IF(AND($C114=Overview!$P$2,$Q114="Open",$R114="OK"),COUNTIFS($C$9:$C114,Overview!$P$2,$Q$9:$Q114,"Open",$R$9:$R114,"OK"),"")</f>
        <v/>
      </c>
    </row>
    <row r="115" spans="1:25" ht="23.1" customHeight="1" x14ac:dyDescent="0.25">
      <c r="A115" s="18" t="str">
        <f>IF(_EngineCycles!A115="","",_EngineCycles!B115&amp;IF(_EngineCycles!C115&gt;1," / "&amp;_EngineCycles!C115,""))</f>
        <v/>
      </c>
      <c r="B115" s="18" t="str">
        <f>IF(_EngineCycles!A115="","",_EngineCycles!D115)</f>
        <v/>
      </c>
      <c r="C115" s="18" t="str">
        <f>IF(_EngineCycles!A115="","",IFERROR(INDEX(Trades!$D$9:$D$508,_EngineCycles!AG115-8),""))</f>
        <v/>
      </c>
      <c r="D115" s="25" t="str">
        <f>IF(_EngineCycles!A115="","",IF($R115&lt;&gt;"OK","Review",IF(_EngineCycles!E115="Closed","Closed",IF(_EngineCycles!P115&gt;0,IF(IFERROR(LOOKUP(2,1/((_EngineTrades!$AU$9:$AU$508=_EngineCycles!A115)),_EngineTrades!$AQ$9:$AQ$508),0)&gt;0,"Covered Call","Shares Held"),"Cash-Secured Put"))))</f>
        <v/>
      </c>
      <c r="E115" s="26" t="str">
        <f>IF(NOT(_EngineCycles!A115&lt;&gt;""),"",IF(NOT($R115="OK"),"",_EngineCycles!P115))</f>
        <v/>
      </c>
      <c r="F115" s="17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AH$9:$AH$508),0),"")))</f>
        <v/>
      </c>
      <c r="G115" s="17" t="str">
        <f>IF(NOT(_EngineCycles!A115&lt;&gt;""),"",IF(NOT($R115="OK"),"",_EngineCycles!Q115))</f>
        <v/>
      </c>
      <c r="H115" s="27" t="str">
        <f>IF(NOT(_EngineCycles!A115&lt;&gt;""),"",IF(NOT($R115="OK"),"",_EngineCycles!J115))</f>
        <v/>
      </c>
      <c r="I115" s="17" t="str">
        <f>IF(NOT(_EngineCycles!A115&lt;&gt;""),"",IF(NOT($R115="OK"),"",_EngineCycles!I115))</f>
        <v/>
      </c>
      <c r="J115" s="17" t="str">
        <f>IF(NOT(_EngineCycles!A115&lt;&gt;""),"",IF(NOT($R115="OK"),"",_EngineCycles!L115))</f>
        <v/>
      </c>
      <c r="K115" s="17" t="str">
        <f>IF(NOT(_EngineCycles!A115&lt;&gt;""),"",IF(NOT($R115="OK"),"",_EngineCycles!U115))</f>
        <v/>
      </c>
      <c r="L115" s="27" t="str">
        <f>IF(NOT(_EngineCycles!A115&lt;&gt;""),"",IF(NOT($R115="OK"),"",_EngineCycles!AE115))</f>
        <v/>
      </c>
      <c r="M115" s="17" t="str">
        <f>IF(NOT(_EngineCycles!A115&lt;&gt;""),"",IF(NOT($R115="OK"),"",_EngineCycles!O115))</f>
        <v/>
      </c>
      <c r="N115" s="27" t="str">
        <f>IF(NOT(_EngineCycles!A115&lt;&gt;""),"",IF(NOT($R115="OK"),"",IF(_EngineCycles!E115="Closed",_EngineCycles!O115,"")))</f>
        <v/>
      </c>
      <c r="O115" s="28" t="str">
        <f>IF(NOT(_EngineCycles!A115&lt;&gt;""),"",IF(NOT($R115="OK"),"",_EngineCycles!Y115))</f>
        <v/>
      </c>
      <c r="P115" s="17" t="str">
        <f>IF(NOT(_EngineCycles!A115&lt;&gt;""),"",IF(NOT($R115="OK"),"",_EngineCycles!S115))</f>
        <v/>
      </c>
      <c r="Q115" s="25" t="str">
        <f>IF(_EngineCycles!A115="","",IF($R115&lt;&gt;"OK","Review",IF(_EngineCycles!E115="Closed","Closed","Open")))</f>
        <v/>
      </c>
      <c r="R115" s="18" t="str">
        <f>IF(_EngineCycles!A115="","",IF(COUNTIFS(Trades!$B$9:$B$508,_EngineCycles!B115,Trades!$C$9:$C$508,"&lt;&gt;"&amp;$B115,Trades!$A$9:$A$508,"&lt;&gt;")&gt;0,"Ticker mismatch",IF(COUNTIFS(Trades!$B$9:$B$508,_EngineCycles!B115,Trades!$D$9:$D$508,"&lt;&gt;"&amp;$C115,Trades!$A$9:$A$508,"&lt;&gt;")&gt;0,"Currency mismatch",IF(COUNTIFS(Trades!$B$9:$B$508,_EngineCycles!B115,Trades!$S$9:$S$508,"&lt;&gt;OK",Trades!$A$9:$A$508,"&lt;&gt;")&gt;0,"Check trades","OK"))))</f>
        <v/>
      </c>
      <c r="S115" s="29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P$9:$P$508),0),"")))</f>
        <v/>
      </c>
      <c r="T115" s="26" t="str">
        <f>IF(NOT(_EngineCycles!A115&lt;&gt;""),"",IF(NOT($R115="OK"),"",_EngineCycles!W115))</f>
        <v/>
      </c>
      <c r="U115" s="16"/>
      <c r="V115" s="16"/>
      <c r="W115" s="16"/>
      <c r="X115" s="16"/>
      <c r="Y115" t="str">
        <f>IF(AND($C115=Overview!$P$2,$Q115="Open",$R115="OK"),COUNTIFS($C$9:$C115,Overview!$P$2,$Q$9:$Q115,"Open",$R$9:$R115,"OK"),"")</f>
        <v/>
      </c>
    </row>
    <row r="116" spans="1:25" ht="23.1" customHeight="1" x14ac:dyDescent="0.25">
      <c r="A116" s="24" t="str">
        <f>IF(_EngineCycles!A116="","",_EngineCycles!B116&amp;IF(_EngineCycles!C116&gt;1," / "&amp;_EngineCycles!C116,""))</f>
        <v/>
      </c>
      <c r="B116" s="24" t="str">
        <f>IF(_EngineCycles!A116="","",_EngineCycles!D116)</f>
        <v/>
      </c>
      <c r="C116" s="24" t="str">
        <f>IF(_EngineCycles!A116="","",IFERROR(INDEX(Trades!$D$9:$D$508,_EngineCycles!AG116-8),""))</f>
        <v/>
      </c>
      <c r="D116" s="30" t="str">
        <f>IF(_EngineCycles!A116="","",IF($R116&lt;&gt;"OK","Review",IF(_EngineCycles!E116="Closed","Closed",IF(_EngineCycles!P116&gt;0,IF(IFERROR(LOOKUP(2,1/((_EngineTrades!$AU$9:$AU$508=_EngineCycles!A116)),_EngineTrades!$AQ$9:$AQ$508),0)&gt;0,"Covered Call","Shares Held"),"Cash-Secured Put"))))</f>
        <v/>
      </c>
      <c r="E116" s="31" t="str">
        <f>IF(NOT(_EngineCycles!A116&lt;&gt;""),"",IF(NOT($R116="OK"),"",_EngineCycles!P116))</f>
        <v/>
      </c>
      <c r="F116" s="23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AH$9:$AH$508),0),"")))</f>
        <v/>
      </c>
      <c r="G116" s="23" t="str">
        <f>IF(NOT(_EngineCycles!A116&lt;&gt;""),"",IF(NOT($R116="OK"),"",_EngineCycles!Q116))</f>
        <v/>
      </c>
      <c r="H116" s="32" t="str">
        <f>IF(NOT(_EngineCycles!A116&lt;&gt;""),"",IF(NOT($R116="OK"),"",_EngineCycles!J116))</f>
        <v/>
      </c>
      <c r="I116" s="23" t="str">
        <f>IF(NOT(_EngineCycles!A116&lt;&gt;""),"",IF(NOT($R116="OK"),"",_EngineCycles!I116))</f>
        <v/>
      </c>
      <c r="J116" s="23" t="str">
        <f>IF(NOT(_EngineCycles!A116&lt;&gt;""),"",IF(NOT($R116="OK"),"",_EngineCycles!L116))</f>
        <v/>
      </c>
      <c r="K116" s="23" t="str">
        <f>IF(NOT(_EngineCycles!A116&lt;&gt;""),"",IF(NOT($R116="OK"),"",_EngineCycles!U116))</f>
        <v/>
      </c>
      <c r="L116" s="32" t="str">
        <f>IF(NOT(_EngineCycles!A116&lt;&gt;""),"",IF(NOT($R116="OK"),"",_EngineCycles!AE116))</f>
        <v/>
      </c>
      <c r="M116" s="23" t="str">
        <f>IF(NOT(_EngineCycles!A116&lt;&gt;""),"",IF(NOT($R116="OK"),"",_EngineCycles!O116))</f>
        <v/>
      </c>
      <c r="N116" s="32" t="str">
        <f>IF(NOT(_EngineCycles!A116&lt;&gt;""),"",IF(NOT($R116="OK"),"",IF(_EngineCycles!E116="Closed",_EngineCycles!O116,"")))</f>
        <v/>
      </c>
      <c r="O116" s="33" t="str">
        <f>IF(NOT(_EngineCycles!A116&lt;&gt;""),"",IF(NOT($R116="OK"),"",_EngineCycles!Y116))</f>
        <v/>
      </c>
      <c r="P116" s="23" t="str">
        <f>IF(NOT(_EngineCycles!A116&lt;&gt;""),"",IF(NOT($R116="OK"),"",_EngineCycles!S116))</f>
        <v/>
      </c>
      <c r="Q116" s="30" t="str">
        <f>IF(_EngineCycles!A116="","",IF($R116&lt;&gt;"OK","Review",IF(_EngineCycles!E116="Closed","Closed","Open")))</f>
        <v/>
      </c>
      <c r="R116" s="24" t="str">
        <f>IF(_EngineCycles!A116="","",IF(COUNTIFS(Trades!$B$9:$B$508,_EngineCycles!B116,Trades!$C$9:$C$508,"&lt;&gt;"&amp;$B116,Trades!$A$9:$A$508,"&lt;&gt;")&gt;0,"Ticker mismatch",IF(COUNTIFS(Trades!$B$9:$B$508,_EngineCycles!B116,Trades!$D$9:$D$508,"&lt;&gt;"&amp;$C116,Trades!$A$9:$A$508,"&lt;&gt;")&gt;0,"Currency mismatch",IF(COUNTIFS(Trades!$B$9:$B$508,_EngineCycles!B116,Trades!$S$9:$S$508,"&lt;&gt;OK",Trades!$A$9:$A$508,"&lt;&gt;")&gt;0,"Check trades","OK"))))</f>
        <v/>
      </c>
      <c r="S116" s="34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P$9:$P$508),0),"")))</f>
        <v/>
      </c>
      <c r="T116" s="31" t="str">
        <f>IF(NOT(_EngineCycles!A116&lt;&gt;""),"",IF(NOT($R116="OK"),"",_EngineCycles!W116))</f>
        <v/>
      </c>
      <c r="U116" s="22"/>
      <c r="V116" s="22"/>
      <c r="W116" s="22"/>
      <c r="X116" s="22"/>
      <c r="Y116" t="str">
        <f>IF(AND($C116=Overview!$P$2,$Q116="Open",$R116="OK"),COUNTIFS($C$9:$C116,Overview!$P$2,$Q$9:$Q116,"Open",$R$9:$R116,"OK"),"")</f>
        <v/>
      </c>
    </row>
    <row r="117" spans="1:25" ht="23.1" customHeight="1" x14ac:dyDescent="0.25">
      <c r="A117" s="18" t="str">
        <f>IF(_EngineCycles!A117="","",_EngineCycles!B117&amp;IF(_EngineCycles!C117&gt;1," / "&amp;_EngineCycles!C117,""))</f>
        <v/>
      </c>
      <c r="B117" s="18" t="str">
        <f>IF(_EngineCycles!A117="","",_EngineCycles!D117)</f>
        <v/>
      </c>
      <c r="C117" s="18" t="str">
        <f>IF(_EngineCycles!A117="","",IFERROR(INDEX(Trades!$D$9:$D$508,_EngineCycles!AG117-8),""))</f>
        <v/>
      </c>
      <c r="D117" s="25" t="str">
        <f>IF(_EngineCycles!A117="","",IF($R117&lt;&gt;"OK","Review",IF(_EngineCycles!E117="Closed","Closed",IF(_EngineCycles!P117&gt;0,IF(IFERROR(LOOKUP(2,1/((_EngineTrades!$AU$9:$AU$508=_EngineCycles!A117)),_EngineTrades!$AQ$9:$AQ$508),0)&gt;0,"Covered Call","Shares Held"),"Cash-Secured Put"))))</f>
        <v/>
      </c>
      <c r="E117" s="26" t="str">
        <f>IF(NOT(_EngineCycles!A117&lt;&gt;""),"",IF(NOT($R117="OK"),"",_EngineCycles!P117))</f>
        <v/>
      </c>
      <c r="F117" s="17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AH$9:$AH$508),0),"")))</f>
        <v/>
      </c>
      <c r="G117" s="17" t="str">
        <f>IF(NOT(_EngineCycles!A117&lt;&gt;""),"",IF(NOT($R117="OK"),"",_EngineCycles!Q117))</f>
        <v/>
      </c>
      <c r="H117" s="27" t="str">
        <f>IF(NOT(_EngineCycles!A117&lt;&gt;""),"",IF(NOT($R117="OK"),"",_EngineCycles!J117))</f>
        <v/>
      </c>
      <c r="I117" s="17" t="str">
        <f>IF(NOT(_EngineCycles!A117&lt;&gt;""),"",IF(NOT($R117="OK"),"",_EngineCycles!I117))</f>
        <v/>
      </c>
      <c r="J117" s="17" t="str">
        <f>IF(NOT(_EngineCycles!A117&lt;&gt;""),"",IF(NOT($R117="OK"),"",_EngineCycles!L117))</f>
        <v/>
      </c>
      <c r="K117" s="17" t="str">
        <f>IF(NOT(_EngineCycles!A117&lt;&gt;""),"",IF(NOT($R117="OK"),"",_EngineCycles!U117))</f>
        <v/>
      </c>
      <c r="L117" s="27" t="str">
        <f>IF(NOT(_EngineCycles!A117&lt;&gt;""),"",IF(NOT($R117="OK"),"",_EngineCycles!AE117))</f>
        <v/>
      </c>
      <c r="M117" s="17" t="str">
        <f>IF(NOT(_EngineCycles!A117&lt;&gt;""),"",IF(NOT($R117="OK"),"",_EngineCycles!O117))</f>
        <v/>
      </c>
      <c r="N117" s="27" t="str">
        <f>IF(NOT(_EngineCycles!A117&lt;&gt;""),"",IF(NOT($R117="OK"),"",IF(_EngineCycles!E117="Closed",_EngineCycles!O117,"")))</f>
        <v/>
      </c>
      <c r="O117" s="28" t="str">
        <f>IF(NOT(_EngineCycles!A117&lt;&gt;""),"",IF(NOT($R117="OK"),"",_EngineCycles!Y117))</f>
        <v/>
      </c>
      <c r="P117" s="17" t="str">
        <f>IF(NOT(_EngineCycles!A117&lt;&gt;""),"",IF(NOT($R117="OK"),"",_EngineCycles!S117))</f>
        <v/>
      </c>
      <c r="Q117" s="25" t="str">
        <f>IF(_EngineCycles!A117="","",IF($R117&lt;&gt;"OK","Review",IF(_EngineCycles!E117="Closed","Closed","Open")))</f>
        <v/>
      </c>
      <c r="R117" s="18" t="str">
        <f>IF(_EngineCycles!A117="","",IF(COUNTIFS(Trades!$B$9:$B$508,_EngineCycles!B117,Trades!$C$9:$C$508,"&lt;&gt;"&amp;$B117,Trades!$A$9:$A$508,"&lt;&gt;")&gt;0,"Ticker mismatch",IF(COUNTIFS(Trades!$B$9:$B$508,_EngineCycles!B117,Trades!$D$9:$D$508,"&lt;&gt;"&amp;$C117,Trades!$A$9:$A$508,"&lt;&gt;")&gt;0,"Currency mismatch",IF(COUNTIFS(Trades!$B$9:$B$508,_EngineCycles!B117,Trades!$S$9:$S$508,"&lt;&gt;OK",Trades!$A$9:$A$508,"&lt;&gt;")&gt;0,"Check trades","OK"))))</f>
        <v/>
      </c>
      <c r="S117" s="29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P$9:$P$508),0),"")))</f>
        <v/>
      </c>
      <c r="T117" s="26" t="str">
        <f>IF(NOT(_EngineCycles!A117&lt;&gt;""),"",IF(NOT($R117="OK"),"",_EngineCycles!W117))</f>
        <v/>
      </c>
      <c r="U117" s="16"/>
      <c r="V117" s="16"/>
      <c r="W117" s="16"/>
      <c r="X117" s="16"/>
      <c r="Y117" t="str">
        <f>IF(AND($C117=Overview!$P$2,$Q117="Open",$R117="OK"),COUNTIFS($C$9:$C117,Overview!$P$2,$Q$9:$Q117,"Open",$R$9:$R117,"OK"),"")</f>
        <v/>
      </c>
    </row>
    <row r="118" spans="1:25" ht="23.1" customHeight="1" x14ac:dyDescent="0.25">
      <c r="A118" s="24" t="str">
        <f>IF(_EngineCycles!A118="","",_EngineCycles!B118&amp;IF(_EngineCycles!C118&gt;1," / "&amp;_EngineCycles!C118,""))</f>
        <v/>
      </c>
      <c r="B118" s="24" t="str">
        <f>IF(_EngineCycles!A118="","",_EngineCycles!D118)</f>
        <v/>
      </c>
      <c r="C118" s="24" t="str">
        <f>IF(_EngineCycles!A118="","",IFERROR(INDEX(Trades!$D$9:$D$508,_EngineCycles!AG118-8),""))</f>
        <v/>
      </c>
      <c r="D118" s="30" t="str">
        <f>IF(_EngineCycles!A118="","",IF($R118&lt;&gt;"OK","Review",IF(_EngineCycles!E118="Closed","Closed",IF(_EngineCycles!P118&gt;0,IF(IFERROR(LOOKUP(2,1/((_EngineTrades!$AU$9:$AU$508=_EngineCycles!A118)),_EngineTrades!$AQ$9:$AQ$508),0)&gt;0,"Covered Call","Shares Held"),"Cash-Secured Put"))))</f>
        <v/>
      </c>
      <c r="E118" s="31" t="str">
        <f>IF(NOT(_EngineCycles!A118&lt;&gt;""),"",IF(NOT($R118="OK"),"",_EngineCycles!P118))</f>
        <v/>
      </c>
      <c r="F118" s="23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AH$9:$AH$508),0),"")))</f>
        <v/>
      </c>
      <c r="G118" s="23" t="str">
        <f>IF(NOT(_EngineCycles!A118&lt;&gt;""),"",IF(NOT($R118="OK"),"",_EngineCycles!Q118))</f>
        <v/>
      </c>
      <c r="H118" s="32" t="str">
        <f>IF(NOT(_EngineCycles!A118&lt;&gt;""),"",IF(NOT($R118="OK"),"",_EngineCycles!J118))</f>
        <v/>
      </c>
      <c r="I118" s="23" t="str">
        <f>IF(NOT(_EngineCycles!A118&lt;&gt;""),"",IF(NOT($R118="OK"),"",_EngineCycles!I118))</f>
        <v/>
      </c>
      <c r="J118" s="23" t="str">
        <f>IF(NOT(_EngineCycles!A118&lt;&gt;""),"",IF(NOT($R118="OK"),"",_EngineCycles!L118))</f>
        <v/>
      </c>
      <c r="K118" s="23" t="str">
        <f>IF(NOT(_EngineCycles!A118&lt;&gt;""),"",IF(NOT($R118="OK"),"",_EngineCycles!U118))</f>
        <v/>
      </c>
      <c r="L118" s="32" t="str">
        <f>IF(NOT(_EngineCycles!A118&lt;&gt;""),"",IF(NOT($R118="OK"),"",_EngineCycles!AE118))</f>
        <v/>
      </c>
      <c r="M118" s="23" t="str">
        <f>IF(NOT(_EngineCycles!A118&lt;&gt;""),"",IF(NOT($R118="OK"),"",_EngineCycles!O118))</f>
        <v/>
      </c>
      <c r="N118" s="32" t="str">
        <f>IF(NOT(_EngineCycles!A118&lt;&gt;""),"",IF(NOT($R118="OK"),"",IF(_EngineCycles!E118="Closed",_EngineCycles!O118,"")))</f>
        <v/>
      </c>
      <c r="O118" s="33" t="str">
        <f>IF(NOT(_EngineCycles!A118&lt;&gt;""),"",IF(NOT($R118="OK"),"",_EngineCycles!Y118))</f>
        <v/>
      </c>
      <c r="P118" s="23" t="str">
        <f>IF(NOT(_EngineCycles!A118&lt;&gt;""),"",IF(NOT($R118="OK"),"",_EngineCycles!S118))</f>
        <v/>
      </c>
      <c r="Q118" s="30" t="str">
        <f>IF(_EngineCycles!A118="","",IF($R118&lt;&gt;"OK","Review",IF(_EngineCycles!E118="Closed","Closed","Open")))</f>
        <v/>
      </c>
      <c r="R118" s="24" t="str">
        <f>IF(_EngineCycles!A118="","",IF(COUNTIFS(Trades!$B$9:$B$508,_EngineCycles!B118,Trades!$C$9:$C$508,"&lt;&gt;"&amp;$B118,Trades!$A$9:$A$508,"&lt;&gt;")&gt;0,"Ticker mismatch",IF(COUNTIFS(Trades!$B$9:$B$508,_EngineCycles!B118,Trades!$D$9:$D$508,"&lt;&gt;"&amp;$C118,Trades!$A$9:$A$508,"&lt;&gt;")&gt;0,"Currency mismatch",IF(COUNTIFS(Trades!$B$9:$B$508,_EngineCycles!B118,Trades!$S$9:$S$508,"&lt;&gt;OK",Trades!$A$9:$A$508,"&lt;&gt;")&gt;0,"Check trades","OK"))))</f>
        <v/>
      </c>
      <c r="S118" s="34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P$9:$P$508),0),"")))</f>
        <v/>
      </c>
      <c r="T118" s="31" t="str">
        <f>IF(NOT(_EngineCycles!A118&lt;&gt;""),"",IF(NOT($R118="OK"),"",_EngineCycles!W118))</f>
        <v/>
      </c>
      <c r="U118" s="22"/>
      <c r="V118" s="22"/>
      <c r="W118" s="22"/>
      <c r="X118" s="22"/>
      <c r="Y118" t="str">
        <f>IF(AND($C118=Overview!$P$2,$Q118="Open",$R118="OK"),COUNTIFS($C$9:$C118,Overview!$P$2,$Q$9:$Q118,"Open",$R$9:$R118,"OK"),"")</f>
        <v/>
      </c>
    </row>
    <row r="119" spans="1:25" ht="23.1" customHeight="1" x14ac:dyDescent="0.25">
      <c r="A119" s="18" t="str">
        <f>IF(_EngineCycles!A119="","",_EngineCycles!B119&amp;IF(_EngineCycles!C119&gt;1," / "&amp;_EngineCycles!C119,""))</f>
        <v/>
      </c>
      <c r="B119" s="18" t="str">
        <f>IF(_EngineCycles!A119="","",_EngineCycles!D119)</f>
        <v/>
      </c>
      <c r="C119" s="18" t="str">
        <f>IF(_EngineCycles!A119="","",IFERROR(INDEX(Trades!$D$9:$D$508,_EngineCycles!AG119-8),""))</f>
        <v/>
      </c>
      <c r="D119" s="25" t="str">
        <f>IF(_EngineCycles!A119="","",IF($R119&lt;&gt;"OK","Review",IF(_EngineCycles!E119="Closed","Closed",IF(_EngineCycles!P119&gt;0,IF(IFERROR(LOOKUP(2,1/((_EngineTrades!$AU$9:$AU$508=_EngineCycles!A119)),_EngineTrades!$AQ$9:$AQ$508),0)&gt;0,"Covered Call","Shares Held"),"Cash-Secured Put"))))</f>
        <v/>
      </c>
      <c r="E119" s="26" t="str">
        <f>IF(NOT(_EngineCycles!A119&lt;&gt;""),"",IF(NOT($R119="OK"),"",_EngineCycles!P119))</f>
        <v/>
      </c>
      <c r="F119" s="17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AH$9:$AH$508),0),"")))</f>
        <v/>
      </c>
      <c r="G119" s="17" t="str">
        <f>IF(NOT(_EngineCycles!A119&lt;&gt;""),"",IF(NOT($R119="OK"),"",_EngineCycles!Q119))</f>
        <v/>
      </c>
      <c r="H119" s="27" t="str">
        <f>IF(NOT(_EngineCycles!A119&lt;&gt;""),"",IF(NOT($R119="OK"),"",_EngineCycles!J119))</f>
        <v/>
      </c>
      <c r="I119" s="17" t="str">
        <f>IF(NOT(_EngineCycles!A119&lt;&gt;""),"",IF(NOT($R119="OK"),"",_EngineCycles!I119))</f>
        <v/>
      </c>
      <c r="J119" s="17" t="str">
        <f>IF(NOT(_EngineCycles!A119&lt;&gt;""),"",IF(NOT($R119="OK"),"",_EngineCycles!L119))</f>
        <v/>
      </c>
      <c r="K119" s="17" t="str">
        <f>IF(NOT(_EngineCycles!A119&lt;&gt;""),"",IF(NOT($R119="OK"),"",_EngineCycles!U119))</f>
        <v/>
      </c>
      <c r="L119" s="27" t="str">
        <f>IF(NOT(_EngineCycles!A119&lt;&gt;""),"",IF(NOT($R119="OK"),"",_EngineCycles!AE119))</f>
        <v/>
      </c>
      <c r="M119" s="17" t="str">
        <f>IF(NOT(_EngineCycles!A119&lt;&gt;""),"",IF(NOT($R119="OK"),"",_EngineCycles!O119))</f>
        <v/>
      </c>
      <c r="N119" s="27" t="str">
        <f>IF(NOT(_EngineCycles!A119&lt;&gt;""),"",IF(NOT($R119="OK"),"",IF(_EngineCycles!E119="Closed",_EngineCycles!O119,"")))</f>
        <v/>
      </c>
      <c r="O119" s="28" t="str">
        <f>IF(NOT(_EngineCycles!A119&lt;&gt;""),"",IF(NOT($R119="OK"),"",_EngineCycles!Y119))</f>
        <v/>
      </c>
      <c r="P119" s="17" t="str">
        <f>IF(NOT(_EngineCycles!A119&lt;&gt;""),"",IF(NOT($R119="OK"),"",_EngineCycles!S119))</f>
        <v/>
      </c>
      <c r="Q119" s="25" t="str">
        <f>IF(_EngineCycles!A119="","",IF($R119&lt;&gt;"OK","Review",IF(_EngineCycles!E119="Closed","Closed","Open")))</f>
        <v/>
      </c>
      <c r="R119" s="18" t="str">
        <f>IF(_EngineCycles!A119="","",IF(COUNTIFS(Trades!$B$9:$B$508,_EngineCycles!B119,Trades!$C$9:$C$508,"&lt;&gt;"&amp;$B119,Trades!$A$9:$A$508,"&lt;&gt;")&gt;0,"Ticker mismatch",IF(COUNTIFS(Trades!$B$9:$B$508,_EngineCycles!B119,Trades!$D$9:$D$508,"&lt;&gt;"&amp;$C119,Trades!$A$9:$A$508,"&lt;&gt;")&gt;0,"Currency mismatch",IF(COUNTIFS(Trades!$B$9:$B$508,_EngineCycles!B119,Trades!$S$9:$S$508,"&lt;&gt;OK",Trades!$A$9:$A$508,"&lt;&gt;")&gt;0,"Check trades","OK"))))</f>
        <v/>
      </c>
      <c r="S119" s="29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P$9:$P$508),0),"")))</f>
        <v/>
      </c>
      <c r="T119" s="26" t="str">
        <f>IF(NOT(_EngineCycles!A119&lt;&gt;""),"",IF(NOT($R119="OK"),"",_EngineCycles!W119))</f>
        <v/>
      </c>
      <c r="U119" s="16"/>
      <c r="V119" s="16"/>
      <c r="W119" s="16"/>
      <c r="X119" s="16"/>
      <c r="Y119" t="str">
        <f>IF(AND($C119=Overview!$P$2,$Q119="Open",$R119="OK"),COUNTIFS($C$9:$C119,Overview!$P$2,$Q$9:$Q119,"Open",$R$9:$R119,"OK"),"")</f>
        <v/>
      </c>
    </row>
    <row r="120" spans="1:25" ht="23.1" customHeight="1" x14ac:dyDescent="0.25">
      <c r="A120" s="24" t="str">
        <f>IF(_EngineCycles!A120="","",_EngineCycles!B120&amp;IF(_EngineCycles!C120&gt;1," / "&amp;_EngineCycles!C120,""))</f>
        <v/>
      </c>
      <c r="B120" s="24" t="str">
        <f>IF(_EngineCycles!A120="","",_EngineCycles!D120)</f>
        <v/>
      </c>
      <c r="C120" s="24" t="str">
        <f>IF(_EngineCycles!A120="","",IFERROR(INDEX(Trades!$D$9:$D$508,_EngineCycles!AG120-8),""))</f>
        <v/>
      </c>
      <c r="D120" s="30" t="str">
        <f>IF(_EngineCycles!A120="","",IF($R120&lt;&gt;"OK","Review",IF(_EngineCycles!E120="Closed","Closed",IF(_EngineCycles!P120&gt;0,IF(IFERROR(LOOKUP(2,1/((_EngineTrades!$AU$9:$AU$508=_EngineCycles!A120)),_EngineTrades!$AQ$9:$AQ$508),0)&gt;0,"Covered Call","Shares Held"),"Cash-Secured Put"))))</f>
        <v/>
      </c>
      <c r="E120" s="31" t="str">
        <f>IF(NOT(_EngineCycles!A120&lt;&gt;""),"",IF(NOT($R120="OK"),"",_EngineCycles!P120))</f>
        <v/>
      </c>
      <c r="F120" s="23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AH$9:$AH$508),0),"")))</f>
        <v/>
      </c>
      <c r="G120" s="23" t="str">
        <f>IF(NOT(_EngineCycles!A120&lt;&gt;""),"",IF(NOT($R120="OK"),"",_EngineCycles!Q120))</f>
        <v/>
      </c>
      <c r="H120" s="32" t="str">
        <f>IF(NOT(_EngineCycles!A120&lt;&gt;""),"",IF(NOT($R120="OK"),"",_EngineCycles!J120))</f>
        <v/>
      </c>
      <c r="I120" s="23" t="str">
        <f>IF(NOT(_EngineCycles!A120&lt;&gt;""),"",IF(NOT($R120="OK"),"",_EngineCycles!I120))</f>
        <v/>
      </c>
      <c r="J120" s="23" t="str">
        <f>IF(NOT(_EngineCycles!A120&lt;&gt;""),"",IF(NOT($R120="OK"),"",_EngineCycles!L120))</f>
        <v/>
      </c>
      <c r="K120" s="23" t="str">
        <f>IF(NOT(_EngineCycles!A120&lt;&gt;""),"",IF(NOT($R120="OK"),"",_EngineCycles!U120))</f>
        <v/>
      </c>
      <c r="L120" s="32" t="str">
        <f>IF(NOT(_EngineCycles!A120&lt;&gt;""),"",IF(NOT($R120="OK"),"",_EngineCycles!AE120))</f>
        <v/>
      </c>
      <c r="M120" s="23" t="str">
        <f>IF(NOT(_EngineCycles!A120&lt;&gt;""),"",IF(NOT($R120="OK"),"",_EngineCycles!O120))</f>
        <v/>
      </c>
      <c r="N120" s="32" t="str">
        <f>IF(NOT(_EngineCycles!A120&lt;&gt;""),"",IF(NOT($R120="OK"),"",IF(_EngineCycles!E120="Closed",_EngineCycles!O120,"")))</f>
        <v/>
      </c>
      <c r="O120" s="33" t="str">
        <f>IF(NOT(_EngineCycles!A120&lt;&gt;""),"",IF(NOT($R120="OK"),"",_EngineCycles!Y120))</f>
        <v/>
      </c>
      <c r="P120" s="23" t="str">
        <f>IF(NOT(_EngineCycles!A120&lt;&gt;""),"",IF(NOT($R120="OK"),"",_EngineCycles!S120))</f>
        <v/>
      </c>
      <c r="Q120" s="30" t="str">
        <f>IF(_EngineCycles!A120="","",IF($R120&lt;&gt;"OK","Review",IF(_EngineCycles!E120="Closed","Closed","Open")))</f>
        <v/>
      </c>
      <c r="R120" s="24" t="str">
        <f>IF(_EngineCycles!A120="","",IF(COUNTIFS(Trades!$B$9:$B$508,_EngineCycles!B120,Trades!$C$9:$C$508,"&lt;&gt;"&amp;$B120,Trades!$A$9:$A$508,"&lt;&gt;")&gt;0,"Ticker mismatch",IF(COUNTIFS(Trades!$B$9:$B$508,_EngineCycles!B120,Trades!$D$9:$D$508,"&lt;&gt;"&amp;$C120,Trades!$A$9:$A$508,"&lt;&gt;")&gt;0,"Currency mismatch",IF(COUNTIFS(Trades!$B$9:$B$508,_EngineCycles!B120,Trades!$S$9:$S$508,"&lt;&gt;OK",Trades!$A$9:$A$508,"&lt;&gt;")&gt;0,"Check trades","OK"))))</f>
        <v/>
      </c>
      <c r="S120" s="34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P$9:$P$508),0),"")))</f>
        <v/>
      </c>
      <c r="T120" s="31" t="str">
        <f>IF(NOT(_EngineCycles!A120&lt;&gt;""),"",IF(NOT($R120="OK"),"",_EngineCycles!W120))</f>
        <v/>
      </c>
      <c r="U120" s="22"/>
      <c r="V120" s="22"/>
      <c r="W120" s="22"/>
      <c r="X120" s="22"/>
      <c r="Y120" t="str">
        <f>IF(AND($C120=Overview!$P$2,$Q120="Open",$R120="OK"),COUNTIFS($C$9:$C120,Overview!$P$2,$Q$9:$Q120,"Open",$R$9:$R120,"OK"),"")</f>
        <v/>
      </c>
    </row>
    <row r="121" spans="1:25" ht="23.1" customHeight="1" x14ac:dyDescent="0.25">
      <c r="A121" s="18" t="str">
        <f>IF(_EngineCycles!A121="","",_EngineCycles!B121&amp;IF(_EngineCycles!C121&gt;1," / "&amp;_EngineCycles!C121,""))</f>
        <v/>
      </c>
      <c r="B121" s="18" t="str">
        <f>IF(_EngineCycles!A121="","",_EngineCycles!D121)</f>
        <v/>
      </c>
      <c r="C121" s="18" t="str">
        <f>IF(_EngineCycles!A121="","",IFERROR(INDEX(Trades!$D$9:$D$508,_EngineCycles!AG121-8),""))</f>
        <v/>
      </c>
      <c r="D121" s="25" t="str">
        <f>IF(_EngineCycles!A121="","",IF($R121&lt;&gt;"OK","Review",IF(_EngineCycles!E121="Closed","Closed",IF(_EngineCycles!P121&gt;0,IF(IFERROR(LOOKUP(2,1/((_EngineTrades!$AU$9:$AU$508=_EngineCycles!A121)),_EngineTrades!$AQ$9:$AQ$508),0)&gt;0,"Covered Call","Shares Held"),"Cash-Secured Put"))))</f>
        <v/>
      </c>
      <c r="E121" s="26" t="str">
        <f>IF(NOT(_EngineCycles!A121&lt;&gt;""),"",IF(NOT($R121="OK"),"",_EngineCycles!P121))</f>
        <v/>
      </c>
      <c r="F121" s="17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AH$9:$AH$508),0),"")))</f>
        <v/>
      </c>
      <c r="G121" s="17" t="str">
        <f>IF(NOT(_EngineCycles!A121&lt;&gt;""),"",IF(NOT($R121="OK"),"",_EngineCycles!Q121))</f>
        <v/>
      </c>
      <c r="H121" s="27" t="str">
        <f>IF(NOT(_EngineCycles!A121&lt;&gt;""),"",IF(NOT($R121="OK"),"",_EngineCycles!J121))</f>
        <v/>
      </c>
      <c r="I121" s="17" t="str">
        <f>IF(NOT(_EngineCycles!A121&lt;&gt;""),"",IF(NOT($R121="OK"),"",_EngineCycles!I121))</f>
        <v/>
      </c>
      <c r="J121" s="17" t="str">
        <f>IF(NOT(_EngineCycles!A121&lt;&gt;""),"",IF(NOT($R121="OK"),"",_EngineCycles!L121))</f>
        <v/>
      </c>
      <c r="K121" s="17" t="str">
        <f>IF(NOT(_EngineCycles!A121&lt;&gt;""),"",IF(NOT($R121="OK"),"",_EngineCycles!U121))</f>
        <v/>
      </c>
      <c r="L121" s="27" t="str">
        <f>IF(NOT(_EngineCycles!A121&lt;&gt;""),"",IF(NOT($R121="OK"),"",_EngineCycles!AE121))</f>
        <v/>
      </c>
      <c r="M121" s="17" t="str">
        <f>IF(NOT(_EngineCycles!A121&lt;&gt;""),"",IF(NOT($R121="OK"),"",_EngineCycles!O121))</f>
        <v/>
      </c>
      <c r="N121" s="27" t="str">
        <f>IF(NOT(_EngineCycles!A121&lt;&gt;""),"",IF(NOT($R121="OK"),"",IF(_EngineCycles!E121="Closed",_EngineCycles!O121,"")))</f>
        <v/>
      </c>
      <c r="O121" s="28" t="str">
        <f>IF(NOT(_EngineCycles!A121&lt;&gt;""),"",IF(NOT($R121="OK"),"",_EngineCycles!Y121))</f>
        <v/>
      </c>
      <c r="P121" s="17" t="str">
        <f>IF(NOT(_EngineCycles!A121&lt;&gt;""),"",IF(NOT($R121="OK"),"",_EngineCycles!S121))</f>
        <v/>
      </c>
      <c r="Q121" s="25" t="str">
        <f>IF(_EngineCycles!A121="","",IF($R121&lt;&gt;"OK","Review",IF(_EngineCycles!E121="Closed","Closed","Open")))</f>
        <v/>
      </c>
      <c r="R121" s="18" t="str">
        <f>IF(_EngineCycles!A121="","",IF(COUNTIFS(Trades!$B$9:$B$508,_EngineCycles!B121,Trades!$C$9:$C$508,"&lt;&gt;"&amp;$B121,Trades!$A$9:$A$508,"&lt;&gt;")&gt;0,"Ticker mismatch",IF(COUNTIFS(Trades!$B$9:$B$508,_EngineCycles!B121,Trades!$D$9:$D$508,"&lt;&gt;"&amp;$C121,Trades!$A$9:$A$508,"&lt;&gt;")&gt;0,"Currency mismatch",IF(COUNTIFS(Trades!$B$9:$B$508,_EngineCycles!B121,Trades!$S$9:$S$508,"&lt;&gt;OK",Trades!$A$9:$A$508,"&lt;&gt;")&gt;0,"Check trades","OK"))))</f>
        <v/>
      </c>
      <c r="S121" s="29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P$9:$P$508),0),"")))</f>
        <v/>
      </c>
      <c r="T121" s="26" t="str">
        <f>IF(NOT(_EngineCycles!A121&lt;&gt;""),"",IF(NOT($R121="OK"),"",_EngineCycles!W121))</f>
        <v/>
      </c>
      <c r="U121" s="16"/>
      <c r="V121" s="16"/>
      <c r="W121" s="16"/>
      <c r="X121" s="16"/>
      <c r="Y121" t="str">
        <f>IF(AND($C121=Overview!$P$2,$Q121="Open",$R121="OK"),COUNTIFS($C$9:$C121,Overview!$P$2,$Q$9:$Q121,"Open",$R$9:$R121,"OK"),"")</f>
        <v/>
      </c>
    </row>
    <row r="122" spans="1:25" ht="23.1" customHeight="1" x14ac:dyDescent="0.25">
      <c r="A122" s="24" t="str">
        <f>IF(_EngineCycles!A122="","",_EngineCycles!B122&amp;IF(_EngineCycles!C122&gt;1," / "&amp;_EngineCycles!C122,""))</f>
        <v/>
      </c>
      <c r="B122" s="24" t="str">
        <f>IF(_EngineCycles!A122="","",_EngineCycles!D122)</f>
        <v/>
      </c>
      <c r="C122" s="24" t="str">
        <f>IF(_EngineCycles!A122="","",IFERROR(INDEX(Trades!$D$9:$D$508,_EngineCycles!AG122-8),""))</f>
        <v/>
      </c>
      <c r="D122" s="30" t="str">
        <f>IF(_EngineCycles!A122="","",IF($R122&lt;&gt;"OK","Review",IF(_EngineCycles!E122="Closed","Closed",IF(_EngineCycles!P122&gt;0,IF(IFERROR(LOOKUP(2,1/((_EngineTrades!$AU$9:$AU$508=_EngineCycles!A122)),_EngineTrades!$AQ$9:$AQ$508),0)&gt;0,"Covered Call","Shares Held"),"Cash-Secured Put"))))</f>
        <v/>
      </c>
      <c r="E122" s="31" t="str">
        <f>IF(NOT(_EngineCycles!A122&lt;&gt;""),"",IF(NOT($R122="OK"),"",_EngineCycles!P122))</f>
        <v/>
      </c>
      <c r="F122" s="23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AH$9:$AH$508),0),"")))</f>
        <v/>
      </c>
      <c r="G122" s="23" t="str">
        <f>IF(NOT(_EngineCycles!A122&lt;&gt;""),"",IF(NOT($R122="OK"),"",_EngineCycles!Q122))</f>
        <v/>
      </c>
      <c r="H122" s="32" t="str">
        <f>IF(NOT(_EngineCycles!A122&lt;&gt;""),"",IF(NOT($R122="OK"),"",_EngineCycles!J122))</f>
        <v/>
      </c>
      <c r="I122" s="23" t="str">
        <f>IF(NOT(_EngineCycles!A122&lt;&gt;""),"",IF(NOT($R122="OK"),"",_EngineCycles!I122))</f>
        <v/>
      </c>
      <c r="J122" s="23" t="str">
        <f>IF(NOT(_EngineCycles!A122&lt;&gt;""),"",IF(NOT($R122="OK"),"",_EngineCycles!L122))</f>
        <v/>
      </c>
      <c r="K122" s="23" t="str">
        <f>IF(NOT(_EngineCycles!A122&lt;&gt;""),"",IF(NOT($R122="OK"),"",_EngineCycles!U122))</f>
        <v/>
      </c>
      <c r="L122" s="32" t="str">
        <f>IF(NOT(_EngineCycles!A122&lt;&gt;""),"",IF(NOT($R122="OK"),"",_EngineCycles!AE122))</f>
        <v/>
      </c>
      <c r="M122" s="23" t="str">
        <f>IF(NOT(_EngineCycles!A122&lt;&gt;""),"",IF(NOT($R122="OK"),"",_EngineCycles!O122))</f>
        <v/>
      </c>
      <c r="N122" s="32" t="str">
        <f>IF(NOT(_EngineCycles!A122&lt;&gt;""),"",IF(NOT($R122="OK"),"",IF(_EngineCycles!E122="Closed",_EngineCycles!O122,"")))</f>
        <v/>
      </c>
      <c r="O122" s="33" t="str">
        <f>IF(NOT(_EngineCycles!A122&lt;&gt;""),"",IF(NOT($R122="OK"),"",_EngineCycles!Y122))</f>
        <v/>
      </c>
      <c r="P122" s="23" t="str">
        <f>IF(NOT(_EngineCycles!A122&lt;&gt;""),"",IF(NOT($R122="OK"),"",_EngineCycles!S122))</f>
        <v/>
      </c>
      <c r="Q122" s="30" t="str">
        <f>IF(_EngineCycles!A122="","",IF($R122&lt;&gt;"OK","Review",IF(_EngineCycles!E122="Closed","Closed","Open")))</f>
        <v/>
      </c>
      <c r="R122" s="24" t="str">
        <f>IF(_EngineCycles!A122="","",IF(COUNTIFS(Trades!$B$9:$B$508,_EngineCycles!B122,Trades!$C$9:$C$508,"&lt;&gt;"&amp;$B122,Trades!$A$9:$A$508,"&lt;&gt;")&gt;0,"Ticker mismatch",IF(COUNTIFS(Trades!$B$9:$B$508,_EngineCycles!B122,Trades!$D$9:$D$508,"&lt;&gt;"&amp;$C122,Trades!$A$9:$A$508,"&lt;&gt;")&gt;0,"Currency mismatch",IF(COUNTIFS(Trades!$B$9:$B$508,_EngineCycles!B122,Trades!$S$9:$S$508,"&lt;&gt;OK",Trades!$A$9:$A$508,"&lt;&gt;")&gt;0,"Check trades","OK"))))</f>
        <v/>
      </c>
      <c r="S122" s="34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P$9:$P$508),0),"")))</f>
        <v/>
      </c>
      <c r="T122" s="31" t="str">
        <f>IF(NOT(_EngineCycles!A122&lt;&gt;""),"",IF(NOT($R122="OK"),"",_EngineCycles!W122))</f>
        <v/>
      </c>
      <c r="U122" s="22"/>
      <c r="V122" s="22"/>
      <c r="W122" s="22"/>
      <c r="X122" s="22"/>
      <c r="Y122" t="str">
        <f>IF(AND($C122=Overview!$P$2,$Q122="Open",$R122="OK"),COUNTIFS($C$9:$C122,Overview!$P$2,$Q$9:$Q122,"Open",$R$9:$R122,"OK"),"")</f>
        <v/>
      </c>
    </row>
    <row r="123" spans="1:25" ht="23.1" customHeight="1" x14ac:dyDescent="0.25">
      <c r="A123" s="18" t="str">
        <f>IF(_EngineCycles!A123="","",_EngineCycles!B123&amp;IF(_EngineCycles!C123&gt;1," / "&amp;_EngineCycles!C123,""))</f>
        <v/>
      </c>
      <c r="B123" s="18" t="str">
        <f>IF(_EngineCycles!A123="","",_EngineCycles!D123)</f>
        <v/>
      </c>
      <c r="C123" s="18" t="str">
        <f>IF(_EngineCycles!A123="","",IFERROR(INDEX(Trades!$D$9:$D$508,_EngineCycles!AG123-8),""))</f>
        <v/>
      </c>
      <c r="D123" s="25" t="str">
        <f>IF(_EngineCycles!A123="","",IF($R123&lt;&gt;"OK","Review",IF(_EngineCycles!E123="Closed","Closed",IF(_EngineCycles!P123&gt;0,IF(IFERROR(LOOKUP(2,1/((_EngineTrades!$AU$9:$AU$508=_EngineCycles!A123)),_EngineTrades!$AQ$9:$AQ$508),0)&gt;0,"Covered Call","Shares Held"),"Cash-Secured Put"))))</f>
        <v/>
      </c>
      <c r="E123" s="26" t="str">
        <f>IF(NOT(_EngineCycles!A123&lt;&gt;""),"",IF(NOT($R123="OK"),"",_EngineCycles!P123))</f>
        <v/>
      </c>
      <c r="F123" s="17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AH$9:$AH$508),0),"")))</f>
        <v/>
      </c>
      <c r="G123" s="17" t="str">
        <f>IF(NOT(_EngineCycles!A123&lt;&gt;""),"",IF(NOT($R123="OK"),"",_EngineCycles!Q123))</f>
        <v/>
      </c>
      <c r="H123" s="27" t="str">
        <f>IF(NOT(_EngineCycles!A123&lt;&gt;""),"",IF(NOT($R123="OK"),"",_EngineCycles!J123))</f>
        <v/>
      </c>
      <c r="I123" s="17" t="str">
        <f>IF(NOT(_EngineCycles!A123&lt;&gt;""),"",IF(NOT($R123="OK"),"",_EngineCycles!I123))</f>
        <v/>
      </c>
      <c r="J123" s="17" t="str">
        <f>IF(NOT(_EngineCycles!A123&lt;&gt;""),"",IF(NOT($R123="OK"),"",_EngineCycles!L123))</f>
        <v/>
      </c>
      <c r="K123" s="17" t="str">
        <f>IF(NOT(_EngineCycles!A123&lt;&gt;""),"",IF(NOT($R123="OK"),"",_EngineCycles!U123))</f>
        <v/>
      </c>
      <c r="L123" s="27" t="str">
        <f>IF(NOT(_EngineCycles!A123&lt;&gt;""),"",IF(NOT($R123="OK"),"",_EngineCycles!AE123))</f>
        <v/>
      </c>
      <c r="M123" s="17" t="str">
        <f>IF(NOT(_EngineCycles!A123&lt;&gt;""),"",IF(NOT($R123="OK"),"",_EngineCycles!O123))</f>
        <v/>
      </c>
      <c r="N123" s="27" t="str">
        <f>IF(NOT(_EngineCycles!A123&lt;&gt;""),"",IF(NOT($R123="OK"),"",IF(_EngineCycles!E123="Closed",_EngineCycles!O123,"")))</f>
        <v/>
      </c>
      <c r="O123" s="28" t="str">
        <f>IF(NOT(_EngineCycles!A123&lt;&gt;""),"",IF(NOT($R123="OK"),"",_EngineCycles!Y123))</f>
        <v/>
      </c>
      <c r="P123" s="17" t="str">
        <f>IF(NOT(_EngineCycles!A123&lt;&gt;""),"",IF(NOT($R123="OK"),"",_EngineCycles!S123))</f>
        <v/>
      </c>
      <c r="Q123" s="25" t="str">
        <f>IF(_EngineCycles!A123="","",IF($R123&lt;&gt;"OK","Review",IF(_EngineCycles!E123="Closed","Closed","Open")))</f>
        <v/>
      </c>
      <c r="R123" s="18" t="str">
        <f>IF(_EngineCycles!A123="","",IF(COUNTIFS(Trades!$B$9:$B$508,_EngineCycles!B123,Trades!$C$9:$C$508,"&lt;&gt;"&amp;$B123,Trades!$A$9:$A$508,"&lt;&gt;")&gt;0,"Ticker mismatch",IF(COUNTIFS(Trades!$B$9:$B$508,_EngineCycles!B123,Trades!$D$9:$D$508,"&lt;&gt;"&amp;$C123,Trades!$A$9:$A$508,"&lt;&gt;")&gt;0,"Currency mismatch",IF(COUNTIFS(Trades!$B$9:$B$508,_EngineCycles!B123,Trades!$S$9:$S$508,"&lt;&gt;OK",Trades!$A$9:$A$508,"&lt;&gt;")&gt;0,"Check trades","OK"))))</f>
        <v/>
      </c>
      <c r="S123" s="29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P$9:$P$508),0),"")))</f>
        <v/>
      </c>
      <c r="T123" s="26" t="str">
        <f>IF(NOT(_EngineCycles!A123&lt;&gt;""),"",IF(NOT($R123="OK"),"",_EngineCycles!W123))</f>
        <v/>
      </c>
      <c r="U123" s="16"/>
      <c r="V123" s="16"/>
      <c r="W123" s="16"/>
      <c r="X123" s="16"/>
      <c r="Y123" t="str">
        <f>IF(AND($C123=Overview!$P$2,$Q123="Open",$R123="OK"),COUNTIFS($C$9:$C123,Overview!$P$2,$Q$9:$Q123,"Open",$R$9:$R123,"OK"),"")</f>
        <v/>
      </c>
    </row>
    <row r="124" spans="1:25" ht="23.1" customHeight="1" x14ac:dyDescent="0.25">
      <c r="A124" s="24" t="str">
        <f>IF(_EngineCycles!A124="","",_EngineCycles!B124&amp;IF(_EngineCycles!C124&gt;1," / "&amp;_EngineCycles!C124,""))</f>
        <v/>
      </c>
      <c r="B124" s="24" t="str">
        <f>IF(_EngineCycles!A124="","",_EngineCycles!D124)</f>
        <v/>
      </c>
      <c r="C124" s="24" t="str">
        <f>IF(_EngineCycles!A124="","",IFERROR(INDEX(Trades!$D$9:$D$508,_EngineCycles!AG124-8),""))</f>
        <v/>
      </c>
      <c r="D124" s="30" t="str">
        <f>IF(_EngineCycles!A124="","",IF($R124&lt;&gt;"OK","Review",IF(_EngineCycles!E124="Closed","Closed",IF(_EngineCycles!P124&gt;0,IF(IFERROR(LOOKUP(2,1/((_EngineTrades!$AU$9:$AU$508=_EngineCycles!A124)),_EngineTrades!$AQ$9:$AQ$508),0)&gt;0,"Covered Call","Shares Held"),"Cash-Secured Put"))))</f>
        <v/>
      </c>
      <c r="E124" s="31" t="str">
        <f>IF(NOT(_EngineCycles!A124&lt;&gt;""),"",IF(NOT($R124="OK"),"",_EngineCycles!P124))</f>
        <v/>
      </c>
      <c r="F124" s="23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AH$9:$AH$508),0),"")))</f>
        <v/>
      </c>
      <c r="G124" s="23" t="str">
        <f>IF(NOT(_EngineCycles!A124&lt;&gt;""),"",IF(NOT($R124="OK"),"",_EngineCycles!Q124))</f>
        <v/>
      </c>
      <c r="H124" s="32" t="str">
        <f>IF(NOT(_EngineCycles!A124&lt;&gt;""),"",IF(NOT($R124="OK"),"",_EngineCycles!J124))</f>
        <v/>
      </c>
      <c r="I124" s="23" t="str">
        <f>IF(NOT(_EngineCycles!A124&lt;&gt;""),"",IF(NOT($R124="OK"),"",_EngineCycles!I124))</f>
        <v/>
      </c>
      <c r="J124" s="23" t="str">
        <f>IF(NOT(_EngineCycles!A124&lt;&gt;""),"",IF(NOT($R124="OK"),"",_EngineCycles!L124))</f>
        <v/>
      </c>
      <c r="K124" s="23" t="str">
        <f>IF(NOT(_EngineCycles!A124&lt;&gt;""),"",IF(NOT($R124="OK"),"",_EngineCycles!U124))</f>
        <v/>
      </c>
      <c r="L124" s="32" t="str">
        <f>IF(NOT(_EngineCycles!A124&lt;&gt;""),"",IF(NOT($R124="OK"),"",_EngineCycles!AE124))</f>
        <v/>
      </c>
      <c r="M124" s="23" t="str">
        <f>IF(NOT(_EngineCycles!A124&lt;&gt;""),"",IF(NOT($R124="OK"),"",_EngineCycles!O124))</f>
        <v/>
      </c>
      <c r="N124" s="32" t="str">
        <f>IF(NOT(_EngineCycles!A124&lt;&gt;""),"",IF(NOT($R124="OK"),"",IF(_EngineCycles!E124="Closed",_EngineCycles!O124,"")))</f>
        <v/>
      </c>
      <c r="O124" s="33" t="str">
        <f>IF(NOT(_EngineCycles!A124&lt;&gt;""),"",IF(NOT($R124="OK"),"",_EngineCycles!Y124))</f>
        <v/>
      </c>
      <c r="P124" s="23" t="str">
        <f>IF(NOT(_EngineCycles!A124&lt;&gt;""),"",IF(NOT($R124="OK"),"",_EngineCycles!S124))</f>
        <v/>
      </c>
      <c r="Q124" s="30" t="str">
        <f>IF(_EngineCycles!A124="","",IF($R124&lt;&gt;"OK","Review",IF(_EngineCycles!E124="Closed","Closed","Open")))</f>
        <v/>
      </c>
      <c r="R124" s="24" t="str">
        <f>IF(_EngineCycles!A124="","",IF(COUNTIFS(Trades!$B$9:$B$508,_EngineCycles!B124,Trades!$C$9:$C$508,"&lt;&gt;"&amp;$B124,Trades!$A$9:$A$508,"&lt;&gt;")&gt;0,"Ticker mismatch",IF(COUNTIFS(Trades!$B$9:$B$508,_EngineCycles!B124,Trades!$D$9:$D$508,"&lt;&gt;"&amp;$C124,Trades!$A$9:$A$508,"&lt;&gt;")&gt;0,"Currency mismatch",IF(COUNTIFS(Trades!$B$9:$B$508,_EngineCycles!B124,Trades!$S$9:$S$508,"&lt;&gt;OK",Trades!$A$9:$A$508,"&lt;&gt;")&gt;0,"Check trades","OK"))))</f>
        <v/>
      </c>
      <c r="S124" s="34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P$9:$P$508),0),"")))</f>
        <v/>
      </c>
      <c r="T124" s="31" t="str">
        <f>IF(NOT(_EngineCycles!A124&lt;&gt;""),"",IF(NOT($R124="OK"),"",_EngineCycles!W124))</f>
        <v/>
      </c>
      <c r="U124" s="22"/>
      <c r="V124" s="22"/>
      <c r="W124" s="22"/>
      <c r="X124" s="22"/>
      <c r="Y124" t="str">
        <f>IF(AND($C124=Overview!$P$2,$Q124="Open",$R124="OK"),COUNTIFS($C$9:$C124,Overview!$P$2,$Q$9:$Q124,"Open",$R$9:$R124,"OK"),"")</f>
        <v/>
      </c>
    </row>
    <row r="125" spans="1:25" ht="23.1" customHeight="1" x14ac:dyDescent="0.25">
      <c r="A125" s="18" t="str">
        <f>IF(_EngineCycles!A125="","",_EngineCycles!B125&amp;IF(_EngineCycles!C125&gt;1," / "&amp;_EngineCycles!C125,""))</f>
        <v/>
      </c>
      <c r="B125" s="18" t="str">
        <f>IF(_EngineCycles!A125="","",_EngineCycles!D125)</f>
        <v/>
      </c>
      <c r="C125" s="18" t="str">
        <f>IF(_EngineCycles!A125="","",IFERROR(INDEX(Trades!$D$9:$D$508,_EngineCycles!AG125-8),""))</f>
        <v/>
      </c>
      <c r="D125" s="25" t="str">
        <f>IF(_EngineCycles!A125="","",IF($R125&lt;&gt;"OK","Review",IF(_EngineCycles!E125="Closed","Closed",IF(_EngineCycles!P125&gt;0,IF(IFERROR(LOOKUP(2,1/((_EngineTrades!$AU$9:$AU$508=_EngineCycles!A125)),_EngineTrades!$AQ$9:$AQ$508),0)&gt;0,"Covered Call","Shares Held"),"Cash-Secured Put"))))</f>
        <v/>
      </c>
      <c r="E125" s="26" t="str">
        <f>IF(NOT(_EngineCycles!A125&lt;&gt;""),"",IF(NOT($R125="OK"),"",_EngineCycles!P125))</f>
        <v/>
      </c>
      <c r="F125" s="17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AH$9:$AH$508),0),"")))</f>
        <v/>
      </c>
      <c r="G125" s="17" t="str">
        <f>IF(NOT(_EngineCycles!A125&lt;&gt;""),"",IF(NOT($R125="OK"),"",_EngineCycles!Q125))</f>
        <v/>
      </c>
      <c r="H125" s="27" t="str">
        <f>IF(NOT(_EngineCycles!A125&lt;&gt;""),"",IF(NOT($R125="OK"),"",_EngineCycles!J125))</f>
        <v/>
      </c>
      <c r="I125" s="17" t="str">
        <f>IF(NOT(_EngineCycles!A125&lt;&gt;""),"",IF(NOT($R125="OK"),"",_EngineCycles!I125))</f>
        <v/>
      </c>
      <c r="J125" s="17" t="str">
        <f>IF(NOT(_EngineCycles!A125&lt;&gt;""),"",IF(NOT($R125="OK"),"",_EngineCycles!L125))</f>
        <v/>
      </c>
      <c r="K125" s="17" t="str">
        <f>IF(NOT(_EngineCycles!A125&lt;&gt;""),"",IF(NOT($R125="OK"),"",_EngineCycles!U125))</f>
        <v/>
      </c>
      <c r="L125" s="27" t="str">
        <f>IF(NOT(_EngineCycles!A125&lt;&gt;""),"",IF(NOT($R125="OK"),"",_EngineCycles!AE125))</f>
        <v/>
      </c>
      <c r="M125" s="17" t="str">
        <f>IF(NOT(_EngineCycles!A125&lt;&gt;""),"",IF(NOT($R125="OK"),"",_EngineCycles!O125))</f>
        <v/>
      </c>
      <c r="N125" s="27" t="str">
        <f>IF(NOT(_EngineCycles!A125&lt;&gt;""),"",IF(NOT($R125="OK"),"",IF(_EngineCycles!E125="Closed",_EngineCycles!O125,"")))</f>
        <v/>
      </c>
      <c r="O125" s="28" t="str">
        <f>IF(NOT(_EngineCycles!A125&lt;&gt;""),"",IF(NOT($R125="OK"),"",_EngineCycles!Y125))</f>
        <v/>
      </c>
      <c r="P125" s="17" t="str">
        <f>IF(NOT(_EngineCycles!A125&lt;&gt;""),"",IF(NOT($R125="OK"),"",_EngineCycles!S125))</f>
        <v/>
      </c>
      <c r="Q125" s="25" t="str">
        <f>IF(_EngineCycles!A125="","",IF($R125&lt;&gt;"OK","Review",IF(_EngineCycles!E125="Closed","Closed","Open")))</f>
        <v/>
      </c>
      <c r="R125" s="18" t="str">
        <f>IF(_EngineCycles!A125="","",IF(COUNTIFS(Trades!$B$9:$B$508,_EngineCycles!B125,Trades!$C$9:$C$508,"&lt;&gt;"&amp;$B125,Trades!$A$9:$A$508,"&lt;&gt;")&gt;0,"Ticker mismatch",IF(COUNTIFS(Trades!$B$9:$B$508,_EngineCycles!B125,Trades!$D$9:$D$508,"&lt;&gt;"&amp;$C125,Trades!$A$9:$A$508,"&lt;&gt;")&gt;0,"Currency mismatch",IF(COUNTIFS(Trades!$B$9:$B$508,_EngineCycles!B125,Trades!$S$9:$S$508,"&lt;&gt;OK",Trades!$A$9:$A$508,"&lt;&gt;")&gt;0,"Check trades","OK"))))</f>
        <v/>
      </c>
      <c r="S125" s="29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P$9:$P$508),0),"")))</f>
        <v/>
      </c>
      <c r="T125" s="26" t="str">
        <f>IF(NOT(_EngineCycles!A125&lt;&gt;""),"",IF(NOT($R125="OK"),"",_EngineCycles!W125))</f>
        <v/>
      </c>
      <c r="U125" s="16"/>
      <c r="V125" s="16"/>
      <c r="W125" s="16"/>
      <c r="X125" s="16"/>
      <c r="Y125" t="str">
        <f>IF(AND($C125=Overview!$P$2,$Q125="Open",$R125="OK"),COUNTIFS($C$9:$C125,Overview!$P$2,$Q$9:$Q125,"Open",$R$9:$R125,"OK"),"")</f>
        <v/>
      </c>
    </row>
    <row r="126" spans="1:25" ht="23.1" customHeight="1" x14ac:dyDescent="0.25">
      <c r="A126" s="24" t="str">
        <f>IF(_EngineCycles!A126="","",_EngineCycles!B126&amp;IF(_EngineCycles!C126&gt;1," / "&amp;_EngineCycles!C126,""))</f>
        <v/>
      </c>
      <c r="B126" s="24" t="str">
        <f>IF(_EngineCycles!A126="","",_EngineCycles!D126)</f>
        <v/>
      </c>
      <c r="C126" s="24" t="str">
        <f>IF(_EngineCycles!A126="","",IFERROR(INDEX(Trades!$D$9:$D$508,_EngineCycles!AG126-8),""))</f>
        <v/>
      </c>
      <c r="D126" s="30" t="str">
        <f>IF(_EngineCycles!A126="","",IF($R126&lt;&gt;"OK","Review",IF(_EngineCycles!E126="Closed","Closed",IF(_EngineCycles!P126&gt;0,IF(IFERROR(LOOKUP(2,1/((_EngineTrades!$AU$9:$AU$508=_EngineCycles!A126)),_EngineTrades!$AQ$9:$AQ$508),0)&gt;0,"Covered Call","Shares Held"),"Cash-Secured Put"))))</f>
        <v/>
      </c>
      <c r="E126" s="31" t="str">
        <f>IF(NOT(_EngineCycles!A126&lt;&gt;""),"",IF(NOT($R126="OK"),"",_EngineCycles!P126))</f>
        <v/>
      </c>
      <c r="F126" s="23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AH$9:$AH$508),0),"")))</f>
        <v/>
      </c>
      <c r="G126" s="23" t="str">
        <f>IF(NOT(_EngineCycles!A126&lt;&gt;""),"",IF(NOT($R126="OK"),"",_EngineCycles!Q126))</f>
        <v/>
      </c>
      <c r="H126" s="32" t="str">
        <f>IF(NOT(_EngineCycles!A126&lt;&gt;""),"",IF(NOT($R126="OK"),"",_EngineCycles!J126))</f>
        <v/>
      </c>
      <c r="I126" s="23" t="str">
        <f>IF(NOT(_EngineCycles!A126&lt;&gt;""),"",IF(NOT($R126="OK"),"",_EngineCycles!I126))</f>
        <v/>
      </c>
      <c r="J126" s="23" t="str">
        <f>IF(NOT(_EngineCycles!A126&lt;&gt;""),"",IF(NOT($R126="OK"),"",_EngineCycles!L126))</f>
        <v/>
      </c>
      <c r="K126" s="23" t="str">
        <f>IF(NOT(_EngineCycles!A126&lt;&gt;""),"",IF(NOT($R126="OK"),"",_EngineCycles!U126))</f>
        <v/>
      </c>
      <c r="L126" s="32" t="str">
        <f>IF(NOT(_EngineCycles!A126&lt;&gt;""),"",IF(NOT($R126="OK"),"",_EngineCycles!AE126))</f>
        <v/>
      </c>
      <c r="M126" s="23" t="str">
        <f>IF(NOT(_EngineCycles!A126&lt;&gt;""),"",IF(NOT($R126="OK"),"",_EngineCycles!O126))</f>
        <v/>
      </c>
      <c r="N126" s="32" t="str">
        <f>IF(NOT(_EngineCycles!A126&lt;&gt;""),"",IF(NOT($R126="OK"),"",IF(_EngineCycles!E126="Closed",_EngineCycles!O126,"")))</f>
        <v/>
      </c>
      <c r="O126" s="33" t="str">
        <f>IF(NOT(_EngineCycles!A126&lt;&gt;""),"",IF(NOT($R126="OK"),"",_EngineCycles!Y126))</f>
        <v/>
      </c>
      <c r="P126" s="23" t="str">
        <f>IF(NOT(_EngineCycles!A126&lt;&gt;""),"",IF(NOT($R126="OK"),"",_EngineCycles!S126))</f>
        <v/>
      </c>
      <c r="Q126" s="30" t="str">
        <f>IF(_EngineCycles!A126="","",IF($R126&lt;&gt;"OK","Review",IF(_EngineCycles!E126="Closed","Closed","Open")))</f>
        <v/>
      </c>
      <c r="R126" s="24" t="str">
        <f>IF(_EngineCycles!A126="","",IF(COUNTIFS(Trades!$B$9:$B$508,_EngineCycles!B126,Trades!$C$9:$C$508,"&lt;&gt;"&amp;$B126,Trades!$A$9:$A$508,"&lt;&gt;")&gt;0,"Ticker mismatch",IF(COUNTIFS(Trades!$B$9:$B$508,_EngineCycles!B126,Trades!$D$9:$D$508,"&lt;&gt;"&amp;$C126,Trades!$A$9:$A$508,"&lt;&gt;")&gt;0,"Currency mismatch",IF(COUNTIFS(Trades!$B$9:$B$508,_EngineCycles!B126,Trades!$S$9:$S$508,"&lt;&gt;OK",Trades!$A$9:$A$508,"&lt;&gt;")&gt;0,"Check trades","OK"))))</f>
        <v/>
      </c>
      <c r="S126" s="34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P$9:$P$508),0),"")))</f>
        <v/>
      </c>
      <c r="T126" s="31" t="str">
        <f>IF(NOT(_EngineCycles!A126&lt;&gt;""),"",IF(NOT($R126="OK"),"",_EngineCycles!W126))</f>
        <v/>
      </c>
      <c r="U126" s="22"/>
      <c r="V126" s="22"/>
      <c r="W126" s="22"/>
      <c r="X126" s="22"/>
      <c r="Y126" t="str">
        <f>IF(AND($C126=Overview!$P$2,$Q126="Open",$R126="OK"),COUNTIFS($C$9:$C126,Overview!$P$2,$Q$9:$Q126,"Open",$R$9:$R126,"OK"),"")</f>
        <v/>
      </c>
    </row>
    <row r="127" spans="1:25" ht="23.1" customHeight="1" x14ac:dyDescent="0.25">
      <c r="A127" s="18" t="str">
        <f>IF(_EngineCycles!A127="","",_EngineCycles!B127&amp;IF(_EngineCycles!C127&gt;1," / "&amp;_EngineCycles!C127,""))</f>
        <v/>
      </c>
      <c r="B127" s="18" t="str">
        <f>IF(_EngineCycles!A127="","",_EngineCycles!D127)</f>
        <v/>
      </c>
      <c r="C127" s="18" t="str">
        <f>IF(_EngineCycles!A127="","",IFERROR(INDEX(Trades!$D$9:$D$508,_EngineCycles!AG127-8),""))</f>
        <v/>
      </c>
      <c r="D127" s="25" t="str">
        <f>IF(_EngineCycles!A127="","",IF($R127&lt;&gt;"OK","Review",IF(_EngineCycles!E127="Closed","Closed",IF(_EngineCycles!P127&gt;0,IF(IFERROR(LOOKUP(2,1/((_EngineTrades!$AU$9:$AU$508=_EngineCycles!A127)),_EngineTrades!$AQ$9:$AQ$508),0)&gt;0,"Covered Call","Shares Held"),"Cash-Secured Put"))))</f>
        <v/>
      </c>
      <c r="E127" s="26" t="str">
        <f>IF(NOT(_EngineCycles!A127&lt;&gt;""),"",IF(NOT($R127="OK"),"",_EngineCycles!P127))</f>
        <v/>
      </c>
      <c r="F127" s="17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AH$9:$AH$508),0),"")))</f>
        <v/>
      </c>
      <c r="G127" s="17" t="str">
        <f>IF(NOT(_EngineCycles!A127&lt;&gt;""),"",IF(NOT($R127="OK"),"",_EngineCycles!Q127))</f>
        <v/>
      </c>
      <c r="H127" s="27" t="str">
        <f>IF(NOT(_EngineCycles!A127&lt;&gt;""),"",IF(NOT($R127="OK"),"",_EngineCycles!J127))</f>
        <v/>
      </c>
      <c r="I127" s="17" t="str">
        <f>IF(NOT(_EngineCycles!A127&lt;&gt;""),"",IF(NOT($R127="OK"),"",_EngineCycles!I127))</f>
        <v/>
      </c>
      <c r="J127" s="17" t="str">
        <f>IF(NOT(_EngineCycles!A127&lt;&gt;""),"",IF(NOT($R127="OK"),"",_EngineCycles!L127))</f>
        <v/>
      </c>
      <c r="K127" s="17" t="str">
        <f>IF(NOT(_EngineCycles!A127&lt;&gt;""),"",IF(NOT($R127="OK"),"",_EngineCycles!U127))</f>
        <v/>
      </c>
      <c r="L127" s="27" t="str">
        <f>IF(NOT(_EngineCycles!A127&lt;&gt;""),"",IF(NOT($R127="OK"),"",_EngineCycles!AE127))</f>
        <v/>
      </c>
      <c r="M127" s="17" t="str">
        <f>IF(NOT(_EngineCycles!A127&lt;&gt;""),"",IF(NOT($R127="OK"),"",_EngineCycles!O127))</f>
        <v/>
      </c>
      <c r="N127" s="27" t="str">
        <f>IF(NOT(_EngineCycles!A127&lt;&gt;""),"",IF(NOT($R127="OK"),"",IF(_EngineCycles!E127="Closed",_EngineCycles!O127,"")))</f>
        <v/>
      </c>
      <c r="O127" s="28" t="str">
        <f>IF(NOT(_EngineCycles!A127&lt;&gt;""),"",IF(NOT($R127="OK"),"",_EngineCycles!Y127))</f>
        <v/>
      </c>
      <c r="P127" s="17" t="str">
        <f>IF(NOT(_EngineCycles!A127&lt;&gt;""),"",IF(NOT($R127="OK"),"",_EngineCycles!S127))</f>
        <v/>
      </c>
      <c r="Q127" s="25" t="str">
        <f>IF(_EngineCycles!A127="","",IF($R127&lt;&gt;"OK","Review",IF(_EngineCycles!E127="Closed","Closed","Open")))</f>
        <v/>
      </c>
      <c r="R127" s="18" t="str">
        <f>IF(_EngineCycles!A127="","",IF(COUNTIFS(Trades!$B$9:$B$508,_EngineCycles!B127,Trades!$C$9:$C$508,"&lt;&gt;"&amp;$B127,Trades!$A$9:$A$508,"&lt;&gt;")&gt;0,"Ticker mismatch",IF(COUNTIFS(Trades!$B$9:$B$508,_EngineCycles!B127,Trades!$D$9:$D$508,"&lt;&gt;"&amp;$C127,Trades!$A$9:$A$508,"&lt;&gt;")&gt;0,"Currency mismatch",IF(COUNTIFS(Trades!$B$9:$B$508,_EngineCycles!B127,Trades!$S$9:$S$508,"&lt;&gt;OK",Trades!$A$9:$A$508,"&lt;&gt;")&gt;0,"Check trades","OK"))))</f>
        <v/>
      </c>
      <c r="S127" s="29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P$9:$P$508),0),"")))</f>
        <v/>
      </c>
      <c r="T127" s="26" t="str">
        <f>IF(NOT(_EngineCycles!A127&lt;&gt;""),"",IF(NOT($R127="OK"),"",_EngineCycles!W127))</f>
        <v/>
      </c>
      <c r="U127" s="16"/>
      <c r="V127" s="16"/>
      <c r="W127" s="16"/>
      <c r="X127" s="16"/>
      <c r="Y127" t="str">
        <f>IF(AND($C127=Overview!$P$2,$Q127="Open",$R127="OK"),COUNTIFS($C$9:$C127,Overview!$P$2,$Q$9:$Q127,"Open",$R$9:$R127,"OK"),"")</f>
        <v/>
      </c>
    </row>
    <row r="128" spans="1:25" ht="23.1" customHeight="1" x14ac:dyDescent="0.25">
      <c r="A128" s="24" t="str">
        <f>IF(_EngineCycles!A128="","",_EngineCycles!B128&amp;IF(_EngineCycles!C128&gt;1," / "&amp;_EngineCycles!C128,""))</f>
        <v/>
      </c>
      <c r="B128" s="24" t="str">
        <f>IF(_EngineCycles!A128="","",_EngineCycles!D128)</f>
        <v/>
      </c>
      <c r="C128" s="24" t="str">
        <f>IF(_EngineCycles!A128="","",IFERROR(INDEX(Trades!$D$9:$D$508,_EngineCycles!AG128-8),""))</f>
        <v/>
      </c>
      <c r="D128" s="30" t="str">
        <f>IF(_EngineCycles!A128="","",IF($R128&lt;&gt;"OK","Review",IF(_EngineCycles!E128="Closed","Closed",IF(_EngineCycles!P128&gt;0,IF(IFERROR(LOOKUP(2,1/((_EngineTrades!$AU$9:$AU$508=_EngineCycles!A128)),_EngineTrades!$AQ$9:$AQ$508),0)&gt;0,"Covered Call","Shares Held"),"Cash-Secured Put"))))</f>
        <v/>
      </c>
      <c r="E128" s="31" t="str">
        <f>IF(NOT(_EngineCycles!A128&lt;&gt;""),"",IF(NOT($R128="OK"),"",_EngineCycles!P128))</f>
        <v/>
      </c>
      <c r="F128" s="23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AH$9:$AH$508),0),"")))</f>
        <v/>
      </c>
      <c r="G128" s="23" t="str">
        <f>IF(NOT(_EngineCycles!A128&lt;&gt;""),"",IF(NOT($R128="OK"),"",_EngineCycles!Q128))</f>
        <v/>
      </c>
      <c r="H128" s="32" t="str">
        <f>IF(NOT(_EngineCycles!A128&lt;&gt;""),"",IF(NOT($R128="OK"),"",_EngineCycles!J128))</f>
        <v/>
      </c>
      <c r="I128" s="23" t="str">
        <f>IF(NOT(_EngineCycles!A128&lt;&gt;""),"",IF(NOT($R128="OK"),"",_EngineCycles!I128))</f>
        <v/>
      </c>
      <c r="J128" s="23" t="str">
        <f>IF(NOT(_EngineCycles!A128&lt;&gt;""),"",IF(NOT($R128="OK"),"",_EngineCycles!L128))</f>
        <v/>
      </c>
      <c r="K128" s="23" t="str">
        <f>IF(NOT(_EngineCycles!A128&lt;&gt;""),"",IF(NOT($R128="OK"),"",_EngineCycles!U128))</f>
        <v/>
      </c>
      <c r="L128" s="32" t="str">
        <f>IF(NOT(_EngineCycles!A128&lt;&gt;""),"",IF(NOT($R128="OK"),"",_EngineCycles!AE128))</f>
        <v/>
      </c>
      <c r="M128" s="23" t="str">
        <f>IF(NOT(_EngineCycles!A128&lt;&gt;""),"",IF(NOT($R128="OK"),"",_EngineCycles!O128))</f>
        <v/>
      </c>
      <c r="N128" s="32" t="str">
        <f>IF(NOT(_EngineCycles!A128&lt;&gt;""),"",IF(NOT($R128="OK"),"",IF(_EngineCycles!E128="Closed",_EngineCycles!O128,"")))</f>
        <v/>
      </c>
      <c r="O128" s="33" t="str">
        <f>IF(NOT(_EngineCycles!A128&lt;&gt;""),"",IF(NOT($R128="OK"),"",_EngineCycles!Y128))</f>
        <v/>
      </c>
      <c r="P128" s="23" t="str">
        <f>IF(NOT(_EngineCycles!A128&lt;&gt;""),"",IF(NOT($R128="OK"),"",_EngineCycles!S128))</f>
        <v/>
      </c>
      <c r="Q128" s="30" t="str">
        <f>IF(_EngineCycles!A128="","",IF($R128&lt;&gt;"OK","Review",IF(_EngineCycles!E128="Closed","Closed","Open")))</f>
        <v/>
      </c>
      <c r="R128" s="24" t="str">
        <f>IF(_EngineCycles!A128="","",IF(COUNTIFS(Trades!$B$9:$B$508,_EngineCycles!B128,Trades!$C$9:$C$508,"&lt;&gt;"&amp;$B128,Trades!$A$9:$A$508,"&lt;&gt;")&gt;0,"Ticker mismatch",IF(COUNTIFS(Trades!$B$9:$B$508,_EngineCycles!B128,Trades!$D$9:$D$508,"&lt;&gt;"&amp;$C128,Trades!$A$9:$A$508,"&lt;&gt;")&gt;0,"Currency mismatch",IF(COUNTIFS(Trades!$B$9:$B$508,_EngineCycles!B128,Trades!$S$9:$S$508,"&lt;&gt;OK",Trades!$A$9:$A$508,"&lt;&gt;")&gt;0,"Check trades","OK"))))</f>
        <v/>
      </c>
      <c r="S128" s="34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P$9:$P$508),0),"")))</f>
        <v/>
      </c>
      <c r="T128" s="31" t="str">
        <f>IF(NOT(_EngineCycles!A128&lt;&gt;""),"",IF(NOT($R128="OK"),"",_EngineCycles!W128))</f>
        <v/>
      </c>
      <c r="U128" s="22"/>
      <c r="V128" s="22"/>
      <c r="W128" s="22"/>
      <c r="X128" s="22"/>
      <c r="Y128" t="str">
        <f>IF(AND($C128=Overview!$P$2,$Q128="Open",$R128="OK"),COUNTIFS($C$9:$C128,Overview!$P$2,$Q$9:$Q128,"Open",$R$9:$R128,"OK"),"")</f>
        <v/>
      </c>
    </row>
    <row r="129" spans="1:25" ht="23.1" customHeight="1" x14ac:dyDescent="0.25">
      <c r="A129" s="18" t="str">
        <f>IF(_EngineCycles!A129="","",_EngineCycles!B129&amp;IF(_EngineCycles!C129&gt;1," / "&amp;_EngineCycles!C129,""))</f>
        <v/>
      </c>
      <c r="B129" s="18" t="str">
        <f>IF(_EngineCycles!A129="","",_EngineCycles!D129)</f>
        <v/>
      </c>
      <c r="C129" s="18" t="str">
        <f>IF(_EngineCycles!A129="","",IFERROR(INDEX(Trades!$D$9:$D$508,_EngineCycles!AG129-8),""))</f>
        <v/>
      </c>
      <c r="D129" s="25" t="str">
        <f>IF(_EngineCycles!A129="","",IF($R129&lt;&gt;"OK","Review",IF(_EngineCycles!E129="Closed","Closed",IF(_EngineCycles!P129&gt;0,IF(IFERROR(LOOKUP(2,1/((_EngineTrades!$AU$9:$AU$508=_EngineCycles!A129)),_EngineTrades!$AQ$9:$AQ$508),0)&gt;0,"Covered Call","Shares Held"),"Cash-Secured Put"))))</f>
        <v/>
      </c>
      <c r="E129" s="26" t="str">
        <f>IF(NOT(_EngineCycles!A129&lt;&gt;""),"",IF(NOT($R129="OK"),"",_EngineCycles!P129))</f>
        <v/>
      </c>
      <c r="F129" s="17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AH$9:$AH$508),0),"")))</f>
        <v/>
      </c>
      <c r="G129" s="17" t="str">
        <f>IF(NOT(_EngineCycles!A129&lt;&gt;""),"",IF(NOT($R129="OK"),"",_EngineCycles!Q129))</f>
        <v/>
      </c>
      <c r="H129" s="27" t="str">
        <f>IF(NOT(_EngineCycles!A129&lt;&gt;""),"",IF(NOT($R129="OK"),"",_EngineCycles!J129))</f>
        <v/>
      </c>
      <c r="I129" s="17" t="str">
        <f>IF(NOT(_EngineCycles!A129&lt;&gt;""),"",IF(NOT($R129="OK"),"",_EngineCycles!I129))</f>
        <v/>
      </c>
      <c r="J129" s="17" t="str">
        <f>IF(NOT(_EngineCycles!A129&lt;&gt;""),"",IF(NOT($R129="OK"),"",_EngineCycles!L129))</f>
        <v/>
      </c>
      <c r="K129" s="17" t="str">
        <f>IF(NOT(_EngineCycles!A129&lt;&gt;""),"",IF(NOT($R129="OK"),"",_EngineCycles!U129))</f>
        <v/>
      </c>
      <c r="L129" s="27" t="str">
        <f>IF(NOT(_EngineCycles!A129&lt;&gt;""),"",IF(NOT($R129="OK"),"",_EngineCycles!AE129))</f>
        <v/>
      </c>
      <c r="M129" s="17" t="str">
        <f>IF(NOT(_EngineCycles!A129&lt;&gt;""),"",IF(NOT($R129="OK"),"",_EngineCycles!O129))</f>
        <v/>
      </c>
      <c r="N129" s="27" t="str">
        <f>IF(NOT(_EngineCycles!A129&lt;&gt;""),"",IF(NOT($R129="OK"),"",IF(_EngineCycles!E129="Closed",_EngineCycles!O129,"")))</f>
        <v/>
      </c>
      <c r="O129" s="28" t="str">
        <f>IF(NOT(_EngineCycles!A129&lt;&gt;""),"",IF(NOT($R129="OK"),"",_EngineCycles!Y129))</f>
        <v/>
      </c>
      <c r="P129" s="17" t="str">
        <f>IF(NOT(_EngineCycles!A129&lt;&gt;""),"",IF(NOT($R129="OK"),"",_EngineCycles!S129))</f>
        <v/>
      </c>
      <c r="Q129" s="25" t="str">
        <f>IF(_EngineCycles!A129="","",IF($R129&lt;&gt;"OK","Review",IF(_EngineCycles!E129="Closed","Closed","Open")))</f>
        <v/>
      </c>
      <c r="R129" s="18" t="str">
        <f>IF(_EngineCycles!A129="","",IF(COUNTIFS(Trades!$B$9:$B$508,_EngineCycles!B129,Trades!$C$9:$C$508,"&lt;&gt;"&amp;$B129,Trades!$A$9:$A$508,"&lt;&gt;")&gt;0,"Ticker mismatch",IF(COUNTIFS(Trades!$B$9:$B$508,_EngineCycles!B129,Trades!$D$9:$D$508,"&lt;&gt;"&amp;$C129,Trades!$A$9:$A$508,"&lt;&gt;")&gt;0,"Currency mismatch",IF(COUNTIFS(Trades!$B$9:$B$508,_EngineCycles!B129,Trades!$S$9:$S$508,"&lt;&gt;OK",Trades!$A$9:$A$508,"&lt;&gt;")&gt;0,"Check trades","OK"))))</f>
        <v/>
      </c>
      <c r="S129" s="29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P$9:$P$508),0),"")))</f>
        <v/>
      </c>
      <c r="T129" s="26" t="str">
        <f>IF(NOT(_EngineCycles!A129&lt;&gt;""),"",IF(NOT($R129="OK"),"",_EngineCycles!W129))</f>
        <v/>
      </c>
      <c r="U129" s="16"/>
      <c r="V129" s="16"/>
      <c r="W129" s="16"/>
      <c r="X129" s="16"/>
      <c r="Y129" t="str">
        <f>IF(AND($C129=Overview!$P$2,$Q129="Open",$R129="OK"),COUNTIFS($C$9:$C129,Overview!$P$2,$Q$9:$Q129,"Open",$R$9:$R129,"OK"),"")</f>
        <v/>
      </c>
    </row>
    <row r="130" spans="1:25" ht="23.1" customHeight="1" x14ac:dyDescent="0.25">
      <c r="A130" s="24" t="str">
        <f>IF(_EngineCycles!A130="","",_EngineCycles!B130&amp;IF(_EngineCycles!C130&gt;1," / "&amp;_EngineCycles!C130,""))</f>
        <v/>
      </c>
      <c r="B130" s="24" t="str">
        <f>IF(_EngineCycles!A130="","",_EngineCycles!D130)</f>
        <v/>
      </c>
      <c r="C130" s="24" t="str">
        <f>IF(_EngineCycles!A130="","",IFERROR(INDEX(Trades!$D$9:$D$508,_EngineCycles!AG130-8),""))</f>
        <v/>
      </c>
      <c r="D130" s="30" t="str">
        <f>IF(_EngineCycles!A130="","",IF($R130&lt;&gt;"OK","Review",IF(_EngineCycles!E130="Closed","Closed",IF(_EngineCycles!P130&gt;0,IF(IFERROR(LOOKUP(2,1/((_EngineTrades!$AU$9:$AU$508=_EngineCycles!A130)),_EngineTrades!$AQ$9:$AQ$508),0)&gt;0,"Covered Call","Shares Held"),"Cash-Secured Put"))))</f>
        <v/>
      </c>
      <c r="E130" s="31" t="str">
        <f>IF(NOT(_EngineCycles!A130&lt;&gt;""),"",IF(NOT($R130="OK"),"",_EngineCycles!P130))</f>
        <v/>
      </c>
      <c r="F130" s="23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AH$9:$AH$508),0),"")))</f>
        <v/>
      </c>
      <c r="G130" s="23" t="str">
        <f>IF(NOT(_EngineCycles!A130&lt;&gt;""),"",IF(NOT($R130="OK"),"",_EngineCycles!Q130))</f>
        <v/>
      </c>
      <c r="H130" s="32" t="str">
        <f>IF(NOT(_EngineCycles!A130&lt;&gt;""),"",IF(NOT($R130="OK"),"",_EngineCycles!J130))</f>
        <v/>
      </c>
      <c r="I130" s="23" t="str">
        <f>IF(NOT(_EngineCycles!A130&lt;&gt;""),"",IF(NOT($R130="OK"),"",_EngineCycles!I130))</f>
        <v/>
      </c>
      <c r="J130" s="23" t="str">
        <f>IF(NOT(_EngineCycles!A130&lt;&gt;""),"",IF(NOT($R130="OK"),"",_EngineCycles!L130))</f>
        <v/>
      </c>
      <c r="K130" s="23" t="str">
        <f>IF(NOT(_EngineCycles!A130&lt;&gt;""),"",IF(NOT($R130="OK"),"",_EngineCycles!U130))</f>
        <v/>
      </c>
      <c r="L130" s="32" t="str">
        <f>IF(NOT(_EngineCycles!A130&lt;&gt;""),"",IF(NOT($R130="OK"),"",_EngineCycles!AE130))</f>
        <v/>
      </c>
      <c r="M130" s="23" t="str">
        <f>IF(NOT(_EngineCycles!A130&lt;&gt;""),"",IF(NOT($R130="OK"),"",_EngineCycles!O130))</f>
        <v/>
      </c>
      <c r="N130" s="32" t="str">
        <f>IF(NOT(_EngineCycles!A130&lt;&gt;""),"",IF(NOT($R130="OK"),"",IF(_EngineCycles!E130="Closed",_EngineCycles!O130,"")))</f>
        <v/>
      </c>
      <c r="O130" s="33" t="str">
        <f>IF(NOT(_EngineCycles!A130&lt;&gt;""),"",IF(NOT($R130="OK"),"",_EngineCycles!Y130))</f>
        <v/>
      </c>
      <c r="P130" s="23" t="str">
        <f>IF(NOT(_EngineCycles!A130&lt;&gt;""),"",IF(NOT($R130="OK"),"",_EngineCycles!S130))</f>
        <v/>
      </c>
      <c r="Q130" s="30" t="str">
        <f>IF(_EngineCycles!A130="","",IF($R130&lt;&gt;"OK","Review",IF(_EngineCycles!E130="Closed","Closed","Open")))</f>
        <v/>
      </c>
      <c r="R130" s="24" t="str">
        <f>IF(_EngineCycles!A130="","",IF(COUNTIFS(Trades!$B$9:$B$508,_EngineCycles!B130,Trades!$C$9:$C$508,"&lt;&gt;"&amp;$B130,Trades!$A$9:$A$508,"&lt;&gt;")&gt;0,"Ticker mismatch",IF(COUNTIFS(Trades!$B$9:$B$508,_EngineCycles!B130,Trades!$D$9:$D$508,"&lt;&gt;"&amp;$C130,Trades!$A$9:$A$508,"&lt;&gt;")&gt;0,"Currency mismatch",IF(COUNTIFS(Trades!$B$9:$B$508,_EngineCycles!B130,Trades!$S$9:$S$508,"&lt;&gt;OK",Trades!$A$9:$A$508,"&lt;&gt;")&gt;0,"Check trades","OK"))))</f>
        <v/>
      </c>
      <c r="S130" s="34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P$9:$P$508),0),"")))</f>
        <v/>
      </c>
      <c r="T130" s="31" t="str">
        <f>IF(NOT(_EngineCycles!A130&lt;&gt;""),"",IF(NOT($R130="OK"),"",_EngineCycles!W130))</f>
        <v/>
      </c>
      <c r="U130" s="22"/>
      <c r="V130" s="22"/>
      <c r="W130" s="22"/>
      <c r="X130" s="22"/>
      <c r="Y130" t="str">
        <f>IF(AND($C130=Overview!$P$2,$Q130="Open",$R130="OK"),COUNTIFS($C$9:$C130,Overview!$P$2,$Q$9:$Q130,"Open",$R$9:$R130,"OK"),"")</f>
        <v/>
      </c>
    </row>
    <row r="131" spans="1:25" ht="23.1" customHeight="1" x14ac:dyDescent="0.25">
      <c r="A131" s="18" t="str">
        <f>IF(_EngineCycles!A131="","",_EngineCycles!B131&amp;IF(_EngineCycles!C131&gt;1," / "&amp;_EngineCycles!C131,""))</f>
        <v/>
      </c>
      <c r="B131" s="18" t="str">
        <f>IF(_EngineCycles!A131="","",_EngineCycles!D131)</f>
        <v/>
      </c>
      <c r="C131" s="18" t="str">
        <f>IF(_EngineCycles!A131="","",IFERROR(INDEX(Trades!$D$9:$D$508,_EngineCycles!AG131-8),""))</f>
        <v/>
      </c>
      <c r="D131" s="25" t="str">
        <f>IF(_EngineCycles!A131="","",IF($R131&lt;&gt;"OK","Review",IF(_EngineCycles!E131="Closed","Closed",IF(_EngineCycles!P131&gt;0,IF(IFERROR(LOOKUP(2,1/((_EngineTrades!$AU$9:$AU$508=_EngineCycles!A131)),_EngineTrades!$AQ$9:$AQ$508),0)&gt;0,"Covered Call","Shares Held"),"Cash-Secured Put"))))</f>
        <v/>
      </c>
      <c r="E131" s="26" t="str">
        <f>IF(NOT(_EngineCycles!A131&lt;&gt;""),"",IF(NOT($R131="OK"),"",_EngineCycles!P131))</f>
        <v/>
      </c>
      <c r="F131" s="17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AH$9:$AH$508),0),"")))</f>
        <v/>
      </c>
      <c r="G131" s="17" t="str">
        <f>IF(NOT(_EngineCycles!A131&lt;&gt;""),"",IF(NOT($R131="OK"),"",_EngineCycles!Q131))</f>
        <v/>
      </c>
      <c r="H131" s="27" t="str">
        <f>IF(NOT(_EngineCycles!A131&lt;&gt;""),"",IF(NOT($R131="OK"),"",_EngineCycles!J131))</f>
        <v/>
      </c>
      <c r="I131" s="17" t="str">
        <f>IF(NOT(_EngineCycles!A131&lt;&gt;""),"",IF(NOT($R131="OK"),"",_EngineCycles!I131))</f>
        <v/>
      </c>
      <c r="J131" s="17" t="str">
        <f>IF(NOT(_EngineCycles!A131&lt;&gt;""),"",IF(NOT($R131="OK"),"",_EngineCycles!L131))</f>
        <v/>
      </c>
      <c r="K131" s="17" t="str">
        <f>IF(NOT(_EngineCycles!A131&lt;&gt;""),"",IF(NOT($R131="OK"),"",_EngineCycles!U131))</f>
        <v/>
      </c>
      <c r="L131" s="27" t="str">
        <f>IF(NOT(_EngineCycles!A131&lt;&gt;""),"",IF(NOT($R131="OK"),"",_EngineCycles!AE131))</f>
        <v/>
      </c>
      <c r="M131" s="17" t="str">
        <f>IF(NOT(_EngineCycles!A131&lt;&gt;""),"",IF(NOT($R131="OK"),"",_EngineCycles!O131))</f>
        <v/>
      </c>
      <c r="N131" s="27" t="str">
        <f>IF(NOT(_EngineCycles!A131&lt;&gt;""),"",IF(NOT($R131="OK"),"",IF(_EngineCycles!E131="Closed",_EngineCycles!O131,"")))</f>
        <v/>
      </c>
      <c r="O131" s="28" t="str">
        <f>IF(NOT(_EngineCycles!A131&lt;&gt;""),"",IF(NOT($R131="OK"),"",_EngineCycles!Y131))</f>
        <v/>
      </c>
      <c r="P131" s="17" t="str">
        <f>IF(NOT(_EngineCycles!A131&lt;&gt;""),"",IF(NOT($R131="OK"),"",_EngineCycles!S131))</f>
        <v/>
      </c>
      <c r="Q131" s="25" t="str">
        <f>IF(_EngineCycles!A131="","",IF($R131&lt;&gt;"OK","Review",IF(_EngineCycles!E131="Closed","Closed","Open")))</f>
        <v/>
      </c>
      <c r="R131" s="18" t="str">
        <f>IF(_EngineCycles!A131="","",IF(COUNTIFS(Trades!$B$9:$B$508,_EngineCycles!B131,Trades!$C$9:$C$508,"&lt;&gt;"&amp;$B131,Trades!$A$9:$A$508,"&lt;&gt;")&gt;0,"Ticker mismatch",IF(COUNTIFS(Trades!$B$9:$B$508,_EngineCycles!B131,Trades!$D$9:$D$508,"&lt;&gt;"&amp;$C131,Trades!$A$9:$A$508,"&lt;&gt;")&gt;0,"Currency mismatch",IF(COUNTIFS(Trades!$B$9:$B$508,_EngineCycles!B131,Trades!$S$9:$S$508,"&lt;&gt;OK",Trades!$A$9:$A$508,"&lt;&gt;")&gt;0,"Check trades","OK"))))</f>
        <v/>
      </c>
      <c r="S131" s="29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P$9:$P$508),0),"")))</f>
        <v/>
      </c>
      <c r="T131" s="26" t="str">
        <f>IF(NOT(_EngineCycles!A131&lt;&gt;""),"",IF(NOT($R131="OK"),"",_EngineCycles!W131))</f>
        <v/>
      </c>
      <c r="U131" s="16"/>
      <c r="V131" s="16"/>
      <c r="W131" s="16"/>
      <c r="X131" s="16"/>
      <c r="Y131" t="str">
        <f>IF(AND($C131=Overview!$P$2,$Q131="Open",$R131="OK"),COUNTIFS($C$9:$C131,Overview!$P$2,$Q$9:$Q131,"Open",$R$9:$R131,"OK"),"")</f>
        <v/>
      </c>
    </row>
    <row r="132" spans="1:25" ht="23.1" customHeight="1" x14ac:dyDescent="0.25">
      <c r="A132" s="24" t="str">
        <f>IF(_EngineCycles!A132="","",_EngineCycles!B132&amp;IF(_EngineCycles!C132&gt;1," / "&amp;_EngineCycles!C132,""))</f>
        <v/>
      </c>
      <c r="B132" s="24" t="str">
        <f>IF(_EngineCycles!A132="","",_EngineCycles!D132)</f>
        <v/>
      </c>
      <c r="C132" s="24" t="str">
        <f>IF(_EngineCycles!A132="","",IFERROR(INDEX(Trades!$D$9:$D$508,_EngineCycles!AG132-8),""))</f>
        <v/>
      </c>
      <c r="D132" s="30" t="str">
        <f>IF(_EngineCycles!A132="","",IF($R132&lt;&gt;"OK","Review",IF(_EngineCycles!E132="Closed","Closed",IF(_EngineCycles!P132&gt;0,IF(IFERROR(LOOKUP(2,1/((_EngineTrades!$AU$9:$AU$508=_EngineCycles!A132)),_EngineTrades!$AQ$9:$AQ$508),0)&gt;0,"Covered Call","Shares Held"),"Cash-Secured Put"))))</f>
        <v/>
      </c>
      <c r="E132" s="31" t="str">
        <f>IF(NOT(_EngineCycles!A132&lt;&gt;""),"",IF(NOT($R132="OK"),"",_EngineCycles!P132))</f>
        <v/>
      </c>
      <c r="F132" s="23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AH$9:$AH$508),0),"")))</f>
        <v/>
      </c>
      <c r="G132" s="23" t="str">
        <f>IF(NOT(_EngineCycles!A132&lt;&gt;""),"",IF(NOT($R132="OK"),"",_EngineCycles!Q132))</f>
        <v/>
      </c>
      <c r="H132" s="32" t="str">
        <f>IF(NOT(_EngineCycles!A132&lt;&gt;""),"",IF(NOT($R132="OK"),"",_EngineCycles!J132))</f>
        <v/>
      </c>
      <c r="I132" s="23" t="str">
        <f>IF(NOT(_EngineCycles!A132&lt;&gt;""),"",IF(NOT($R132="OK"),"",_EngineCycles!I132))</f>
        <v/>
      </c>
      <c r="J132" s="23" t="str">
        <f>IF(NOT(_EngineCycles!A132&lt;&gt;""),"",IF(NOT($R132="OK"),"",_EngineCycles!L132))</f>
        <v/>
      </c>
      <c r="K132" s="23" t="str">
        <f>IF(NOT(_EngineCycles!A132&lt;&gt;""),"",IF(NOT($R132="OK"),"",_EngineCycles!U132))</f>
        <v/>
      </c>
      <c r="L132" s="32" t="str">
        <f>IF(NOT(_EngineCycles!A132&lt;&gt;""),"",IF(NOT($R132="OK"),"",_EngineCycles!AE132))</f>
        <v/>
      </c>
      <c r="M132" s="23" t="str">
        <f>IF(NOT(_EngineCycles!A132&lt;&gt;""),"",IF(NOT($R132="OK"),"",_EngineCycles!O132))</f>
        <v/>
      </c>
      <c r="N132" s="32" t="str">
        <f>IF(NOT(_EngineCycles!A132&lt;&gt;""),"",IF(NOT($R132="OK"),"",IF(_EngineCycles!E132="Closed",_EngineCycles!O132,"")))</f>
        <v/>
      </c>
      <c r="O132" s="33" t="str">
        <f>IF(NOT(_EngineCycles!A132&lt;&gt;""),"",IF(NOT($R132="OK"),"",_EngineCycles!Y132))</f>
        <v/>
      </c>
      <c r="P132" s="23" t="str">
        <f>IF(NOT(_EngineCycles!A132&lt;&gt;""),"",IF(NOT($R132="OK"),"",_EngineCycles!S132))</f>
        <v/>
      </c>
      <c r="Q132" s="30" t="str">
        <f>IF(_EngineCycles!A132="","",IF($R132&lt;&gt;"OK","Review",IF(_EngineCycles!E132="Closed","Closed","Open")))</f>
        <v/>
      </c>
      <c r="R132" s="24" t="str">
        <f>IF(_EngineCycles!A132="","",IF(COUNTIFS(Trades!$B$9:$B$508,_EngineCycles!B132,Trades!$C$9:$C$508,"&lt;&gt;"&amp;$B132,Trades!$A$9:$A$508,"&lt;&gt;")&gt;0,"Ticker mismatch",IF(COUNTIFS(Trades!$B$9:$B$508,_EngineCycles!B132,Trades!$D$9:$D$508,"&lt;&gt;"&amp;$C132,Trades!$A$9:$A$508,"&lt;&gt;")&gt;0,"Currency mismatch",IF(COUNTIFS(Trades!$B$9:$B$508,_EngineCycles!B132,Trades!$S$9:$S$508,"&lt;&gt;OK",Trades!$A$9:$A$508,"&lt;&gt;")&gt;0,"Check trades","OK"))))</f>
        <v/>
      </c>
      <c r="S132" s="34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P$9:$P$508),0),"")))</f>
        <v/>
      </c>
      <c r="T132" s="31" t="str">
        <f>IF(NOT(_EngineCycles!A132&lt;&gt;""),"",IF(NOT($R132="OK"),"",_EngineCycles!W132))</f>
        <v/>
      </c>
      <c r="U132" s="22"/>
      <c r="V132" s="22"/>
      <c r="W132" s="22"/>
      <c r="X132" s="22"/>
      <c r="Y132" t="str">
        <f>IF(AND($C132=Overview!$P$2,$Q132="Open",$R132="OK"),COUNTIFS($C$9:$C132,Overview!$P$2,$Q$9:$Q132,"Open",$R$9:$R132,"OK"),"")</f>
        <v/>
      </c>
    </row>
    <row r="133" spans="1:25" ht="23.1" customHeight="1" x14ac:dyDescent="0.25">
      <c r="A133" s="18" t="str">
        <f>IF(_EngineCycles!A133="","",_EngineCycles!B133&amp;IF(_EngineCycles!C133&gt;1," / "&amp;_EngineCycles!C133,""))</f>
        <v/>
      </c>
      <c r="B133" s="18" t="str">
        <f>IF(_EngineCycles!A133="","",_EngineCycles!D133)</f>
        <v/>
      </c>
      <c r="C133" s="18" t="str">
        <f>IF(_EngineCycles!A133="","",IFERROR(INDEX(Trades!$D$9:$D$508,_EngineCycles!AG133-8),""))</f>
        <v/>
      </c>
      <c r="D133" s="25" t="str">
        <f>IF(_EngineCycles!A133="","",IF($R133&lt;&gt;"OK","Review",IF(_EngineCycles!E133="Closed","Closed",IF(_EngineCycles!P133&gt;0,IF(IFERROR(LOOKUP(2,1/((_EngineTrades!$AU$9:$AU$508=_EngineCycles!A133)),_EngineTrades!$AQ$9:$AQ$508),0)&gt;0,"Covered Call","Shares Held"),"Cash-Secured Put"))))</f>
        <v/>
      </c>
      <c r="E133" s="26" t="str">
        <f>IF(NOT(_EngineCycles!A133&lt;&gt;""),"",IF(NOT($R133="OK"),"",_EngineCycles!P133))</f>
        <v/>
      </c>
      <c r="F133" s="17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AH$9:$AH$508),0),"")))</f>
        <v/>
      </c>
      <c r="G133" s="17" t="str">
        <f>IF(NOT(_EngineCycles!A133&lt;&gt;""),"",IF(NOT($R133="OK"),"",_EngineCycles!Q133))</f>
        <v/>
      </c>
      <c r="H133" s="27" t="str">
        <f>IF(NOT(_EngineCycles!A133&lt;&gt;""),"",IF(NOT($R133="OK"),"",_EngineCycles!J133))</f>
        <v/>
      </c>
      <c r="I133" s="17" t="str">
        <f>IF(NOT(_EngineCycles!A133&lt;&gt;""),"",IF(NOT($R133="OK"),"",_EngineCycles!I133))</f>
        <v/>
      </c>
      <c r="J133" s="17" t="str">
        <f>IF(NOT(_EngineCycles!A133&lt;&gt;""),"",IF(NOT($R133="OK"),"",_EngineCycles!L133))</f>
        <v/>
      </c>
      <c r="K133" s="17" t="str">
        <f>IF(NOT(_EngineCycles!A133&lt;&gt;""),"",IF(NOT($R133="OK"),"",_EngineCycles!U133))</f>
        <v/>
      </c>
      <c r="L133" s="27" t="str">
        <f>IF(NOT(_EngineCycles!A133&lt;&gt;""),"",IF(NOT($R133="OK"),"",_EngineCycles!AE133))</f>
        <v/>
      </c>
      <c r="M133" s="17" t="str">
        <f>IF(NOT(_EngineCycles!A133&lt;&gt;""),"",IF(NOT($R133="OK"),"",_EngineCycles!O133))</f>
        <v/>
      </c>
      <c r="N133" s="27" t="str">
        <f>IF(NOT(_EngineCycles!A133&lt;&gt;""),"",IF(NOT($R133="OK"),"",IF(_EngineCycles!E133="Closed",_EngineCycles!O133,"")))</f>
        <v/>
      </c>
      <c r="O133" s="28" t="str">
        <f>IF(NOT(_EngineCycles!A133&lt;&gt;""),"",IF(NOT($R133="OK"),"",_EngineCycles!Y133))</f>
        <v/>
      </c>
      <c r="P133" s="17" t="str">
        <f>IF(NOT(_EngineCycles!A133&lt;&gt;""),"",IF(NOT($R133="OK"),"",_EngineCycles!S133))</f>
        <v/>
      </c>
      <c r="Q133" s="25" t="str">
        <f>IF(_EngineCycles!A133="","",IF($R133&lt;&gt;"OK","Review",IF(_EngineCycles!E133="Closed","Closed","Open")))</f>
        <v/>
      </c>
      <c r="R133" s="18" t="str">
        <f>IF(_EngineCycles!A133="","",IF(COUNTIFS(Trades!$B$9:$B$508,_EngineCycles!B133,Trades!$C$9:$C$508,"&lt;&gt;"&amp;$B133,Trades!$A$9:$A$508,"&lt;&gt;")&gt;0,"Ticker mismatch",IF(COUNTIFS(Trades!$B$9:$B$508,_EngineCycles!B133,Trades!$D$9:$D$508,"&lt;&gt;"&amp;$C133,Trades!$A$9:$A$508,"&lt;&gt;")&gt;0,"Currency mismatch",IF(COUNTIFS(Trades!$B$9:$B$508,_EngineCycles!B133,Trades!$S$9:$S$508,"&lt;&gt;OK",Trades!$A$9:$A$508,"&lt;&gt;")&gt;0,"Check trades","OK"))))</f>
        <v/>
      </c>
      <c r="S133" s="29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P$9:$P$508),0),"")))</f>
        <v/>
      </c>
      <c r="T133" s="26" t="str">
        <f>IF(NOT(_EngineCycles!A133&lt;&gt;""),"",IF(NOT($R133="OK"),"",_EngineCycles!W133))</f>
        <v/>
      </c>
      <c r="U133" s="16"/>
      <c r="V133" s="16"/>
      <c r="W133" s="16"/>
      <c r="X133" s="16"/>
      <c r="Y133" t="str">
        <f>IF(AND($C133=Overview!$P$2,$Q133="Open",$R133="OK"),COUNTIFS($C$9:$C133,Overview!$P$2,$Q$9:$Q133,"Open",$R$9:$R133,"OK"),"")</f>
        <v/>
      </c>
    </row>
    <row r="134" spans="1:25" ht="23.1" customHeight="1" x14ac:dyDescent="0.25">
      <c r="A134" s="24" t="str">
        <f>IF(_EngineCycles!A134="","",_EngineCycles!B134&amp;IF(_EngineCycles!C134&gt;1," / "&amp;_EngineCycles!C134,""))</f>
        <v/>
      </c>
      <c r="B134" s="24" t="str">
        <f>IF(_EngineCycles!A134="","",_EngineCycles!D134)</f>
        <v/>
      </c>
      <c r="C134" s="24" t="str">
        <f>IF(_EngineCycles!A134="","",IFERROR(INDEX(Trades!$D$9:$D$508,_EngineCycles!AG134-8),""))</f>
        <v/>
      </c>
      <c r="D134" s="30" t="str">
        <f>IF(_EngineCycles!A134="","",IF($R134&lt;&gt;"OK","Review",IF(_EngineCycles!E134="Closed","Closed",IF(_EngineCycles!P134&gt;0,IF(IFERROR(LOOKUP(2,1/((_EngineTrades!$AU$9:$AU$508=_EngineCycles!A134)),_EngineTrades!$AQ$9:$AQ$508),0)&gt;0,"Covered Call","Shares Held"),"Cash-Secured Put"))))</f>
        <v/>
      </c>
      <c r="E134" s="31" t="str">
        <f>IF(NOT(_EngineCycles!A134&lt;&gt;""),"",IF(NOT($R134="OK"),"",_EngineCycles!P134))</f>
        <v/>
      </c>
      <c r="F134" s="23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AH$9:$AH$508),0),"")))</f>
        <v/>
      </c>
      <c r="G134" s="23" t="str">
        <f>IF(NOT(_EngineCycles!A134&lt;&gt;""),"",IF(NOT($R134="OK"),"",_EngineCycles!Q134))</f>
        <v/>
      </c>
      <c r="H134" s="32" t="str">
        <f>IF(NOT(_EngineCycles!A134&lt;&gt;""),"",IF(NOT($R134="OK"),"",_EngineCycles!J134))</f>
        <v/>
      </c>
      <c r="I134" s="23" t="str">
        <f>IF(NOT(_EngineCycles!A134&lt;&gt;""),"",IF(NOT($R134="OK"),"",_EngineCycles!I134))</f>
        <v/>
      </c>
      <c r="J134" s="23" t="str">
        <f>IF(NOT(_EngineCycles!A134&lt;&gt;""),"",IF(NOT($R134="OK"),"",_EngineCycles!L134))</f>
        <v/>
      </c>
      <c r="K134" s="23" t="str">
        <f>IF(NOT(_EngineCycles!A134&lt;&gt;""),"",IF(NOT($R134="OK"),"",_EngineCycles!U134))</f>
        <v/>
      </c>
      <c r="L134" s="32" t="str">
        <f>IF(NOT(_EngineCycles!A134&lt;&gt;""),"",IF(NOT($R134="OK"),"",_EngineCycles!AE134))</f>
        <v/>
      </c>
      <c r="M134" s="23" t="str">
        <f>IF(NOT(_EngineCycles!A134&lt;&gt;""),"",IF(NOT($R134="OK"),"",_EngineCycles!O134))</f>
        <v/>
      </c>
      <c r="N134" s="32" t="str">
        <f>IF(NOT(_EngineCycles!A134&lt;&gt;""),"",IF(NOT($R134="OK"),"",IF(_EngineCycles!E134="Closed",_EngineCycles!O134,"")))</f>
        <v/>
      </c>
      <c r="O134" s="33" t="str">
        <f>IF(NOT(_EngineCycles!A134&lt;&gt;""),"",IF(NOT($R134="OK"),"",_EngineCycles!Y134))</f>
        <v/>
      </c>
      <c r="P134" s="23" t="str">
        <f>IF(NOT(_EngineCycles!A134&lt;&gt;""),"",IF(NOT($R134="OK"),"",_EngineCycles!S134))</f>
        <v/>
      </c>
      <c r="Q134" s="30" t="str">
        <f>IF(_EngineCycles!A134="","",IF($R134&lt;&gt;"OK","Review",IF(_EngineCycles!E134="Closed","Closed","Open")))</f>
        <v/>
      </c>
      <c r="R134" s="24" t="str">
        <f>IF(_EngineCycles!A134="","",IF(COUNTIFS(Trades!$B$9:$B$508,_EngineCycles!B134,Trades!$C$9:$C$508,"&lt;&gt;"&amp;$B134,Trades!$A$9:$A$508,"&lt;&gt;")&gt;0,"Ticker mismatch",IF(COUNTIFS(Trades!$B$9:$B$508,_EngineCycles!B134,Trades!$D$9:$D$508,"&lt;&gt;"&amp;$C134,Trades!$A$9:$A$508,"&lt;&gt;")&gt;0,"Currency mismatch",IF(COUNTIFS(Trades!$B$9:$B$508,_EngineCycles!B134,Trades!$S$9:$S$508,"&lt;&gt;OK",Trades!$A$9:$A$508,"&lt;&gt;")&gt;0,"Check trades","OK"))))</f>
        <v/>
      </c>
      <c r="S134" s="34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P$9:$P$508),0),"")))</f>
        <v/>
      </c>
      <c r="T134" s="31" t="str">
        <f>IF(NOT(_EngineCycles!A134&lt;&gt;""),"",IF(NOT($R134="OK"),"",_EngineCycles!W134))</f>
        <v/>
      </c>
      <c r="U134" s="22"/>
      <c r="V134" s="22"/>
      <c r="W134" s="22"/>
      <c r="X134" s="22"/>
      <c r="Y134" t="str">
        <f>IF(AND($C134=Overview!$P$2,$Q134="Open",$R134="OK"),COUNTIFS($C$9:$C134,Overview!$P$2,$Q$9:$Q134,"Open",$R$9:$R134,"OK"),"")</f>
        <v/>
      </c>
    </row>
    <row r="135" spans="1:25" ht="23.1" customHeight="1" x14ac:dyDescent="0.25">
      <c r="A135" s="18" t="str">
        <f>IF(_EngineCycles!A135="","",_EngineCycles!B135&amp;IF(_EngineCycles!C135&gt;1," / "&amp;_EngineCycles!C135,""))</f>
        <v/>
      </c>
      <c r="B135" s="18" t="str">
        <f>IF(_EngineCycles!A135="","",_EngineCycles!D135)</f>
        <v/>
      </c>
      <c r="C135" s="18" t="str">
        <f>IF(_EngineCycles!A135="","",IFERROR(INDEX(Trades!$D$9:$D$508,_EngineCycles!AG135-8),""))</f>
        <v/>
      </c>
      <c r="D135" s="25" t="str">
        <f>IF(_EngineCycles!A135="","",IF($R135&lt;&gt;"OK","Review",IF(_EngineCycles!E135="Closed","Closed",IF(_EngineCycles!P135&gt;0,IF(IFERROR(LOOKUP(2,1/((_EngineTrades!$AU$9:$AU$508=_EngineCycles!A135)),_EngineTrades!$AQ$9:$AQ$508),0)&gt;0,"Covered Call","Shares Held"),"Cash-Secured Put"))))</f>
        <v/>
      </c>
      <c r="E135" s="26" t="str">
        <f>IF(NOT(_EngineCycles!A135&lt;&gt;""),"",IF(NOT($R135="OK"),"",_EngineCycles!P135))</f>
        <v/>
      </c>
      <c r="F135" s="17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AH$9:$AH$508),0),"")))</f>
        <v/>
      </c>
      <c r="G135" s="17" t="str">
        <f>IF(NOT(_EngineCycles!A135&lt;&gt;""),"",IF(NOT($R135="OK"),"",_EngineCycles!Q135))</f>
        <v/>
      </c>
      <c r="H135" s="27" t="str">
        <f>IF(NOT(_EngineCycles!A135&lt;&gt;""),"",IF(NOT($R135="OK"),"",_EngineCycles!J135))</f>
        <v/>
      </c>
      <c r="I135" s="17" t="str">
        <f>IF(NOT(_EngineCycles!A135&lt;&gt;""),"",IF(NOT($R135="OK"),"",_EngineCycles!I135))</f>
        <v/>
      </c>
      <c r="J135" s="17" t="str">
        <f>IF(NOT(_EngineCycles!A135&lt;&gt;""),"",IF(NOT($R135="OK"),"",_EngineCycles!L135))</f>
        <v/>
      </c>
      <c r="K135" s="17" t="str">
        <f>IF(NOT(_EngineCycles!A135&lt;&gt;""),"",IF(NOT($R135="OK"),"",_EngineCycles!U135))</f>
        <v/>
      </c>
      <c r="L135" s="27" t="str">
        <f>IF(NOT(_EngineCycles!A135&lt;&gt;""),"",IF(NOT($R135="OK"),"",_EngineCycles!AE135))</f>
        <v/>
      </c>
      <c r="M135" s="17" t="str">
        <f>IF(NOT(_EngineCycles!A135&lt;&gt;""),"",IF(NOT($R135="OK"),"",_EngineCycles!O135))</f>
        <v/>
      </c>
      <c r="N135" s="27" t="str">
        <f>IF(NOT(_EngineCycles!A135&lt;&gt;""),"",IF(NOT($R135="OK"),"",IF(_EngineCycles!E135="Closed",_EngineCycles!O135,"")))</f>
        <v/>
      </c>
      <c r="O135" s="28" t="str">
        <f>IF(NOT(_EngineCycles!A135&lt;&gt;""),"",IF(NOT($R135="OK"),"",_EngineCycles!Y135))</f>
        <v/>
      </c>
      <c r="P135" s="17" t="str">
        <f>IF(NOT(_EngineCycles!A135&lt;&gt;""),"",IF(NOT($R135="OK"),"",_EngineCycles!S135))</f>
        <v/>
      </c>
      <c r="Q135" s="25" t="str">
        <f>IF(_EngineCycles!A135="","",IF($R135&lt;&gt;"OK","Review",IF(_EngineCycles!E135="Closed","Closed","Open")))</f>
        <v/>
      </c>
      <c r="R135" s="18" t="str">
        <f>IF(_EngineCycles!A135="","",IF(COUNTIFS(Trades!$B$9:$B$508,_EngineCycles!B135,Trades!$C$9:$C$508,"&lt;&gt;"&amp;$B135,Trades!$A$9:$A$508,"&lt;&gt;")&gt;0,"Ticker mismatch",IF(COUNTIFS(Trades!$B$9:$B$508,_EngineCycles!B135,Trades!$D$9:$D$508,"&lt;&gt;"&amp;$C135,Trades!$A$9:$A$508,"&lt;&gt;")&gt;0,"Currency mismatch",IF(COUNTIFS(Trades!$B$9:$B$508,_EngineCycles!B135,Trades!$S$9:$S$508,"&lt;&gt;OK",Trades!$A$9:$A$508,"&lt;&gt;")&gt;0,"Check trades","OK"))))</f>
        <v/>
      </c>
      <c r="S135" s="29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P$9:$P$508),0),"")))</f>
        <v/>
      </c>
      <c r="T135" s="26" t="str">
        <f>IF(NOT(_EngineCycles!A135&lt;&gt;""),"",IF(NOT($R135="OK"),"",_EngineCycles!W135))</f>
        <v/>
      </c>
      <c r="U135" s="16"/>
      <c r="V135" s="16"/>
      <c r="W135" s="16"/>
      <c r="X135" s="16"/>
      <c r="Y135" t="str">
        <f>IF(AND($C135=Overview!$P$2,$Q135="Open",$R135="OK"),COUNTIFS($C$9:$C135,Overview!$P$2,$Q$9:$Q135,"Open",$R$9:$R135,"OK"),"")</f>
        <v/>
      </c>
    </row>
    <row r="136" spans="1:25" ht="23.1" customHeight="1" x14ac:dyDescent="0.25">
      <c r="A136" s="24" t="str">
        <f>IF(_EngineCycles!A136="","",_EngineCycles!B136&amp;IF(_EngineCycles!C136&gt;1," / "&amp;_EngineCycles!C136,""))</f>
        <v/>
      </c>
      <c r="B136" s="24" t="str">
        <f>IF(_EngineCycles!A136="","",_EngineCycles!D136)</f>
        <v/>
      </c>
      <c r="C136" s="24" t="str">
        <f>IF(_EngineCycles!A136="","",IFERROR(INDEX(Trades!$D$9:$D$508,_EngineCycles!AG136-8),""))</f>
        <v/>
      </c>
      <c r="D136" s="30" t="str">
        <f>IF(_EngineCycles!A136="","",IF($R136&lt;&gt;"OK","Review",IF(_EngineCycles!E136="Closed","Closed",IF(_EngineCycles!P136&gt;0,IF(IFERROR(LOOKUP(2,1/((_EngineTrades!$AU$9:$AU$508=_EngineCycles!A136)),_EngineTrades!$AQ$9:$AQ$508),0)&gt;0,"Covered Call","Shares Held"),"Cash-Secured Put"))))</f>
        <v/>
      </c>
      <c r="E136" s="31" t="str">
        <f>IF(NOT(_EngineCycles!A136&lt;&gt;""),"",IF(NOT($R136="OK"),"",_EngineCycles!P136))</f>
        <v/>
      </c>
      <c r="F136" s="23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AH$9:$AH$508),0),"")))</f>
        <v/>
      </c>
      <c r="G136" s="23" t="str">
        <f>IF(NOT(_EngineCycles!A136&lt;&gt;""),"",IF(NOT($R136="OK"),"",_EngineCycles!Q136))</f>
        <v/>
      </c>
      <c r="H136" s="32" t="str">
        <f>IF(NOT(_EngineCycles!A136&lt;&gt;""),"",IF(NOT($R136="OK"),"",_EngineCycles!J136))</f>
        <v/>
      </c>
      <c r="I136" s="23" t="str">
        <f>IF(NOT(_EngineCycles!A136&lt;&gt;""),"",IF(NOT($R136="OK"),"",_EngineCycles!I136))</f>
        <v/>
      </c>
      <c r="J136" s="23" t="str">
        <f>IF(NOT(_EngineCycles!A136&lt;&gt;""),"",IF(NOT($R136="OK"),"",_EngineCycles!L136))</f>
        <v/>
      </c>
      <c r="K136" s="23" t="str">
        <f>IF(NOT(_EngineCycles!A136&lt;&gt;""),"",IF(NOT($R136="OK"),"",_EngineCycles!U136))</f>
        <v/>
      </c>
      <c r="L136" s="32" t="str">
        <f>IF(NOT(_EngineCycles!A136&lt;&gt;""),"",IF(NOT($R136="OK"),"",_EngineCycles!AE136))</f>
        <v/>
      </c>
      <c r="M136" s="23" t="str">
        <f>IF(NOT(_EngineCycles!A136&lt;&gt;""),"",IF(NOT($R136="OK"),"",_EngineCycles!O136))</f>
        <v/>
      </c>
      <c r="N136" s="32" t="str">
        <f>IF(NOT(_EngineCycles!A136&lt;&gt;""),"",IF(NOT($R136="OK"),"",IF(_EngineCycles!E136="Closed",_EngineCycles!O136,"")))</f>
        <v/>
      </c>
      <c r="O136" s="33" t="str">
        <f>IF(NOT(_EngineCycles!A136&lt;&gt;""),"",IF(NOT($R136="OK"),"",_EngineCycles!Y136))</f>
        <v/>
      </c>
      <c r="P136" s="23" t="str">
        <f>IF(NOT(_EngineCycles!A136&lt;&gt;""),"",IF(NOT($R136="OK"),"",_EngineCycles!S136))</f>
        <v/>
      </c>
      <c r="Q136" s="30" t="str">
        <f>IF(_EngineCycles!A136="","",IF($R136&lt;&gt;"OK","Review",IF(_EngineCycles!E136="Closed","Closed","Open")))</f>
        <v/>
      </c>
      <c r="R136" s="24" t="str">
        <f>IF(_EngineCycles!A136="","",IF(COUNTIFS(Trades!$B$9:$B$508,_EngineCycles!B136,Trades!$C$9:$C$508,"&lt;&gt;"&amp;$B136,Trades!$A$9:$A$508,"&lt;&gt;")&gt;0,"Ticker mismatch",IF(COUNTIFS(Trades!$B$9:$B$508,_EngineCycles!B136,Trades!$D$9:$D$508,"&lt;&gt;"&amp;$C136,Trades!$A$9:$A$508,"&lt;&gt;")&gt;0,"Currency mismatch",IF(COUNTIFS(Trades!$B$9:$B$508,_EngineCycles!B136,Trades!$S$9:$S$508,"&lt;&gt;OK",Trades!$A$9:$A$508,"&lt;&gt;")&gt;0,"Check trades","OK"))))</f>
        <v/>
      </c>
      <c r="S136" s="34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P$9:$P$508),0),"")))</f>
        <v/>
      </c>
      <c r="T136" s="31" t="str">
        <f>IF(NOT(_EngineCycles!A136&lt;&gt;""),"",IF(NOT($R136="OK"),"",_EngineCycles!W136))</f>
        <v/>
      </c>
      <c r="U136" s="22"/>
      <c r="V136" s="22"/>
      <c r="W136" s="22"/>
      <c r="X136" s="22"/>
      <c r="Y136" t="str">
        <f>IF(AND($C136=Overview!$P$2,$Q136="Open",$R136="OK"),COUNTIFS($C$9:$C136,Overview!$P$2,$Q$9:$Q136,"Open",$R$9:$R136,"OK"),"")</f>
        <v/>
      </c>
    </row>
    <row r="137" spans="1:25" ht="23.1" customHeight="1" x14ac:dyDescent="0.25">
      <c r="A137" s="18" t="str">
        <f>IF(_EngineCycles!A137="","",_EngineCycles!B137&amp;IF(_EngineCycles!C137&gt;1," / "&amp;_EngineCycles!C137,""))</f>
        <v/>
      </c>
      <c r="B137" s="18" t="str">
        <f>IF(_EngineCycles!A137="","",_EngineCycles!D137)</f>
        <v/>
      </c>
      <c r="C137" s="18" t="str">
        <f>IF(_EngineCycles!A137="","",IFERROR(INDEX(Trades!$D$9:$D$508,_EngineCycles!AG137-8),""))</f>
        <v/>
      </c>
      <c r="D137" s="25" t="str">
        <f>IF(_EngineCycles!A137="","",IF($R137&lt;&gt;"OK","Review",IF(_EngineCycles!E137="Closed","Closed",IF(_EngineCycles!P137&gt;0,IF(IFERROR(LOOKUP(2,1/((_EngineTrades!$AU$9:$AU$508=_EngineCycles!A137)),_EngineTrades!$AQ$9:$AQ$508),0)&gt;0,"Covered Call","Shares Held"),"Cash-Secured Put"))))</f>
        <v/>
      </c>
      <c r="E137" s="26" t="str">
        <f>IF(NOT(_EngineCycles!A137&lt;&gt;""),"",IF(NOT($R137="OK"),"",_EngineCycles!P137))</f>
        <v/>
      </c>
      <c r="F137" s="17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AH$9:$AH$508),0),"")))</f>
        <v/>
      </c>
      <c r="G137" s="17" t="str">
        <f>IF(NOT(_EngineCycles!A137&lt;&gt;""),"",IF(NOT($R137="OK"),"",_EngineCycles!Q137))</f>
        <v/>
      </c>
      <c r="H137" s="27" t="str">
        <f>IF(NOT(_EngineCycles!A137&lt;&gt;""),"",IF(NOT($R137="OK"),"",_EngineCycles!J137))</f>
        <v/>
      </c>
      <c r="I137" s="17" t="str">
        <f>IF(NOT(_EngineCycles!A137&lt;&gt;""),"",IF(NOT($R137="OK"),"",_EngineCycles!I137))</f>
        <v/>
      </c>
      <c r="J137" s="17" t="str">
        <f>IF(NOT(_EngineCycles!A137&lt;&gt;""),"",IF(NOT($R137="OK"),"",_EngineCycles!L137))</f>
        <v/>
      </c>
      <c r="K137" s="17" t="str">
        <f>IF(NOT(_EngineCycles!A137&lt;&gt;""),"",IF(NOT($R137="OK"),"",_EngineCycles!U137))</f>
        <v/>
      </c>
      <c r="L137" s="27" t="str">
        <f>IF(NOT(_EngineCycles!A137&lt;&gt;""),"",IF(NOT($R137="OK"),"",_EngineCycles!AE137))</f>
        <v/>
      </c>
      <c r="M137" s="17" t="str">
        <f>IF(NOT(_EngineCycles!A137&lt;&gt;""),"",IF(NOT($R137="OK"),"",_EngineCycles!O137))</f>
        <v/>
      </c>
      <c r="N137" s="27" t="str">
        <f>IF(NOT(_EngineCycles!A137&lt;&gt;""),"",IF(NOT($R137="OK"),"",IF(_EngineCycles!E137="Closed",_EngineCycles!O137,"")))</f>
        <v/>
      </c>
      <c r="O137" s="28" t="str">
        <f>IF(NOT(_EngineCycles!A137&lt;&gt;""),"",IF(NOT($R137="OK"),"",_EngineCycles!Y137))</f>
        <v/>
      </c>
      <c r="P137" s="17" t="str">
        <f>IF(NOT(_EngineCycles!A137&lt;&gt;""),"",IF(NOT($R137="OK"),"",_EngineCycles!S137))</f>
        <v/>
      </c>
      <c r="Q137" s="25" t="str">
        <f>IF(_EngineCycles!A137="","",IF($R137&lt;&gt;"OK","Review",IF(_EngineCycles!E137="Closed","Closed","Open")))</f>
        <v/>
      </c>
      <c r="R137" s="18" t="str">
        <f>IF(_EngineCycles!A137="","",IF(COUNTIFS(Trades!$B$9:$B$508,_EngineCycles!B137,Trades!$C$9:$C$508,"&lt;&gt;"&amp;$B137,Trades!$A$9:$A$508,"&lt;&gt;")&gt;0,"Ticker mismatch",IF(COUNTIFS(Trades!$B$9:$B$508,_EngineCycles!B137,Trades!$D$9:$D$508,"&lt;&gt;"&amp;$C137,Trades!$A$9:$A$508,"&lt;&gt;")&gt;0,"Currency mismatch",IF(COUNTIFS(Trades!$B$9:$B$508,_EngineCycles!B137,Trades!$S$9:$S$508,"&lt;&gt;OK",Trades!$A$9:$A$508,"&lt;&gt;")&gt;0,"Check trades","OK"))))</f>
        <v/>
      </c>
      <c r="S137" s="29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P$9:$P$508),0),"")))</f>
        <v/>
      </c>
      <c r="T137" s="26" t="str">
        <f>IF(NOT(_EngineCycles!A137&lt;&gt;""),"",IF(NOT($R137="OK"),"",_EngineCycles!W137))</f>
        <v/>
      </c>
      <c r="U137" s="16"/>
      <c r="V137" s="16"/>
      <c r="W137" s="16"/>
      <c r="X137" s="16"/>
      <c r="Y137" t="str">
        <f>IF(AND($C137=Overview!$P$2,$Q137="Open",$R137="OK"),COUNTIFS($C$9:$C137,Overview!$P$2,$Q$9:$Q137,"Open",$R$9:$R137,"OK"),"")</f>
        <v/>
      </c>
    </row>
    <row r="138" spans="1:25" ht="23.1" customHeight="1" x14ac:dyDescent="0.25">
      <c r="A138" s="24" t="str">
        <f>IF(_EngineCycles!A138="","",_EngineCycles!B138&amp;IF(_EngineCycles!C138&gt;1," / "&amp;_EngineCycles!C138,""))</f>
        <v/>
      </c>
      <c r="B138" s="24" t="str">
        <f>IF(_EngineCycles!A138="","",_EngineCycles!D138)</f>
        <v/>
      </c>
      <c r="C138" s="24" t="str">
        <f>IF(_EngineCycles!A138="","",IFERROR(INDEX(Trades!$D$9:$D$508,_EngineCycles!AG138-8),""))</f>
        <v/>
      </c>
      <c r="D138" s="30" t="str">
        <f>IF(_EngineCycles!A138="","",IF($R138&lt;&gt;"OK","Review",IF(_EngineCycles!E138="Closed","Closed",IF(_EngineCycles!P138&gt;0,IF(IFERROR(LOOKUP(2,1/((_EngineTrades!$AU$9:$AU$508=_EngineCycles!A138)),_EngineTrades!$AQ$9:$AQ$508),0)&gt;0,"Covered Call","Shares Held"),"Cash-Secured Put"))))</f>
        <v/>
      </c>
      <c r="E138" s="31" t="str">
        <f>IF(NOT(_EngineCycles!A138&lt;&gt;""),"",IF(NOT($R138="OK"),"",_EngineCycles!P138))</f>
        <v/>
      </c>
      <c r="F138" s="23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AH$9:$AH$508),0),"")))</f>
        <v/>
      </c>
      <c r="G138" s="23" t="str">
        <f>IF(NOT(_EngineCycles!A138&lt;&gt;""),"",IF(NOT($R138="OK"),"",_EngineCycles!Q138))</f>
        <v/>
      </c>
      <c r="H138" s="32" t="str">
        <f>IF(NOT(_EngineCycles!A138&lt;&gt;""),"",IF(NOT($R138="OK"),"",_EngineCycles!J138))</f>
        <v/>
      </c>
      <c r="I138" s="23" t="str">
        <f>IF(NOT(_EngineCycles!A138&lt;&gt;""),"",IF(NOT($R138="OK"),"",_EngineCycles!I138))</f>
        <v/>
      </c>
      <c r="J138" s="23" t="str">
        <f>IF(NOT(_EngineCycles!A138&lt;&gt;""),"",IF(NOT($R138="OK"),"",_EngineCycles!L138))</f>
        <v/>
      </c>
      <c r="K138" s="23" t="str">
        <f>IF(NOT(_EngineCycles!A138&lt;&gt;""),"",IF(NOT($R138="OK"),"",_EngineCycles!U138))</f>
        <v/>
      </c>
      <c r="L138" s="32" t="str">
        <f>IF(NOT(_EngineCycles!A138&lt;&gt;""),"",IF(NOT($R138="OK"),"",_EngineCycles!AE138))</f>
        <v/>
      </c>
      <c r="M138" s="23" t="str">
        <f>IF(NOT(_EngineCycles!A138&lt;&gt;""),"",IF(NOT($R138="OK"),"",_EngineCycles!O138))</f>
        <v/>
      </c>
      <c r="N138" s="32" t="str">
        <f>IF(NOT(_EngineCycles!A138&lt;&gt;""),"",IF(NOT($R138="OK"),"",IF(_EngineCycles!E138="Closed",_EngineCycles!O138,"")))</f>
        <v/>
      </c>
      <c r="O138" s="33" t="str">
        <f>IF(NOT(_EngineCycles!A138&lt;&gt;""),"",IF(NOT($R138="OK"),"",_EngineCycles!Y138))</f>
        <v/>
      </c>
      <c r="P138" s="23" t="str">
        <f>IF(NOT(_EngineCycles!A138&lt;&gt;""),"",IF(NOT($R138="OK"),"",_EngineCycles!S138))</f>
        <v/>
      </c>
      <c r="Q138" s="30" t="str">
        <f>IF(_EngineCycles!A138="","",IF($R138&lt;&gt;"OK","Review",IF(_EngineCycles!E138="Closed","Closed","Open")))</f>
        <v/>
      </c>
      <c r="R138" s="24" t="str">
        <f>IF(_EngineCycles!A138="","",IF(COUNTIFS(Trades!$B$9:$B$508,_EngineCycles!B138,Trades!$C$9:$C$508,"&lt;&gt;"&amp;$B138,Trades!$A$9:$A$508,"&lt;&gt;")&gt;0,"Ticker mismatch",IF(COUNTIFS(Trades!$B$9:$B$508,_EngineCycles!B138,Trades!$D$9:$D$508,"&lt;&gt;"&amp;$C138,Trades!$A$9:$A$508,"&lt;&gt;")&gt;0,"Currency mismatch",IF(COUNTIFS(Trades!$B$9:$B$508,_EngineCycles!B138,Trades!$S$9:$S$508,"&lt;&gt;OK",Trades!$A$9:$A$508,"&lt;&gt;")&gt;0,"Check trades","OK"))))</f>
        <v/>
      </c>
      <c r="S138" s="34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P$9:$P$508),0),"")))</f>
        <v/>
      </c>
      <c r="T138" s="31" t="str">
        <f>IF(NOT(_EngineCycles!A138&lt;&gt;""),"",IF(NOT($R138="OK"),"",_EngineCycles!W138))</f>
        <v/>
      </c>
      <c r="U138" s="22"/>
      <c r="V138" s="22"/>
      <c r="W138" s="22"/>
      <c r="X138" s="22"/>
      <c r="Y138" t="str">
        <f>IF(AND($C138=Overview!$P$2,$Q138="Open",$R138="OK"),COUNTIFS($C$9:$C138,Overview!$P$2,$Q$9:$Q138,"Open",$R$9:$R138,"OK"),"")</f>
        <v/>
      </c>
    </row>
    <row r="139" spans="1:25" ht="23.1" customHeight="1" x14ac:dyDescent="0.25">
      <c r="A139" s="18" t="str">
        <f>IF(_EngineCycles!A139="","",_EngineCycles!B139&amp;IF(_EngineCycles!C139&gt;1," / "&amp;_EngineCycles!C139,""))</f>
        <v/>
      </c>
      <c r="B139" s="18" t="str">
        <f>IF(_EngineCycles!A139="","",_EngineCycles!D139)</f>
        <v/>
      </c>
      <c r="C139" s="18" t="str">
        <f>IF(_EngineCycles!A139="","",IFERROR(INDEX(Trades!$D$9:$D$508,_EngineCycles!AG139-8),""))</f>
        <v/>
      </c>
      <c r="D139" s="25" t="str">
        <f>IF(_EngineCycles!A139="","",IF($R139&lt;&gt;"OK","Review",IF(_EngineCycles!E139="Closed","Closed",IF(_EngineCycles!P139&gt;0,IF(IFERROR(LOOKUP(2,1/((_EngineTrades!$AU$9:$AU$508=_EngineCycles!A139)),_EngineTrades!$AQ$9:$AQ$508),0)&gt;0,"Covered Call","Shares Held"),"Cash-Secured Put"))))</f>
        <v/>
      </c>
      <c r="E139" s="26" t="str">
        <f>IF(NOT(_EngineCycles!A139&lt;&gt;""),"",IF(NOT($R139="OK"),"",_EngineCycles!P139))</f>
        <v/>
      </c>
      <c r="F139" s="17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AH$9:$AH$508),0),"")))</f>
        <v/>
      </c>
      <c r="G139" s="17" t="str">
        <f>IF(NOT(_EngineCycles!A139&lt;&gt;""),"",IF(NOT($R139="OK"),"",_EngineCycles!Q139))</f>
        <v/>
      </c>
      <c r="H139" s="27" t="str">
        <f>IF(NOT(_EngineCycles!A139&lt;&gt;""),"",IF(NOT($R139="OK"),"",_EngineCycles!J139))</f>
        <v/>
      </c>
      <c r="I139" s="17" t="str">
        <f>IF(NOT(_EngineCycles!A139&lt;&gt;""),"",IF(NOT($R139="OK"),"",_EngineCycles!I139))</f>
        <v/>
      </c>
      <c r="J139" s="17" t="str">
        <f>IF(NOT(_EngineCycles!A139&lt;&gt;""),"",IF(NOT($R139="OK"),"",_EngineCycles!L139))</f>
        <v/>
      </c>
      <c r="K139" s="17" t="str">
        <f>IF(NOT(_EngineCycles!A139&lt;&gt;""),"",IF(NOT($R139="OK"),"",_EngineCycles!U139))</f>
        <v/>
      </c>
      <c r="L139" s="27" t="str">
        <f>IF(NOT(_EngineCycles!A139&lt;&gt;""),"",IF(NOT($R139="OK"),"",_EngineCycles!AE139))</f>
        <v/>
      </c>
      <c r="M139" s="17" t="str">
        <f>IF(NOT(_EngineCycles!A139&lt;&gt;""),"",IF(NOT($R139="OK"),"",_EngineCycles!O139))</f>
        <v/>
      </c>
      <c r="N139" s="27" t="str">
        <f>IF(NOT(_EngineCycles!A139&lt;&gt;""),"",IF(NOT($R139="OK"),"",IF(_EngineCycles!E139="Closed",_EngineCycles!O139,"")))</f>
        <v/>
      </c>
      <c r="O139" s="28" t="str">
        <f>IF(NOT(_EngineCycles!A139&lt;&gt;""),"",IF(NOT($R139="OK"),"",_EngineCycles!Y139))</f>
        <v/>
      </c>
      <c r="P139" s="17" t="str">
        <f>IF(NOT(_EngineCycles!A139&lt;&gt;""),"",IF(NOT($R139="OK"),"",_EngineCycles!S139))</f>
        <v/>
      </c>
      <c r="Q139" s="25" t="str">
        <f>IF(_EngineCycles!A139="","",IF($R139&lt;&gt;"OK","Review",IF(_EngineCycles!E139="Closed","Closed","Open")))</f>
        <v/>
      </c>
      <c r="R139" s="18" t="str">
        <f>IF(_EngineCycles!A139="","",IF(COUNTIFS(Trades!$B$9:$B$508,_EngineCycles!B139,Trades!$C$9:$C$508,"&lt;&gt;"&amp;$B139,Trades!$A$9:$A$508,"&lt;&gt;")&gt;0,"Ticker mismatch",IF(COUNTIFS(Trades!$B$9:$B$508,_EngineCycles!B139,Trades!$D$9:$D$508,"&lt;&gt;"&amp;$C139,Trades!$A$9:$A$508,"&lt;&gt;")&gt;0,"Currency mismatch",IF(COUNTIFS(Trades!$B$9:$B$508,_EngineCycles!B139,Trades!$S$9:$S$508,"&lt;&gt;OK",Trades!$A$9:$A$508,"&lt;&gt;")&gt;0,"Check trades","OK"))))</f>
        <v/>
      </c>
      <c r="S139" s="29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P$9:$P$508),0),"")))</f>
        <v/>
      </c>
      <c r="T139" s="26" t="str">
        <f>IF(NOT(_EngineCycles!A139&lt;&gt;""),"",IF(NOT($R139="OK"),"",_EngineCycles!W139))</f>
        <v/>
      </c>
      <c r="U139" s="16"/>
      <c r="V139" s="16"/>
      <c r="W139" s="16"/>
      <c r="X139" s="16"/>
      <c r="Y139" t="str">
        <f>IF(AND($C139=Overview!$P$2,$Q139="Open",$R139="OK"),COUNTIFS($C$9:$C139,Overview!$P$2,$Q$9:$Q139,"Open",$R$9:$R139,"OK"),"")</f>
        <v/>
      </c>
    </row>
    <row r="140" spans="1:25" ht="23.1" customHeight="1" x14ac:dyDescent="0.25">
      <c r="A140" s="24" t="str">
        <f>IF(_EngineCycles!A140="","",_EngineCycles!B140&amp;IF(_EngineCycles!C140&gt;1," / "&amp;_EngineCycles!C140,""))</f>
        <v/>
      </c>
      <c r="B140" s="24" t="str">
        <f>IF(_EngineCycles!A140="","",_EngineCycles!D140)</f>
        <v/>
      </c>
      <c r="C140" s="24" t="str">
        <f>IF(_EngineCycles!A140="","",IFERROR(INDEX(Trades!$D$9:$D$508,_EngineCycles!AG140-8),""))</f>
        <v/>
      </c>
      <c r="D140" s="30" t="str">
        <f>IF(_EngineCycles!A140="","",IF($R140&lt;&gt;"OK","Review",IF(_EngineCycles!E140="Closed","Closed",IF(_EngineCycles!P140&gt;0,IF(IFERROR(LOOKUP(2,1/((_EngineTrades!$AU$9:$AU$508=_EngineCycles!A140)),_EngineTrades!$AQ$9:$AQ$508),0)&gt;0,"Covered Call","Shares Held"),"Cash-Secured Put"))))</f>
        <v/>
      </c>
      <c r="E140" s="31" t="str">
        <f>IF(NOT(_EngineCycles!A140&lt;&gt;""),"",IF(NOT($R140="OK"),"",_EngineCycles!P140))</f>
        <v/>
      </c>
      <c r="F140" s="23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AH$9:$AH$508),0),"")))</f>
        <v/>
      </c>
      <c r="G140" s="23" t="str">
        <f>IF(NOT(_EngineCycles!A140&lt;&gt;""),"",IF(NOT($R140="OK"),"",_EngineCycles!Q140))</f>
        <v/>
      </c>
      <c r="H140" s="32" t="str">
        <f>IF(NOT(_EngineCycles!A140&lt;&gt;""),"",IF(NOT($R140="OK"),"",_EngineCycles!J140))</f>
        <v/>
      </c>
      <c r="I140" s="23" t="str">
        <f>IF(NOT(_EngineCycles!A140&lt;&gt;""),"",IF(NOT($R140="OK"),"",_EngineCycles!I140))</f>
        <v/>
      </c>
      <c r="J140" s="23" t="str">
        <f>IF(NOT(_EngineCycles!A140&lt;&gt;""),"",IF(NOT($R140="OK"),"",_EngineCycles!L140))</f>
        <v/>
      </c>
      <c r="K140" s="23" t="str">
        <f>IF(NOT(_EngineCycles!A140&lt;&gt;""),"",IF(NOT($R140="OK"),"",_EngineCycles!U140))</f>
        <v/>
      </c>
      <c r="L140" s="32" t="str">
        <f>IF(NOT(_EngineCycles!A140&lt;&gt;""),"",IF(NOT($R140="OK"),"",_EngineCycles!AE140))</f>
        <v/>
      </c>
      <c r="M140" s="23" t="str">
        <f>IF(NOT(_EngineCycles!A140&lt;&gt;""),"",IF(NOT($R140="OK"),"",_EngineCycles!O140))</f>
        <v/>
      </c>
      <c r="N140" s="32" t="str">
        <f>IF(NOT(_EngineCycles!A140&lt;&gt;""),"",IF(NOT($R140="OK"),"",IF(_EngineCycles!E140="Closed",_EngineCycles!O140,"")))</f>
        <v/>
      </c>
      <c r="O140" s="33" t="str">
        <f>IF(NOT(_EngineCycles!A140&lt;&gt;""),"",IF(NOT($R140="OK"),"",_EngineCycles!Y140))</f>
        <v/>
      </c>
      <c r="P140" s="23" t="str">
        <f>IF(NOT(_EngineCycles!A140&lt;&gt;""),"",IF(NOT($R140="OK"),"",_EngineCycles!S140))</f>
        <v/>
      </c>
      <c r="Q140" s="30" t="str">
        <f>IF(_EngineCycles!A140="","",IF($R140&lt;&gt;"OK","Review",IF(_EngineCycles!E140="Closed","Closed","Open")))</f>
        <v/>
      </c>
      <c r="R140" s="24" t="str">
        <f>IF(_EngineCycles!A140="","",IF(COUNTIFS(Trades!$B$9:$B$508,_EngineCycles!B140,Trades!$C$9:$C$508,"&lt;&gt;"&amp;$B140,Trades!$A$9:$A$508,"&lt;&gt;")&gt;0,"Ticker mismatch",IF(COUNTIFS(Trades!$B$9:$B$508,_EngineCycles!B140,Trades!$D$9:$D$508,"&lt;&gt;"&amp;$C140,Trades!$A$9:$A$508,"&lt;&gt;")&gt;0,"Currency mismatch",IF(COUNTIFS(Trades!$B$9:$B$508,_EngineCycles!B140,Trades!$S$9:$S$508,"&lt;&gt;OK",Trades!$A$9:$A$508,"&lt;&gt;")&gt;0,"Check trades","OK"))))</f>
        <v/>
      </c>
      <c r="S140" s="34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P$9:$P$508),0),"")))</f>
        <v/>
      </c>
      <c r="T140" s="31" t="str">
        <f>IF(NOT(_EngineCycles!A140&lt;&gt;""),"",IF(NOT($R140="OK"),"",_EngineCycles!W140))</f>
        <v/>
      </c>
      <c r="U140" s="22"/>
      <c r="V140" s="22"/>
      <c r="W140" s="22"/>
      <c r="X140" s="22"/>
      <c r="Y140" t="str">
        <f>IF(AND($C140=Overview!$P$2,$Q140="Open",$R140="OK"),COUNTIFS($C$9:$C140,Overview!$P$2,$Q$9:$Q140,"Open",$R$9:$R140,"OK"),"")</f>
        <v/>
      </c>
    </row>
    <row r="141" spans="1:25" ht="23.1" customHeight="1" x14ac:dyDescent="0.25">
      <c r="A141" s="18" t="str">
        <f>IF(_EngineCycles!A141="","",_EngineCycles!B141&amp;IF(_EngineCycles!C141&gt;1," / "&amp;_EngineCycles!C141,""))</f>
        <v/>
      </c>
      <c r="B141" s="18" t="str">
        <f>IF(_EngineCycles!A141="","",_EngineCycles!D141)</f>
        <v/>
      </c>
      <c r="C141" s="18" t="str">
        <f>IF(_EngineCycles!A141="","",IFERROR(INDEX(Trades!$D$9:$D$508,_EngineCycles!AG141-8),""))</f>
        <v/>
      </c>
      <c r="D141" s="25" t="str">
        <f>IF(_EngineCycles!A141="","",IF($R141&lt;&gt;"OK","Review",IF(_EngineCycles!E141="Closed","Closed",IF(_EngineCycles!P141&gt;0,IF(IFERROR(LOOKUP(2,1/((_EngineTrades!$AU$9:$AU$508=_EngineCycles!A141)),_EngineTrades!$AQ$9:$AQ$508),0)&gt;0,"Covered Call","Shares Held"),"Cash-Secured Put"))))</f>
        <v/>
      </c>
      <c r="E141" s="26" t="str">
        <f>IF(NOT(_EngineCycles!A141&lt;&gt;""),"",IF(NOT($R141="OK"),"",_EngineCycles!P141))</f>
        <v/>
      </c>
      <c r="F141" s="17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AH$9:$AH$508),0),"")))</f>
        <v/>
      </c>
      <c r="G141" s="17" t="str">
        <f>IF(NOT(_EngineCycles!A141&lt;&gt;""),"",IF(NOT($R141="OK"),"",_EngineCycles!Q141))</f>
        <v/>
      </c>
      <c r="H141" s="27" t="str">
        <f>IF(NOT(_EngineCycles!A141&lt;&gt;""),"",IF(NOT($R141="OK"),"",_EngineCycles!J141))</f>
        <v/>
      </c>
      <c r="I141" s="17" t="str">
        <f>IF(NOT(_EngineCycles!A141&lt;&gt;""),"",IF(NOT($R141="OK"),"",_EngineCycles!I141))</f>
        <v/>
      </c>
      <c r="J141" s="17" t="str">
        <f>IF(NOT(_EngineCycles!A141&lt;&gt;""),"",IF(NOT($R141="OK"),"",_EngineCycles!L141))</f>
        <v/>
      </c>
      <c r="K141" s="17" t="str">
        <f>IF(NOT(_EngineCycles!A141&lt;&gt;""),"",IF(NOT($R141="OK"),"",_EngineCycles!U141))</f>
        <v/>
      </c>
      <c r="L141" s="27" t="str">
        <f>IF(NOT(_EngineCycles!A141&lt;&gt;""),"",IF(NOT($R141="OK"),"",_EngineCycles!AE141))</f>
        <v/>
      </c>
      <c r="M141" s="17" t="str">
        <f>IF(NOT(_EngineCycles!A141&lt;&gt;""),"",IF(NOT($R141="OK"),"",_EngineCycles!O141))</f>
        <v/>
      </c>
      <c r="N141" s="27" t="str">
        <f>IF(NOT(_EngineCycles!A141&lt;&gt;""),"",IF(NOT($R141="OK"),"",IF(_EngineCycles!E141="Closed",_EngineCycles!O141,"")))</f>
        <v/>
      </c>
      <c r="O141" s="28" t="str">
        <f>IF(NOT(_EngineCycles!A141&lt;&gt;""),"",IF(NOT($R141="OK"),"",_EngineCycles!Y141))</f>
        <v/>
      </c>
      <c r="P141" s="17" t="str">
        <f>IF(NOT(_EngineCycles!A141&lt;&gt;""),"",IF(NOT($R141="OK"),"",_EngineCycles!S141))</f>
        <v/>
      </c>
      <c r="Q141" s="25" t="str">
        <f>IF(_EngineCycles!A141="","",IF($R141&lt;&gt;"OK","Review",IF(_EngineCycles!E141="Closed","Closed","Open")))</f>
        <v/>
      </c>
      <c r="R141" s="18" t="str">
        <f>IF(_EngineCycles!A141="","",IF(COUNTIFS(Trades!$B$9:$B$508,_EngineCycles!B141,Trades!$C$9:$C$508,"&lt;&gt;"&amp;$B141,Trades!$A$9:$A$508,"&lt;&gt;")&gt;0,"Ticker mismatch",IF(COUNTIFS(Trades!$B$9:$B$508,_EngineCycles!B141,Trades!$D$9:$D$508,"&lt;&gt;"&amp;$C141,Trades!$A$9:$A$508,"&lt;&gt;")&gt;0,"Currency mismatch",IF(COUNTIFS(Trades!$B$9:$B$508,_EngineCycles!B141,Trades!$S$9:$S$508,"&lt;&gt;OK",Trades!$A$9:$A$508,"&lt;&gt;")&gt;0,"Check trades","OK"))))</f>
        <v/>
      </c>
      <c r="S141" s="29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P$9:$P$508),0),"")))</f>
        <v/>
      </c>
      <c r="T141" s="26" t="str">
        <f>IF(NOT(_EngineCycles!A141&lt;&gt;""),"",IF(NOT($R141="OK"),"",_EngineCycles!W141))</f>
        <v/>
      </c>
      <c r="U141" s="16"/>
      <c r="V141" s="16"/>
      <c r="W141" s="16"/>
      <c r="X141" s="16"/>
      <c r="Y141" t="str">
        <f>IF(AND($C141=Overview!$P$2,$Q141="Open",$R141="OK"),COUNTIFS($C$9:$C141,Overview!$P$2,$Q$9:$Q141,"Open",$R$9:$R141,"OK"),"")</f>
        <v/>
      </c>
    </row>
    <row r="142" spans="1:25" ht="23.1" customHeight="1" x14ac:dyDescent="0.25">
      <c r="A142" s="24" t="str">
        <f>IF(_EngineCycles!A142="","",_EngineCycles!B142&amp;IF(_EngineCycles!C142&gt;1," / "&amp;_EngineCycles!C142,""))</f>
        <v/>
      </c>
      <c r="B142" s="24" t="str">
        <f>IF(_EngineCycles!A142="","",_EngineCycles!D142)</f>
        <v/>
      </c>
      <c r="C142" s="24" t="str">
        <f>IF(_EngineCycles!A142="","",IFERROR(INDEX(Trades!$D$9:$D$508,_EngineCycles!AG142-8),""))</f>
        <v/>
      </c>
      <c r="D142" s="30" t="str">
        <f>IF(_EngineCycles!A142="","",IF($R142&lt;&gt;"OK","Review",IF(_EngineCycles!E142="Closed","Closed",IF(_EngineCycles!P142&gt;0,IF(IFERROR(LOOKUP(2,1/((_EngineTrades!$AU$9:$AU$508=_EngineCycles!A142)),_EngineTrades!$AQ$9:$AQ$508),0)&gt;0,"Covered Call","Shares Held"),"Cash-Secured Put"))))</f>
        <v/>
      </c>
      <c r="E142" s="31" t="str">
        <f>IF(NOT(_EngineCycles!A142&lt;&gt;""),"",IF(NOT($R142="OK"),"",_EngineCycles!P142))</f>
        <v/>
      </c>
      <c r="F142" s="23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AH$9:$AH$508),0),"")))</f>
        <v/>
      </c>
      <c r="G142" s="23" t="str">
        <f>IF(NOT(_EngineCycles!A142&lt;&gt;""),"",IF(NOT($R142="OK"),"",_EngineCycles!Q142))</f>
        <v/>
      </c>
      <c r="H142" s="32" t="str">
        <f>IF(NOT(_EngineCycles!A142&lt;&gt;""),"",IF(NOT($R142="OK"),"",_EngineCycles!J142))</f>
        <v/>
      </c>
      <c r="I142" s="23" t="str">
        <f>IF(NOT(_EngineCycles!A142&lt;&gt;""),"",IF(NOT($R142="OK"),"",_EngineCycles!I142))</f>
        <v/>
      </c>
      <c r="J142" s="23" t="str">
        <f>IF(NOT(_EngineCycles!A142&lt;&gt;""),"",IF(NOT($R142="OK"),"",_EngineCycles!L142))</f>
        <v/>
      </c>
      <c r="K142" s="23" t="str">
        <f>IF(NOT(_EngineCycles!A142&lt;&gt;""),"",IF(NOT($R142="OK"),"",_EngineCycles!U142))</f>
        <v/>
      </c>
      <c r="L142" s="32" t="str">
        <f>IF(NOT(_EngineCycles!A142&lt;&gt;""),"",IF(NOT($R142="OK"),"",_EngineCycles!AE142))</f>
        <v/>
      </c>
      <c r="M142" s="23" t="str">
        <f>IF(NOT(_EngineCycles!A142&lt;&gt;""),"",IF(NOT($R142="OK"),"",_EngineCycles!O142))</f>
        <v/>
      </c>
      <c r="N142" s="32" t="str">
        <f>IF(NOT(_EngineCycles!A142&lt;&gt;""),"",IF(NOT($R142="OK"),"",IF(_EngineCycles!E142="Closed",_EngineCycles!O142,"")))</f>
        <v/>
      </c>
      <c r="O142" s="33" t="str">
        <f>IF(NOT(_EngineCycles!A142&lt;&gt;""),"",IF(NOT($R142="OK"),"",_EngineCycles!Y142))</f>
        <v/>
      </c>
      <c r="P142" s="23" t="str">
        <f>IF(NOT(_EngineCycles!A142&lt;&gt;""),"",IF(NOT($R142="OK"),"",_EngineCycles!S142))</f>
        <v/>
      </c>
      <c r="Q142" s="30" t="str">
        <f>IF(_EngineCycles!A142="","",IF($R142&lt;&gt;"OK","Review",IF(_EngineCycles!E142="Closed","Closed","Open")))</f>
        <v/>
      </c>
      <c r="R142" s="24" t="str">
        <f>IF(_EngineCycles!A142="","",IF(COUNTIFS(Trades!$B$9:$B$508,_EngineCycles!B142,Trades!$C$9:$C$508,"&lt;&gt;"&amp;$B142,Trades!$A$9:$A$508,"&lt;&gt;")&gt;0,"Ticker mismatch",IF(COUNTIFS(Trades!$B$9:$B$508,_EngineCycles!B142,Trades!$D$9:$D$508,"&lt;&gt;"&amp;$C142,Trades!$A$9:$A$508,"&lt;&gt;")&gt;0,"Currency mismatch",IF(COUNTIFS(Trades!$B$9:$B$508,_EngineCycles!B142,Trades!$S$9:$S$508,"&lt;&gt;OK",Trades!$A$9:$A$508,"&lt;&gt;")&gt;0,"Check trades","OK"))))</f>
        <v/>
      </c>
      <c r="S142" s="34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P$9:$P$508),0),"")))</f>
        <v/>
      </c>
      <c r="T142" s="31" t="str">
        <f>IF(NOT(_EngineCycles!A142&lt;&gt;""),"",IF(NOT($R142="OK"),"",_EngineCycles!W142))</f>
        <v/>
      </c>
      <c r="U142" s="22"/>
      <c r="V142" s="22"/>
      <c r="W142" s="22"/>
      <c r="X142" s="22"/>
      <c r="Y142" t="str">
        <f>IF(AND($C142=Overview!$P$2,$Q142="Open",$R142="OK"),COUNTIFS($C$9:$C142,Overview!$P$2,$Q$9:$Q142,"Open",$R$9:$R142,"OK"),"")</f>
        <v/>
      </c>
    </row>
    <row r="143" spans="1:25" ht="23.1" customHeight="1" x14ac:dyDescent="0.25">
      <c r="A143" s="18" t="str">
        <f>IF(_EngineCycles!A143="","",_EngineCycles!B143&amp;IF(_EngineCycles!C143&gt;1," / "&amp;_EngineCycles!C143,""))</f>
        <v/>
      </c>
      <c r="B143" s="18" t="str">
        <f>IF(_EngineCycles!A143="","",_EngineCycles!D143)</f>
        <v/>
      </c>
      <c r="C143" s="18" t="str">
        <f>IF(_EngineCycles!A143="","",IFERROR(INDEX(Trades!$D$9:$D$508,_EngineCycles!AG143-8),""))</f>
        <v/>
      </c>
      <c r="D143" s="25" t="str">
        <f>IF(_EngineCycles!A143="","",IF($R143&lt;&gt;"OK","Review",IF(_EngineCycles!E143="Closed","Closed",IF(_EngineCycles!P143&gt;0,IF(IFERROR(LOOKUP(2,1/((_EngineTrades!$AU$9:$AU$508=_EngineCycles!A143)),_EngineTrades!$AQ$9:$AQ$508),0)&gt;0,"Covered Call","Shares Held"),"Cash-Secured Put"))))</f>
        <v/>
      </c>
      <c r="E143" s="26" t="str">
        <f>IF(NOT(_EngineCycles!A143&lt;&gt;""),"",IF(NOT($R143="OK"),"",_EngineCycles!P143))</f>
        <v/>
      </c>
      <c r="F143" s="17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AH$9:$AH$508),0),"")))</f>
        <v/>
      </c>
      <c r="G143" s="17" t="str">
        <f>IF(NOT(_EngineCycles!A143&lt;&gt;""),"",IF(NOT($R143="OK"),"",_EngineCycles!Q143))</f>
        <v/>
      </c>
      <c r="H143" s="27" t="str">
        <f>IF(NOT(_EngineCycles!A143&lt;&gt;""),"",IF(NOT($R143="OK"),"",_EngineCycles!J143))</f>
        <v/>
      </c>
      <c r="I143" s="17" t="str">
        <f>IF(NOT(_EngineCycles!A143&lt;&gt;""),"",IF(NOT($R143="OK"),"",_EngineCycles!I143))</f>
        <v/>
      </c>
      <c r="J143" s="17" t="str">
        <f>IF(NOT(_EngineCycles!A143&lt;&gt;""),"",IF(NOT($R143="OK"),"",_EngineCycles!L143))</f>
        <v/>
      </c>
      <c r="K143" s="17" t="str">
        <f>IF(NOT(_EngineCycles!A143&lt;&gt;""),"",IF(NOT($R143="OK"),"",_EngineCycles!U143))</f>
        <v/>
      </c>
      <c r="L143" s="27" t="str">
        <f>IF(NOT(_EngineCycles!A143&lt;&gt;""),"",IF(NOT($R143="OK"),"",_EngineCycles!AE143))</f>
        <v/>
      </c>
      <c r="M143" s="17" t="str">
        <f>IF(NOT(_EngineCycles!A143&lt;&gt;""),"",IF(NOT($R143="OK"),"",_EngineCycles!O143))</f>
        <v/>
      </c>
      <c r="N143" s="27" t="str">
        <f>IF(NOT(_EngineCycles!A143&lt;&gt;""),"",IF(NOT($R143="OK"),"",IF(_EngineCycles!E143="Closed",_EngineCycles!O143,"")))</f>
        <v/>
      </c>
      <c r="O143" s="28" t="str">
        <f>IF(NOT(_EngineCycles!A143&lt;&gt;""),"",IF(NOT($R143="OK"),"",_EngineCycles!Y143))</f>
        <v/>
      </c>
      <c r="P143" s="17" t="str">
        <f>IF(NOT(_EngineCycles!A143&lt;&gt;""),"",IF(NOT($R143="OK"),"",_EngineCycles!S143))</f>
        <v/>
      </c>
      <c r="Q143" s="25" t="str">
        <f>IF(_EngineCycles!A143="","",IF($R143&lt;&gt;"OK","Review",IF(_EngineCycles!E143="Closed","Closed","Open")))</f>
        <v/>
      </c>
      <c r="R143" s="18" t="str">
        <f>IF(_EngineCycles!A143="","",IF(COUNTIFS(Trades!$B$9:$B$508,_EngineCycles!B143,Trades!$C$9:$C$508,"&lt;&gt;"&amp;$B143,Trades!$A$9:$A$508,"&lt;&gt;")&gt;0,"Ticker mismatch",IF(COUNTIFS(Trades!$B$9:$B$508,_EngineCycles!B143,Trades!$D$9:$D$508,"&lt;&gt;"&amp;$C143,Trades!$A$9:$A$508,"&lt;&gt;")&gt;0,"Currency mismatch",IF(COUNTIFS(Trades!$B$9:$B$508,_EngineCycles!B143,Trades!$S$9:$S$508,"&lt;&gt;OK",Trades!$A$9:$A$508,"&lt;&gt;")&gt;0,"Check trades","OK"))))</f>
        <v/>
      </c>
      <c r="S143" s="29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P$9:$P$508),0),"")))</f>
        <v/>
      </c>
      <c r="T143" s="26" t="str">
        <f>IF(NOT(_EngineCycles!A143&lt;&gt;""),"",IF(NOT($R143="OK"),"",_EngineCycles!W143))</f>
        <v/>
      </c>
      <c r="U143" s="16"/>
      <c r="V143" s="16"/>
      <c r="W143" s="16"/>
      <c r="X143" s="16"/>
      <c r="Y143" t="str">
        <f>IF(AND($C143=Overview!$P$2,$Q143="Open",$R143="OK"),COUNTIFS($C$9:$C143,Overview!$P$2,$Q$9:$Q143,"Open",$R$9:$R143,"OK"),"")</f>
        <v/>
      </c>
    </row>
    <row r="144" spans="1:25" ht="23.1" customHeight="1" x14ac:dyDescent="0.25">
      <c r="A144" s="24" t="str">
        <f>IF(_EngineCycles!A144="","",_EngineCycles!B144&amp;IF(_EngineCycles!C144&gt;1," / "&amp;_EngineCycles!C144,""))</f>
        <v/>
      </c>
      <c r="B144" s="24" t="str">
        <f>IF(_EngineCycles!A144="","",_EngineCycles!D144)</f>
        <v/>
      </c>
      <c r="C144" s="24" t="str">
        <f>IF(_EngineCycles!A144="","",IFERROR(INDEX(Trades!$D$9:$D$508,_EngineCycles!AG144-8),""))</f>
        <v/>
      </c>
      <c r="D144" s="30" t="str">
        <f>IF(_EngineCycles!A144="","",IF($R144&lt;&gt;"OK","Review",IF(_EngineCycles!E144="Closed","Closed",IF(_EngineCycles!P144&gt;0,IF(IFERROR(LOOKUP(2,1/((_EngineTrades!$AU$9:$AU$508=_EngineCycles!A144)),_EngineTrades!$AQ$9:$AQ$508),0)&gt;0,"Covered Call","Shares Held"),"Cash-Secured Put"))))</f>
        <v/>
      </c>
      <c r="E144" s="31" t="str">
        <f>IF(NOT(_EngineCycles!A144&lt;&gt;""),"",IF(NOT($R144="OK"),"",_EngineCycles!P144))</f>
        <v/>
      </c>
      <c r="F144" s="23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AH$9:$AH$508),0),"")))</f>
        <v/>
      </c>
      <c r="G144" s="23" t="str">
        <f>IF(NOT(_EngineCycles!A144&lt;&gt;""),"",IF(NOT($R144="OK"),"",_EngineCycles!Q144))</f>
        <v/>
      </c>
      <c r="H144" s="32" t="str">
        <f>IF(NOT(_EngineCycles!A144&lt;&gt;""),"",IF(NOT($R144="OK"),"",_EngineCycles!J144))</f>
        <v/>
      </c>
      <c r="I144" s="23" t="str">
        <f>IF(NOT(_EngineCycles!A144&lt;&gt;""),"",IF(NOT($R144="OK"),"",_EngineCycles!I144))</f>
        <v/>
      </c>
      <c r="J144" s="23" t="str">
        <f>IF(NOT(_EngineCycles!A144&lt;&gt;""),"",IF(NOT($R144="OK"),"",_EngineCycles!L144))</f>
        <v/>
      </c>
      <c r="K144" s="23" t="str">
        <f>IF(NOT(_EngineCycles!A144&lt;&gt;""),"",IF(NOT($R144="OK"),"",_EngineCycles!U144))</f>
        <v/>
      </c>
      <c r="L144" s="32" t="str">
        <f>IF(NOT(_EngineCycles!A144&lt;&gt;""),"",IF(NOT($R144="OK"),"",_EngineCycles!AE144))</f>
        <v/>
      </c>
      <c r="M144" s="23" t="str">
        <f>IF(NOT(_EngineCycles!A144&lt;&gt;""),"",IF(NOT($R144="OK"),"",_EngineCycles!O144))</f>
        <v/>
      </c>
      <c r="N144" s="32" t="str">
        <f>IF(NOT(_EngineCycles!A144&lt;&gt;""),"",IF(NOT($R144="OK"),"",IF(_EngineCycles!E144="Closed",_EngineCycles!O144,"")))</f>
        <v/>
      </c>
      <c r="O144" s="33" t="str">
        <f>IF(NOT(_EngineCycles!A144&lt;&gt;""),"",IF(NOT($R144="OK"),"",_EngineCycles!Y144))</f>
        <v/>
      </c>
      <c r="P144" s="23" t="str">
        <f>IF(NOT(_EngineCycles!A144&lt;&gt;""),"",IF(NOT($R144="OK"),"",_EngineCycles!S144))</f>
        <v/>
      </c>
      <c r="Q144" s="30" t="str">
        <f>IF(_EngineCycles!A144="","",IF($R144&lt;&gt;"OK","Review",IF(_EngineCycles!E144="Closed","Closed","Open")))</f>
        <v/>
      </c>
      <c r="R144" s="24" t="str">
        <f>IF(_EngineCycles!A144="","",IF(COUNTIFS(Trades!$B$9:$B$508,_EngineCycles!B144,Trades!$C$9:$C$508,"&lt;&gt;"&amp;$B144,Trades!$A$9:$A$508,"&lt;&gt;")&gt;0,"Ticker mismatch",IF(COUNTIFS(Trades!$B$9:$B$508,_EngineCycles!B144,Trades!$D$9:$D$508,"&lt;&gt;"&amp;$C144,Trades!$A$9:$A$508,"&lt;&gt;")&gt;0,"Currency mismatch",IF(COUNTIFS(Trades!$B$9:$B$508,_EngineCycles!B144,Trades!$S$9:$S$508,"&lt;&gt;OK",Trades!$A$9:$A$508,"&lt;&gt;")&gt;0,"Check trades","OK"))))</f>
        <v/>
      </c>
      <c r="S144" s="34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P$9:$P$508),0),"")))</f>
        <v/>
      </c>
      <c r="T144" s="31" t="str">
        <f>IF(NOT(_EngineCycles!A144&lt;&gt;""),"",IF(NOT($R144="OK"),"",_EngineCycles!W144))</f>
        <v/>
      </c>
      <c r="U144" s="22"/>
      <c r="V144" s="22"/>
      <c r="W144" s="22"/>
      <c r="X144" s="22"/>
      <c r="Y144" t="str">
        <f>IF(AND($C144=Overview!$P$2,$Q144="Open",$R144="OK"),COUNTIFS($C$9:$C144,Overview!$P$2,$Q$9:$Q144,"Open",$R$9:$R144,"OK"),"")</f>
        <v/>
      </c>
    </row>
    <row r="145" spans="1:25" ht="23.1" customHeight="1" x14ac:dyDescent="0.25">
      <c r="A145" s="18" t="str">
        <f>IF(_EngineCycles!A145="","",_EngineCycles!B145&amp;IF(_EngineCycles!C145&gt;1," / "&amp;_EngineCycles!C145,""))</f>
        <v/>
      </c>
      <c r="B145" s="18" t="str">
        <f>IF(_EngineCycles!A145="","",_EngineCycles!D145)</f>
        <v/>
      </c>
      <c r="C145" s="18" t="str">
        <f>IF(_EngineCycles!A145="","",IFERROR(INDEX(Trades!$D$9:$D$508,_EngineCycles!AG145-8),""))</f>
        <v/>
      </c>
      <c r="D145" s="25" t="str">
        <f>IF(_EngineCycles!A145="","",IF($R145&lt;&gt;"OK","Review",IF(_EngineCycles!E145="Closed","Closed",IF(_EngineCycles!P145&gt;0,IF(IFERROR(LOOKUP(2,1/((_EngineTrades!$AU$9:$AU$508=_EngineCycles!A145)),_EngineTrades!$AQ$9:$AQ$508),0)&gt;0,"Covered Call","Shares Held"),"Cash-Secured Put"))))</f>
        <v/>
      </c>
      <c r="E145" s="26" t="str">
        <f>IF(NOT(_EngineCycles!A145&lt;&gt;""),"",IF(NOT($R145="OK"),"",_EngineCycles!P145))</f>
        <v/>
      </c>
      <c r="F145" s="17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AH$9:$AH$508),0),"")))</f>
        <v/>
      </c>
      <c r="G145" s="17" t="str">
        <f>IF(NOT(_EngineCycles!A145&lt;&gt;""),"",IF(NOT($R145="OK"),"",_EngineCycles!Q145))</f>
        <v/>
      </c>
      <c r="H145" s="27" t="str">
        <f>IF(NOT(_EngineCycles!A145&lt;&gt;""),"",IF(NOT($R145="OK"),"",_EngineCycles!J145))</f>
        <v/>
      </c>
      <c r="I145" s="17" t="str">
        <f>IF(NOT(_EngineCycles!A145&lt;&gt;""),"",IF(NOT($R145="OK"),"",_EngineCycles!I145))</f>
        <v/>
      </c>
      <c r="J145" s="17" t="str">
        <f>IF(NOT(_EngineCycles!A145&lt;&gt;""),"",IF(NOT($R145="OK"),"",_EngineCycles!L145))</f>
        <v/>
      </c>
      <c r="K145" s="17" t="str">
        <f>IF(NOT(_EngineCycles!A145&lt;&gt;""),"",IF(NOT($R145="OK"),"",_EngineCycles!U145))</f>
        <v/>
      </c>
      <c r="L145" s="27" t="str">
        <f>IF(NOT(_EngineCycles!A145&lt;&gt;""),"",IF(NOT($R145="OK"),"",_EngineCycles!AE145))</f>
        <v/>
      </c>
      <c r="M145" s="17" t="str">
        <f>IF(NOT(_EngineCycles!A145&lt;&gt;""),"",IF(NOT($R145="OK"),"",_EngineCycles!O145))</f>
        <v/>
      </c>
      <c r="N145" s="27" t="str">
        <f>IF(NOT(_EngineCycles!A145&lt;&gt;""),"",IF(NOT($R145="OK"),"",IF(_EngineCycles!E145="Closed",_EngineCycles!O145,"")))</f>
        <v/>
      </c>
      <c r="O145" s="28" t="str">
        <f>IF(NOT(_EngineCycles!A145&lt;&gt;""),"",IF(NOT($R145="OK"),"",_EngineCycles!Y145))</f>
        <v/>
      </c>
      <c r="P145" s="17" t="str">
        <f>IF(NOT(_EngineCycles!A145&lt;&gt;""),"",IF(NOT($R145="OK"),"",_EngineCycles!S145))</f>
        <v/>
      </c>
      <c r="Q145" s="25" t="str">
        <f>IF(_EngineCycles!A145="","",IF($R145&lt;&gt;"OK","Review",IF(_EngineCycles!E145="Closed","Closed","Open")))</f>
        <v/>
      </c>
      <c r="R145" s="18" t="str">
        <f>IF(_EngineCycles!A145="","",IF(COUNTIFS(Trades!$B$9:$B$508,_EngineCycles!B145,Trades!$C$9:$C$508,"&lt;&gt;"&amp;$B145,Trades!$A$9:$A$508,"&lt;&gt;")&gt;0,"Ticker mismatch",IF(COUNTIFS(Trades!$B$9:$B$508,_EngineCycles!B145,Trades!$D$9:$D$508,"&lt;&gt;"&amp;$C145,Trades!$A$9:$A$508,"&lt;&gt;")&gt;0,"Currency mismatch",IF(COUNTIFS(Trades!$B$9:$B$508,_EngineCycles!B145,Trades!$S$9:$S$508,"&lt;&gt;OK",Trades!$A$9:$A$508,"&lt;&gt;")&gt;0,"Check trades","OK"))))</f>
        <v/>
      </c>
      <c r="S145" s="29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P$9:$P$508),0),"")))</f>
        <v/>
      </c>
      <c r="T145" s="26" t="str">
        <f>IF(NOT(_EngineCycles!A145&lt;&gt;""),"",IF(NOT($R145="OK"),"",_EngineCycles!W145))</f>
        <v/>
      </c>
      <c r="U145" s="16"/>
      <c r="V145" s="16"/>
      <c r="W145" s="16"/>
      <c r="X145" s="16"/>
      <c r="Y145" t="str">
        <f>IF(AND($C145=Overview!$P$2,$Q145="Open",$R145="OK"),COUNTIFS($C$9:$C145,Overview!$P$2,$Q$9:$Q145,"Open",$R$9:$R145,"OK"),"")</f>
        <v/>
      </c>
    </row>
    <row r="146" spans="1:25" ht="23.1" customHeight="1" x14ac:dyDescent="0.25">
      <c r="A146" s="24" t="str">
        <f>IF(_EngineCycles!A146="","",_EngineCycles!B146&amp;IF(_EngineCycles!C146&gt;1," / "&amp;_EngineCycles!C146,""))</f>
        <v/>
      </c>
      <c r="B146" s="24" t="str">
        <f>IF(_EngineCycles!A146="","",_EngineCycles!D146)</f>
        <v/>
      </c>
      <c r="C146" s="24" t="str">
        <f>IF(_EngineCycles!A146="","",IFERROR(INDEX(Trades!$D$9:$D$508,_EngineCycles!AG146-8),""))</f>
        <v/>
      </c>
      <c r="D146" s="30" t="str">
        <f>IF(_EngineCycles!A146="","",IF($R146&lt;&gt;"OK","Review",IF(_EngineCycles!E146="Closed","Closed",IF(_EngineCycles!P146&gt;0,IF(IFERROR(LOOKUP(2,1/((_EngineTrades!$AU$9:$AU$508=_EngineCycles!A146)),_EngineTrades!$AQ$9:$AQ$508),0)&gt;0,"Covered Call","Shares Held"),"Cash-Secured Put"))))</f>
        <v/>
      </c>
      <c r="E146" s="31" t="str">
        <f>IF(NOT(_EngineCycles!A146&lt;&gt;""),"",IF(NOT($R146="OK"),"",_EngineCycles!P146))</f>
        <v/>
      </c>
      <c r="F146" s="23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AH$9:$AH$508),0),"")))</f>
        <v/>
      </c>
      <c r="G146" s="23" t="str">
        <f>IF(NOT(_EngineCycles!A146&lt;&gt;""),"",IF(NOT($R146="OK"),"",_EngineCycles!Q146))</f>
        <v/>
      </c>
      <c r="H146" s="32" t="str">
        <f>IF(NOT(_EngineCycles!A146&lt;&gt;""),"",IF(NOT($R146="OK"),"",_EngineCycles!J146))</f>
        <v/>
      </c>
      <c r="I146" s="23" t="str">
        <f>IF(NOT(_EngineCycles!A146&lt;&gt;""),"",IF(NOT($R146="OK"),"",_EngineCycles!I146))</f>
        <v/>
      </c>
      <c r="J146" s="23" t="str">
        <f>IF(NOT(_EngineCycles!A146&lt;&gt;""),"",IF(NOT($R146="OK"),"",_EngineCycles!L146))</f>
        <v/>
      </c>
      <c r="K146" s="23" t="str">
        <f>IF(NOT(_EngineCycles!A146&lt;&gt;""),"",IF(NOT($R146="OK"),"",_EngineCycles!U146))</f>
        <v/>
      </c>
      <c r="L146" s="32" t="str">
        <f>IF(NOT(_EngineCycles!A146&lt;&gt;""),"",IF(NOT($R146="OK"),"",_EngineCycles!AE146))</f>
        <v/>
      </c>
      <c r="M146" s="23" t="str">
        <f>IF(NOT(_EngineCycles!A146&lt;&gt;""),"",IF(NOT($R146="OK"),"",_EngineCycles!O146))</f>
        <v/>
      </c>
      <c r="N146" s="32" t="str">
        <f>IF(NOT(_EngineCycles!A146&lt;&gt;""),"",IF(NOT($R146="OK"),"",IF(_EngineCycles!E146="Closed",_EngineCycles!O146,"")))</f>
        <v/>
      </c>
      <c r="O146" s="33" t="str">
        <f>IF(NOT(_EngineCycles!A146&lt;&gt;""),"",IF(NOT($R146="OK"),"",_EngineCycles!Y146))</f>
        <v/>
      </c>
      <c r="P146" s="23" t="str">
        <f>IF(NOT(_EngineCycles!A146&lt;&gt;""),"",IF(NOT($R146="OK"),"",_EngineCycles!S146))</f>
        <v/>
      </c>
      <c r="Q146" s="30" t="str">
        <f>IF(_EngineCycles!A146="","",IF($R146&lt;&gt;"OK","Review",IF(_EngineCycles!E146="Closed","Closed","Open")))</f>
        <v/>
      </c>
      <c r="R146" s="24" t="str">
        <f>IF(_EngineCycles!A146="","",IF(COUNTIFS(Trades!$B$9:$B$508,_EngineCycles!B146,Trades!$C$9:$C$508,"&lt;&gt;"&amp;$B146,Trades!$A$9:$A$508,"&lt;&gt;")&gt;0,"Ticker mismatch",IF(COUNTIFS(Trades!$B$9:$B$508,_EngineCycles!B146,Trades!$D$9:$D$508,"&lt;&gt;"&amp;$C146,Trades!$A$9:$A$508,"&lt;&gt;")&gt;0,"Currency mismatch",IF(COUNTIFS(Trades!$B$9:$B$508,_EngineCycles!B146,Trades!$S$9:$S$508,"&lt;&gt;OK",Trades!$A$9:$A$508,"&lt;&gt;")&gt;0,"Check trades","OK"))))</f>
        <v/>
      </c>
      <c r="S146" s="34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P$9:$P$508),0),"")))</f>
        <v/>
      </c>
      <c r="T146" s="31" t="str">
        <f>IF(NOT(_EngineCycles!A146&lt;&gt;""),"",IF(NOT($R146="OK"),"",_EngineCycles!W146))</f>
        <v/>
      </c>
      <c r="U146" s="22"/>
      <c r="V146" s="22"/>
      <c r="W146" s="22"/>
      <c r="X146" s="22"/>
      <c r="Y146" t="str">
        <f>IF(AND($C146=Overview!$P$2,$Q146="Open",$R146="OK"),COUNTIFS($C$9:$C146,Overview!$P$2,$Q$9:$Q146,"Open",$R$9:$R146,"OK"),"")</f>
        <v/>
      </c>
    </row>
    <row r="147" spans="1:25" ht="23.1" customHeight="1" x14ac:dyDescent="0.25">
      <c r="A147" s="18" t="str">
        <f>IF(_EngineCycles!A147="","",_EngineCycles!B147&amp;IF(_EngineCycles!C147&gt;1," / "&amp;_EngineCycles!C147,""))</f>
        <v/>
      </c>
      <c r="B147" s="18" t="str">
        <f>IF(_EngineCycles!A147="","",_EngineCycles!D147)</f>
        <v/>
      </c>
      <c r="C147" s="18" t="str">
        <f>IF(_EngineCycles!A147="","",IFERROR(INDEX(Trades!$D$9:$D$508,_EngineCycles!AG147-8),""))</f>
        <v/>
      </c>
      <c r="D147" s="25" t="str">
        <f>IF(_EngineCycles!A147="","",IF($R147&lt;&gt;"OK","Review",IF(_EngineCycles!E147="Closed","Closed",IF(_EngineCycles!P147&gt;0,IF(IFERROR(LOOKUP(2,1/((_EngineTrades!$AU$9:$AU$508=_EngineCycles!A147)),_EngineTrades!$AQ$9:$AQ$508),0)&gt;0,"Covered Call","Shares Held"),"Cash-Secured Put"))))</f>
        <v/>
      </c>
      <c r="E147" s="26" t="str">
        <f>IF(NOT(_EngineCycles!A147&lt;&gt;""),"",IF(NOT($R147="OK"),"",_EngineCycles!P147))</f>
        <v/>
      </c>
      <c r="F147" s="17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AH$9:$AH$508),0),"")))</f>
        <v/>
      </c>
      <c r="G147" s="17" t="str">
        <f>IF(NOT(_EngineCycles!A147&lt;&gt;""),"",IF(NOT($R147="OK"),"",_EngineCycles!Q147))</f>
        <v/>
      </c>
      <c r="H147" s="27" t="str">
        <f>IF(NOT(_EngineCycles!A147&lt;&gt;""),"",IF(NOT($R147="OK"),"",_EngineCycles!J147))</f>
        <v/>
      </c>
      <c r="I147" s="17" t="str">
        <f>IF(NOT(_EngineCycles!A147&lt;&gt;""),"",IF(NOT($R147="OK"),"",_EngineCycles!I147))</f>
        <v/>
      </c>
      <c r="J147" s="17" t="str">
        <f>IF(NOT(_EngineCycles!A147&lt;&gt;""),"",IF(NOT($R147="OK"),"",_EngineCycles!L147))</f>
        <v/>
      </c>
      <c r="K147" s="17" t="str">
        <f>IF(NOT(_EngineCycles!A147&lt;&gt;""),"",IF(NOT($R147="OK"),"",_EngineCycles!U147))</f>
        <v/>
      </c>
      <c r="L147" s="27" t="str">
        <f>IF(NOT(_EngineCycles!A147&lt;&gt;""),"",IF(NOT($R147="OK"),"",_EngineCycles!AE147))</f>
        <v/>
      </c>
      <c r="M147" s="17" t="str">
        <f>IF(NOT(_EngineCycles!A147&lt;&gt;""),"",IF(NOT($R147="OK"),"",_EngineCycles!O147))</f>
        <v/>
      </c>
      <c r="N147" s="27" t="str">
        <f>IF(NOT(_EngineCycles!A147&lt;&gt;""),"",IF(NOT($R147="OK"),"",IF(_EngineCycles!E147="Closed",_EngineCycles!O147,"")))</f>
        <v/>
      </c>
      <c r="O147" s="28" t="str">
        <f>IF(NOT(_EngineCycles!A147&lt;&gt;""),"",IF(NOT($R147="OK"),"",_EngineCycles!Y147))</f>
        <v/>
      </c>
      <c r="P147" s="17" t="str">
        <f>IF(NOT(_EngineCycles!A147&lt;&gt;""),"",IF(NOT($R147="OK"),"",_EngineCycles!S147))</f>
        <v/>
      </c>
      <c r="Q147" s="25" t="str">
        <f>IF(_EngineCycles!A147="","",IF($R147&lt;&gt;"OK","Review",IF(_EngineCycles!E147="Closed","Closed","Open")))</f>
        <v/>
      </c>
      <c r="R147" s="18" t="str">
        <f>IF(_EngineCycles!A147="","",IF(COUNTIFS(Trades!$B$9:$B$508,_EngineCycles!B147,Trades!$C$9:$C$508,"&lt;&gt;"&amp;$B147,Trades!$A$9:$A$508,"&lt;&gt;")&gt;0,"Ticker mismatch",IF(COUNTIFS(Trades!$B$9:$B$508,_EngineCycles!B147,Trades!$D$9:$D$508,"&lt;&gt;"&amp;$C147,Trades!$A$9:$A$508,"&lt;&gt;")&gt;0,"Currency mismatch",IF(COUNTIFS(Trades!$B$9:$B$508,_EngineCycles!B147,Trades!$S$9:$S$508,"&lt;&gt;OK",Trades!$A$9:$A$508,"&lt;&gt;")&gt;0,"Check trades","OK"))))</f>
        <v/>
      </c>
      <c r="S147" s="29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P$9:$P$508),0),"")))</f>
        <v/>
      </c>
      <c r="T147" s="26" t="str">
        <f>IF(NOT(_EngineCycles!A147&lt;&gt;""),"",IF(NOT($R147="OK"),"",_EngineCycles!W147))</f>
        <v/>
      </c>
      <c r="U147" s="16"/>
      <c r="V147" s="16"/>
      <c r="W147" s="16"/>
      <c r="X147" s="16"/>
      <c r="Y147" t="str">
        <f>IF(AND($C147=Overview!$P$2,$Q147="Open",$R147="OK"),COUNTIFS($C$9:$C147,Overview!$P$2,$Q$9:$Q147,"Open",$R$9:$R147,"OK"),"")</f>
        <v/>
      </c>
    </row>
    <row r="148" spans="1:25" ht="23.1" customHeight="1" x14ac:dyDescent="0.25">
      <c r="A148" s="24" t="str">
        <f>IF(_EngineCycles!A148="","",_EngineCycles!B148&amp;IF(_EngineCycles!C148&gt;1," / "&amp;_EngineCycles!C148,""))</f>
        <v/>
      </c>
      <c r="B148" s="24" t="str">
        <f>IF(_EngineCycles!A148="","",_EngineCycles!D148)</f>
        <v/>
      </c>
      <c r="C148" s="24" t="str">
        <f>IF(_EngineCycles!A148="","",IFERROR(INDEX(Trades!$D$9:$D$508,_EngineCycles!AG148-8),""))</f>
        <v/>
      </c>
      <c r="D148" s="30" t="str">
        <f>IF(_EngineCycles!A148="","",IF($R148&lt;&gt;"OK","Review",IF(_EngineCycles!E148="Closed","Closed",IF(_EngineCycles!P148&gt;0,IF(IFERROR(LOOKUP(2,1/((_EngineTrades!$AU$9:$AU$508=_EngineCycles!A148)),_EngineTrades!$AQ$9:$AQ$508),0)&gt;0,"Covered Call","Shares Held"),"Cash-Secured Put"))))</f>
        <v/>
      </c>
      <c r="E148" s="31" t="str">
        <f>IF(NOT(_EngineCycles!A148&lt;&gt;""),"",IF(NOT($R148="OK"),"",_EngineCycles!P148))</f>
        <v/>
      </c>
      <c r="F148" s="23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AH$9:$AH$508),0),"")))</f>
        <v/>
      </c>
      <c r="G148" s="23" t="str">
        <f>IF(NOT(_EngineCycles!A148&lt;&gt;""),"",IF(NOT($R148="OK"),"",_EngineCycles!Q148))</f>
        <v/>
      </c>
      <c r="H148" s="32" t="str">
        <f>IF(NOT(_EngineCycles!A148&lt;&gt;""),"",IF(NOT($R148="OK"),"",_EngineCycles!J148))</f>
        <v/>
      </c>
      <c r="I148" s="23" t="str">
        <f>IF(NOT(_EngineCycles!A148&lt;&gt;""),"",IF(NOT($R148="OK"),"",_EngineCycles!I148))</f>
        <v/>
      </c>
      <c r="J148" s="23" t="str">
        <f>IF(NOT(_EngineCycles!A148&lt;&gt;""),"",IF(NOT($R148="OK"),"",_EngineCycles!L148))</f>
        <v/>
      </c>
      <c r="K148" s="23" t="str">
        <f>IF(NOT(_EngineCycles!A148&lt;&gt;""),"",IF(NOT($R148="OK"),"",_EngineCycles!U148))</f>
        <v/>
      </c>
      <c r="L148" s="32" t="str">
        <f>IF(NOT(_EngineCycles!A148&lt;&gt;""),"",IF(NOT($R148="OK"),"",_EngineCycles!AE148))</f>
        <v/>
      </c>
      <c r="M148" s="23" t="str">
        <f>IF(NOT(_EngineCycles!A148&lt;&gt;""),"",IF(NOT($R148="OK"),"",_EngineCycles!O148))</f>
        <v/>
      </c>
      <c r="N148" s="32" t="str">
        <f>IF(NOT(_EngineCycles!A148&lt;&gt;""),"",IF(NOT($R148="OK"),"",IF(_EngineCycles!E148="Closed",_EngineCycles!O148,"")))</f>
        <v/>
      </c>
      <c r="O148" s="33" t="str">
        <f>IF(NOT(_EngineCycles!A148&lt;&gt;""),"",IF(NOT($R148="OK"),"",_EngineCycles!Y148))</f>
        <v/>
      </c>
      <c r="P148" s="23" t="str">
        <f>IF(NOT(_EngineCycles!A148&lt;&gt;""),"",IF(NOT($R148="OK"),"",_EngineCycles!S148))</f>
        <v/>
      </c>
      <c r="Q148" s="30" t="str">
        <f>IF(_EngineCycles!A148="","",IF($R148&lt;&gt;"OK","Review",IF(_EngineCycles!E148="Closed","Closed","Open")))</f>
        <v/>
      </c>
      <c r="R148" s="24" t="str">
        <f>IF(_EngineCycles!A148="","",IF(COUNTIFS(Trades!$B$9:$B$508,_EngineCycles!B148,Trades!$C$9:$C$508,"&lt;&gt;"&amp;$B148,Trades!$A$9:$A$508,"&lt;&gt;")&gt;0,"Ticker mismatch",IF(COUNTIFS(Trades!$B$9:$B$508,_EngineCycles!B148,Trades!$D$9:$D$508,"&lt;&gt;"&amp;$C148,Trades!$A$9:$A$508,"&lt;&gt;")&gt;0,"Currency mismatch",IF(COUNTIFS(Trades!$B$9:$B$508,_EngineCycles!B148,Trades!$S$9:$S$508,"&lt;&gt;OK",Trades!$A$9:$A$508,"&lt;&gt;")&gt;0,"Check trades","OK"))))</f>
        <v/>
      </c>
      <c r="S148" s="34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P$9:$P$508),0),"")))</f>
        <v/>
      </c>
      <c r="T148" s="31" t="str">
        <f>IF(NOT(_EngineCycles!A148&lt;&gt;""),"",IF(NOT($R148="OK"),"",_EngineCycles!W148))</f>
        <v/>
      </c>
      <c r="U148" s="22"/>
      <c r="V148" s="22"/>
      <c r="W148" s="22"/>
      <c r="X148" s="22"/>
      <c r="Y148" t="str">
        <f>IF(AND($C148=Overview!$P$2,$Q148="Open",$R148="OK"),COUNTIFS($C$9:$C148,Overview!$P$2,$Q$9:$Q148,"Open",$R$9:$R148,"OK"),"")</f>
        <v/>
      </c>
    </row>
    <row r="149" spans="1:25" ht="23.1" customHeight="1" x14ac:dyDescent="0.25">
      <c r="A149" s="18" t="str">
        <f>IF(_EngineCycles!A149="","",_EngineCycles!B149&amp;IF(_EngineCycles!C149&gt;1," / "&amp;_EngineCycles!C149,""))</f>
        <v/>
      </c>
      <c r="B149" s="18" t="str">
        <f>IF(_EngineCycles!A149="","",_EngineCycles!D149)</f>
        <v/>
      </c>
      <c r="C149" s="18" t="str">
        <f>IF(_EngineCycles!A149="","",IFERROR(INDEX(Trades!$D$9:$D$508,_EngineCycles!AG149-8),""))</f>
        <v/>
      </c>
      <c r="D149" s="25" t="str">
        <f>IF(_EngineCycles!A149="","",IF($R149&lt;&gt;"OK","Review",IF(_EngineCycles!E149="Closed","Closed",IF(_EngineCycles!P149&gt;0,IF(IFERROR(LOOKUP(2,1/((_EngineTrades!$AU$9:$AU$508=_EngineCycles!A149)),_EngineTrades!$AQ$9:$AQ$508),0)&gt;0,"Covered Call","Shares Held"),"Cash-Secured Put"))))</f>
        <v/>
      </c>
      <c r="E149" s="26" t="str">
        <f>IF(NOT(_EngineCycles!A149&lt;&gt;""),"",IF(NOT($R149="OK"),"",_EngineCycles!P149))</f>
        <v/>
      </c>
      <c r="F149" s="17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AH$9:$AH$508),0),"")))</f>
        <v/>
      </c>
      <c r="G149" s="17" t="str">
        <f>IF(NOT(_EngineCycles!A149&lt;&gt;""),"",IF(NOT($R149="OK"),"",_EngineCycles!Q149))</f>
        <v/>
      </c>
      <c r="H149" s="27" t="str">
        <f>IF(NOT(_EngineCycles!A149&lt;&gt;""),"",IF(NOT($R149="OK"),"",_EngineCycles!J149))</f>
        <v/>
      </c>
      <c r="I149" s="17" t="str">
        <f>IF(NOT(_EngineCycles!A149&lt;&gt;""),"",IF(NOT($R149="OK"),"",_EngineCycles!I149))</f>
        <v/>
      </c>
      <c r="J149" s="17" t="str">
        <f>IF(NOT(_EngineCycles!A149&lt;&gt;""),"",IF(NOT($R149="OK"),"",_EngineCycles!L149))</f>
        <v/>
      </c>
      <c r="K149" s="17" t="str">
        <f>IF(NOT(_EngineCycles!A149&lt;&gt;""),"",IF(NOT($R149="OK"),"",_EngineCycles!U149))</f>
        <v/>
      </c>
      <c r="L149" s="27" t="str">
        <f>IF(NOT(_EngineCycles!A149&lt;&gt;""),"",IF(NOT($R149="OK"),"",_EngineCycles!AE149))</f>
        <v/>
      </c>
      <c r="M149" s="17" t="str">
        <f>IF(NOT(_EngineCycles!A149&lt;&gt;""),"",IF(NOT($R149="OK"),"",_EngineCycles!O149))</f>
        <v/>
      </c>
      <c r="N149" s="27" t="str">
        <f>IF(NOT(_EngineCycles!A149&lt;&gt;""),"",IF(NOT($R149="OK"),"",IF(_EngineCycles!E149="Closed",_EngineCycles!O149,"")))</f>
        <v/>
      </c>
      <c r="O149" s="28" t="str">
        <f>IF(NOT(_EngineCycles!A149&lt;&gt;""),"",IF(NOT($R149="OK"),"",_EngineCycles!Y149))</f>
        <v/>
      </c>
      <c r="P149" s="17" t="str">
        <f>IF(NOT(_EngineCycles!A149&lt;&gt;""),"",IF(NOT($R149="OK"),"",_EngineCycles!S149))</f>
        <v/>
      </c>
      <c r="Q149" s="25" t="str">
        <f>IF(_EngineCycles!A149="","",IF($R149&lt;&gt;"OK","Review",IF(_EngineCycles!E149="Closed","Closed","Open")))</f>
        <v/>
      </c>
      <c r="R149" s="18" t="str">
        <f>IF(_EngineCycles!A149="","",IF(COUNTIFS(Trades!$B$9:$B$508,_EngineCycles!B149,Trades!$C$9:$C$508,"&lt;&gt;"&amp;$B149,Trades!$A$9:$A$508,"&lt;&gt;")&gt;0,"Ticker mismatch",IF(COUNTIFS(Trades!$B$9:$B$508,_EngineCycles!B149,Trades!$D$9:$D$508,"&lt;&gt;"&amp;$C149,Trades!$A$9:$A$508,"&lt;&gt;")&gt;0,"Currency mismatch",IF(COUNTIFS(Trades!$B$9:$B$508,_EngineCycles!B149,Trades!$S$9:$S$508,"&lt;&gt;OK",Trades!$A$9:$A$508,"&lt;&gt;")&gt;0,"Check trades","OK"))))</f>
        <v/>
      </c>
      <c r="S149" s="29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P$9:$P$508),0),"")))</f>
        <v/>
      </c>
      <c r="T149" s="26" t="str">
        <f>IF(NOT(_EngineCycles!A149&lt;&gt;""),"",IF(NOT($R149="OK"),"",_EngineCycles!W149))</f>
        <v/>
      </c>
      <c r="U149" s="16"/>
      <c r="V149" s="16"/>
      <c r="W149" s="16"/>
      <c r="X149" s="16"/>
      <c r="Y149" t="str">
        <f>IF(AND($C149=Overview!$P$2,$Q149="Open",$R149="OK"),COUNTIFS($C$9:$C149,Overview!$P$2,$Q$9:$Q149,"Open",$R$9:$R149,"OK"),"")</f>
        <v/>
      </c>
    </row>
    <row r="150" spans="1:25" ht="23.1" customHeight="1" x14ac:dyDescent="0.25">
      <c r="A150" s="24" t="str">
        <f>IF(_EngineCycles!A150="","",_EngineCycles!B150&amp;IF(_EngineCycles!C150&gt;1," / "&amp;_EngineCycles!C150,""))</f>
        <v/>
      </c>
      <c r="B150" s="24" t="str">
        <f>IF(_EngineCycles!A150="","",_EngineCycles!D150)</f>
        <v/>
      </c>
      <c r="C150" s="24" t="str">
        <f>IF(_EngineCycles!A150="","",IFERROR(INDEX(Trades!$D$9:$D$508,_EngineCycles!AG150-8),""))</f>
        <v/>
      </c>
      <c r="D150" s="30" t="str">
        <f>IF(_EngineCycles!A150="","",IF($R150&lt;&gt;"OK","Review",IF(_EngineCycles!E150="Closed","Closed",IF(_EngineCycles!P150&gt;0,IF(IFERROR(LOOKUP(2,1/((_EngineTrades!$AU$9:$AU$508=_EngineCycles!A150)),_EngineTrades!$AQ$9:$AQ$508),0)&gt;0,"Covered Call","Shares Held"),"Cash-Secured Put"))))</f>
        <v/>
      </c>
      <c r="E150" s="31" t="str">
        <f>IF(NOT(_EngineCycles!A150&lt;&gt;""),"",IF(NOT($R150="OK"),"",_EngineCycles!P150))</f>
        <v/>
      </c>
      <c r="F150" s="23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AH$9:$AH$508),0),"")))</f>
        <v/>
      </c>
      <c r="G150" s="23" t="str">
        <f>IF(NOT(_EngineCycles!A150&lt;&gt;""),"",IF(NOT($R150="OK"),"",_EngineCycles!Q150))</f>
        <v/>
      </c>
      <c r="H150" s="32" t="str">
        <f>IF(NOT(_EngineCycles!A150&lt;&gt;""),"",IF(NOT($R150="OK"),"",_EngineCycles!J150))</f>
        <v/>
      </c>
      <c r="I150" s="23" t="str">
        <f>IF(NOT(_EngineCycles!A150&lt;&gt;""),"",IF(NOT($R150="OK"),"",_EngineCycles!I150))</f>
        <v/>
      </c>
      <c r="J150" s="23" t="str">
        <f>IF(NOT(_EngineCycles!A150&lt;&gt;""),"",IF(NOT($R150="OK"),"",_EngineCycles!L150))</f>
        <v/>
      </c>
      <c r="K150" s="23" t="str">
        <f>IF(NOT(_EngineCycles!A150&lt;&gt;""),"",IF(NOT($R150="OK"),"",_EngineCycles!U150))</f>
        <v/>
      </c>
      <c r="L150" s="32" t="str">
        <f>IF(NOT(_EngineCycles!A150&lt;&gt;""),"",IF(NOT($R150="OK"),"",_EngineCycles!AE150))</f>
        <v/>
      </c>
      <c r="M150" s="23" t="str">
        <f>IF(NOT(_EngineCycles!A150&lt;&gt;""),"",IF(NOT($R150="OK"),"",_EngineCycles!O150))</f>
        <v/>
      </c>
      <c r="N150" s="32" t="str">
        <f>IF(NOT(_EngineCycles!A150&lt;&gt;""),"",IF(NOT($R150="OK"),"",IF(_EngineCycles!E150="Closed",_EngineCycles!O150,"")))</f>
        <v/>
      </c>
      <c r="O150" s="33" t="str">
        <f>IF(NOT(_EngineCycles!A150&lt;&gt;""),"",IF(NOT($R150="OK"),"",_EngineCycles!Y150))</f>
        <v/>
      </c>
      <c r="P150" s="23" t="str">
        <f>IF(NOT(_EngineCycles!A150&lt;&gt;""),"",IF(NOT($R150="OK"),"",_EngineCycles!S150))</f>
        <v/>
      </c>
      <c r="Q150" s="30" t="str">
        <f>IF(_EngineCycles!A150="","",IF($R150&lt;&gt;"OK","Review",IF(_EngineCycles!E150="Closed","Closed","Open")))</f>
        <v/>
      </c>
      <c r="R150" s="24" t="str">
        <f>IF(_EngineCycles!A150="","",IF(COUNTIFS(Trades!$B$9:$B$508,_EngineCycles!B150,Trades!$C$9:$C$508,"&lt;&gt;"&amp;$B150,Trades!$A$9:$A$508,"&lt;&gt;")&gt;0,"Ticker mismatch",IF(COUNTIFS(Trades!$B$9:$B$508,_EngineCycles!B150,Trades!$D$9:$D$508,"&lt;&gt;"&amp;$C150,Trades!$A$9:$A$508,"&lt;&gt;")&gt;0,"Currency mismatch",IF(COUNTIFS(Trades!$B$9:$B$508,_EngineCycles!B150,Trades!$S$9:$S$508,"&lt;&gt;OK",Trades!$A$9:$A$508,"&lt;&gt;")&gt;0,"Check trades","OK"))))</f>
        <v/>
      </c>
      <c r="S150" s="34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P$9:$P$508),0),"")))</f>
        <v/>
      </c>
      <c r="T150" s="31" t="str">
        <f>IF(NOT(_EngineCycles!A150&lt;&gt;""),"",IF(NOT($R150="OK"),"",_EngineCycles!W150))</f>
        <v/>
      </c>
      <c r="U150" s="22"/>
      <c r="V150" s="22"/>
      <c r="W150" s="22"/>
      <c r="X150" s="22"/>
      <c r="Y150" t="str">
        <f>IF(AND($C150=Overview!$P$2,$Q150="Open",$R150="OK"),COUNTIFS($C$9:$C150,Overview!$P$2,$Q$9:$Q150,"Open",$R$9:$R150,"OK"),"")</f>
        <v/>
      </c>
    </row>
    <row r="151" spans="1:25" ht="23.1" customHeight="1" x14ac:dyDescent="0.25">
      <c r="A151" s="18" t="str">
        <f>IF(_EngineCycles!A151="","",_EngineCycles!B151&amp;IF(_EngineCycles!C151&gt;1," / "&amp;_EngineCycles!C151,""))</f>
        <v/>
      </c>
      <c r="B151" s="18" t="str">
        <f>IF(_EngineCycles!A151="","",_EngineCycles!D151)</f>
        <v/>
      </c>
      <c r="C151" s="18" t="str">
        <f>IF(_EngineCycles!A151="","",IFERROR(INDEX(Trades!$D$9:$D$508,_EngineCycles!AG151-8),""))</f>
        <v/>
      </c>
      <c r="D151" s="25" t="str">
        <f>IF(_EngineCycles!A151="","",IF($R151&lt;&gt;"OK","Review",IF(_EngineCycles!E151="Closed","Closed",IF(_EngineCycles!P151&gt;0,IF(IFERROR(LOOKUP(2,1/((_EngineTrades!$AU$9:$AU$508=_EngineCycles!A151)),_EngineTrades!$AQ$9:$AQ$508),0)&gt;0,"Covered Call","Shares Held"),"Cash-Secured Put"))))</f>
        <v/>
      </c>
      <c r="E151" s="26" t="str">
        <f>IF(NOT(_EngineCycles!A151&lt;&gt;""),"",IF(NOT($R151="OK"),"",_EngineCycles!P151))</f>
        <v/>
      </c>
      <c r="F151" s="17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AH$9:$AH$508),0),"")))</f>
        <v/>
      </c>
      <c r="G151" s="17" t="str">
        <f>IF(NOT(_EngineCycles!A151&lt;&gt;""),"",IF(NOT($R151="OK"),"",_EngineCycles!Q151))</f>
        <v/>
      </c>
      <c r="H151" s="27" t="str">
        <f>IF(NOT(_EngineCycles!A151&lt;&gt;""),"",IF(NOT($R151="OK"),"",_EngineCycles!J151))</f>
        <v/>
      </c>
      <c r="I151" s="17" t="str">
        <f>IF(NOT(_EngineCycles!A151&lt;&gt;""),"",IF(NOT($R151="OK"),"",_EngineCycles!I151))</f>
        <v/>
      </c>
      <c r="J151" s="17" t="str">
        <f>IF(NOT(_EngineCycles!A151&lt;&gt;""),"",IF(NOT($R151="OK"),"",_EngineCycles!L151))</f>
        <v/>
      </c>
      <c r="K151" s="17" t="str">
        <f>IF(NOT(_EngineCycles!A151&lt;&gt;""),"",IF(NOT($R151="OK"),"",_EngineCycles!U151))</f>
        <v/>
      </c>
      <c r="L151" s="27" t="str">
        <f>IF(NOT(_EngineCycles!A151&lt;&gt;""),"",IF(NOT($R151="OK"),"",_EngineCycles!AE151))</f>
        <v/>
      </c>
      <c r="M151" s="17" t="str">
        <f>IF(NOT(_EngineCycles!A151&lt;&gt;""),"",IF(NOT($R151="OK"),"",_EngineCycles!O151))</f>
        <v/>
      </c>
      <c r="N151" s="27" t="str">
        <f>IF(NOT(_EngineCycles!A151&lt;&gt;""),"",IF(NOT($R151="OK"),"",IF(_EngineCycles!E151="Closed",_EngineCycles!O151,"")))</f>
        <v/>
      </c>
      <c r="O151" s="28" t="str">
        <f>IF(NOT(_EngineCycles!A151&lt;&gt;""),"",IF(NOT($R151="OK"),"",_EngineCycles!Y151))</f>
        <v/>
      </c>
      <c r="P151" s="17" t="str">
        <f>IF(NOT(_EngineCycles!A151&lt;&gt;""),"",IF(NOT($R151="OK"),"",_EngineCycles!S151))</f>
        <v/>
      </c>
      <c r="Q151" s="25" t="str">
        <f>IF(_EngineCycles!A151="","",IF($R151&lt;&gt;"OK","Review",IF(_EngineCycles!E151="Closed","Closed","Open")))</f>
        <v/>
      </c>
      <c r="R151" s="18" t="str">
        <f>IF(_EngineCycles!A151="","",IF(COUNTIFS(Trades!$B$9:$B$508,_EngineCycles!B151,Trades!$C$9:$C$508,"&lt;&gt;"&amp;$B151,Trades!$A$9:$A$508,"&lt;&gt;")&gt;0,"Ticker mismatch",IF(COUNTIFS(Trades!$B$9:$B$508,_EngineCycles!B151,Trades!$D$9:$D$508,"&lt;&gt;"&amp;$C151,Trades!$A$9:$A$508,"&lt;&gt;")&gt;0,"Currency mismatch",IF(COUNTIFS(Trades!$B$9:$B$508,_EngineCycles!B151,Trades!$S$9:$S$508,"&lt;&gt;OK",Trades!$A$9:$A$508,"&lt;&gt;")&gt;0,"Check trades","OK"))))</f>
        <v/>
      </c>
      <c r="S151" s="29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P$9:$P$508),0),"")))</f>
        <v/>
      </c>
      <c r="T151" s="26" t="str">
        <f>IF(NOT(_EngineCycles!A151&lt;&gt;""),"",IF(NOT($R151="OK"),"",_EngineCycles!W151))</f>
        <v/>
      </c>
      <c r="U151" s="16"/>
      <c r="V151" s="16"/>
      <c r="W151" s="16"/>
      <c r="X151" s="16"/>
      <c r="Y151" t="str">
        <f>IF(AND($C151=Overview!$P$2,$Q151="Open",$R151="OK"),COUNTIFS($C$9:$C151,Overview!$P$2,$Q$9:$Q151,"Open",$R$9:$R151,"OK"),"")</f>
        <v/>
      </c>
    </row>
    <row r="152" spans="1:25" ht="23.1" customHeight="1" x14ac:dyDescent="0.25">
      <c r="A152" s="24" t="str">
        <f>IF(_EngineCycles!A152="","",_EngineCycles!B152&amp;IF(_EngineCycles!C152&gt;1," / "&amp;_EngineCycles!C152,""))</f>
        <v/>
      </c>
      <c r="B152" s="24" t="str">
        <f>IF(_EngineCycles!A152="","",_EngineCycles!D152)</f>
        <v/>
      </c>
      <c r="C152" s="24" t="str">
        <f>IF(_EngineCycles!A152="","",IFERROR(INDEX(Trades!$D$9:$D$508,_EngineCycles!AG152-8),""))</f>
        <v/>
      </c>
      <c r="D152" s="30" t="str">
        <f>IF(_EngineCycles!A152="","",IF($R152&lt;&gt;"OK","Review",IF(_EngineCycles!E152="Closed","Closed",IF(_EngineCycles!P152&gt;0,IF(IFERROR(LOOKUP(2,1/((_EngineTrades!$AU$9:$AU$508=_EngineCycles!A152)),_EngineTrades!$AQ$9:$AQ$508),0)&gt;0,"Covered Call","Shares Held"),"Cash-Secured Put"))))</f>
        <v/>
      </c>
      <c r="E152" s="31" t="str">
        <f>IF(NOT(_EngineCycles!A152&lt;&gt;""),"",IF(NOT($R152="OK"),"",_EngineCycles!P152))</f>
        <v/>
      </c>
      <c r="F152" s="23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AH$9:$AH$508),0),"")))</f>
        <v/>
      </c>
      <c r="G152" s="23" t="str">
        <f>IF(NOT(_EngineCycles!A152&lt;&gt;""),"",IF(NOT($R152="OK"),"",_EngineCycles!Q152))</f>
        <v/>
      </c>
      <c r="H152" s="32" t="str">
        <f>IF(NOT(_EngineCycles!A152&lt;&gt;""),"",IF(NOT($R152="OK"),"",_EngineCycles!J152))</f>
        <v/>
      </c>
      <c r="I152" s="23" t="str">
        <f>IF(NOT(_EngineCycles!A152&lt;&gt;""),"",IF(NOT($R152="OK"),"",_EngineCycles!I152))</f>
        <v/>
      </c>
      <c r="J152" s="23" t="str">
        <f>IF(NOT(_EngineCycles!A152&lt;&gt;""),"",IF(NOT($R152="OK"),"",_EngineCycles!L152))</f>
        <v/>
      </c>
      <c r="K152" s="23" t="str">
        <f>IF(NOT(_EngineCycles!A152&lt;&gt;""),"",IF(NOT($R152="OK"),"",_EngineCycles!U152))</f>
        <v/>
      </c>
      <c r="L152" s="32" t="str">
        <f>IF(NOT(_EngineCycles!A152&lt;&gt;""),"",IF(NOT($R152="OK"),"",_EngineCycles!AE152))</f>
        <v/>
      </c>
      <c r="M152" s="23" t="str">
        <f>IF(NOT(_EngineCycles!A152&lt;&gt;""),"",IF(NOT($R152="OK"),"",_EngineCycles!O152))</f>
        <v/>
      </c>
      <c r="N152" s="32" t="str">
        <f>IF(NOT(_EngineCycles!A152&lt;&gt;""),"",IF(NOT($R152="OK"),"",IF(_EngineCycles!E152="Closed",_EngineCycles!O152,"")))</f>
        <v/>
      </c>
      <c r="O152" s="33" t="str">
        <f>IF(NOT(_EngineCycles!A152&lt;&gt;""),"",IF(NOT($R152="OK"),"",_EngineCycles!Y152))</f>
        <v/>
      </c>
      <c r="P152" s="23" t="str">
        <f>IF(NOT(_EngineCycles!A152&lt;&gt;""),"",IF(NOT($R152="OK"),"",_EngineCycles!S152))</f>
        <v/>
      </c>
      <c r="Q152" s="30" t="str">
        <f>IF(_EngineCycles!A152="","",IF($R152&lt;&gt;"OK","Review",IF(_EngineCycles!E152="Closed","Closed","Open")))</f>
        <v/>
      </c>
      <c r="R152" s="24" t="str">
        <f>IF(_EngineCycles!A152="","",IF(COUNTIFS(Trades!$B$9:$B$508,_EngineCycles!B152,Trades!$C$9:$C$508,"&lt;&gt;"&amp;$B152,Trades!$A$9:$A$508,"&lt;&gt;")&gt;0,"Ticker mismatch",IF(COUNTIFS(Trades!$B$9:$B$508,_EngineCycles!B152,Trades!$D$9:$D$508,"&lt;&gt;"&amp;$C152,Trades!$A$9:$A$508,"&lt;&gt;")&gt;0,"Currency mismatch",IF(COUNTIFS(Trades!$B$9:$B$508,_EngineCycles!B152,Trades!$S$9:$S$508,"&lt;&gt;OK",Trades!$A$9:$A$508,"&lt;&gt;")&gt;0,"Check trades","OK"))))</f>
        <v/>
      </c>
      <c r="S152" s="34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P$9:$P$508),0),"")))</f>
        <v/>
      </c>
      <c r="T152" s="31" t="str">
        <f>IF(NOT(_EngineCycles!A152&lt;&gt;""),"",IF(NOT($R152="OK"),"",_EngineCycles!W152))</f>
        <v/>
      </c>
      <c r="U152" s="22"/>
      <c r="V152" s="22"/>
      <c r="W152" s="22"/>
      <c r="X152" s="22"/>
      <c r="Y152" t="str">
        <f>IF(AND($C152=Overview!$P$2,$Q152="Open",$R152="OK"),COUNTIFS($C$9:$C152,Overview!$P$2,$Q$9:$Q152,"Open",$R$9:$R152,"OK"),"")</f>
        <v/>
      </c>
    </row>
    <row r="153" spans="1:25" ht="23.1" customHeight="1" x14ac:dyDescent="0.25">
      <c r="A153" s="18" t="str">
        <f>IF(_EngineCycles!A153="","",_EngineCycles!B153&amp;IF(_EngineCycles!C153&gt;1," / "&amp;_EngineCycles!C153,""))</f>
        <v/>
      </c>
      <c r="B153" s="18" t="str">
        <f>IF(_EngineCycles!A153="","",_EngineCycles!D153)</f>
        <v/>
      </c>
      <c r="C153" s="18" t="str">
        <f>IF(_EngineCycles!A153="","",IFERROR(INDEX(Trades!$D$9:$D$508,_EngineCycles!AG153-8),""))</f>
        <v/>
      </c>
      <c r="D153" s="25" t="str">
        <f>IF(_EngineCycles!A153="","",IF($R153&lt;&gt;"OK","Review",IF(_EngineCycles!E153="Closed","Closed",IF(_EngineCycles!P153&gt;0,IF(IFERROR(LOOKUP(2,1/((_EngineTrades!$AU$9:$AU$508=_EngineCycles!A153)),_EngineTrades!$AQ$9:$AQ$508),0)&gt;0,"Covered Call","Shares Held"),"Cash-Secured Put"))))</f>
        <v/>
      </c>
      <c r="E153" s="26" t="str">
        <f>IF(NOT(_EngineCycles!A153&lt;&gt;""),"",IF(NOT($R153="OK"),"",_EngineCycles!P153))</f>
        <v/>
      </c>
      <c r="F153" s="17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AH$9:$AH$508),0),"")))</f>
        <v/>
      </c>
      <c r="G153" s="17" t="str">
        <f>IF(NOT(_EngineCycles!A153&lt;&gt;""),"",IF(NOT($R153="OK"),"",_EngineCycles!Q153))</f>
        <v/>
      </c>
      <c r="H153" s="27" t="str">
        <f>IF(NOT(_EngineCycles!A153&lt;&gt;""),"",IF(NOT($R153="OK"),"",_EngineCycles!J153))</f>
        <v/>
      </c>
      <c r="I153" s="17" t="str">
        <f>IF(NOT(_EngineCycles!A153&lt;&gt;""),"",IF(NOT($R153="OK"),"",_EngineCycles!I153))</f>
        <v/>
      </c>
      <c r="J153" s="17" t="str">
        <f>IF(NOT(_EngineCycles!A153&lt;&gt;""),"",IF(NOT($R153="OK"),"",_EngineCycles!L153))</f>
        <v/>
      </c>
      <c r="K153" s="17" t="str">
        <f>IF(NOT(_EngineCycles!A153&lt;&gt;""),"",IF(NOT($R153="OK"),"",_EngineCycles!U153))</f>
        <v/>
      </c>
      <c r="L153" s="27" t="str">
        <f>IF(NOT(_EngineCycles!A153&lt;&gt;""),"",IF(NOT($R153="OK"),"",_EngineCycles!AE153))</f>
        <v/>
      </c>
      <c r="M153" s="17" t="str">
        <f>IF(NOT(_EngineCycles!A153&lt;&gt;""),"",IF(NOT($R153="OK"),"",_EngineCycles!O153))</f>
        <v/>
      </c>
      <c r="N153" s="27" t="str">
        <f>IF(NOT(_EngineCycles!A153&lt;&gt;""),"",IF(NOT($R153="OK"),"",IF(_EngineCycles!E153="Closed",_EngineCycles!O153,"")))</f>
        <v/>
      </c>
      <c r="O153" s="28" t="str">
        <f>IF(NOT(_EngineCycles!A153&lt;&gt;""),"",IF(NOT($R153="OK"),"",_EngineCycles!Y153))</f>
        <v/>
      </c>
      <c r="P153" s="17" t="str">
        <f>IF(NOT(_EngineCycles!A153&lt;&gt;""),"",IF(NOT($R153="OK"),"",_EngineCycles!S153))</f>
        <v/>
      </c>
      <c r="Q153" s="25" t="str">
        <f>IF(_EngineCycles!A153="","",IF($R153&lt;&gt;"OK","Review",IF(_EngineCycles!E153="Closed","Closed","Open")))</f>
        <v/>
      </c>
      <c r="R153" s="18" t="str">
        <f>IF(_EngineCycles!A153="","",IF(COUNTIFS(Trades!$B$9:$B$508,_EngineCycles!B153,Trades!$C$9:$C$508,"&lt;&gt;"&amp;$B153,Trades!$A$9:$A$508,"&lt;&gt;")&gt;0,"Ticker mismatch",IF(COUNTIFS(Trades!$B$9:$B$508,_EngineCycles!B153,Trades!$D$9:$D$508,"&lt;&gt;"&amp;$C153,Trades!$A$9:$A$508,"&lt;&gt;")&gt;0,"Currency mismatch",IF(COUNTIFS(Trades!$B$9:$B$508,_EngineCycles!B153,Trades!$S$9:$S$508,"&lt;&gt;OK",Trades!$A$9:$A$508,"&lt;&gt;")&gt;0,"Check trades","OK"))))</f>
        <v/>
      </c>
      <c r="S153" s="29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P$9:$P$508),0),"")))</f>
        <v/>
      </c>
      <c r="T153" s="26" t="str">
        <f>IF(NOT(_EngineCycles!A153&lt;&gt;""),"",IF(NOT($R153="OK"),"",_EngineCycles!W153))</f>
        <v/>
      </c>
      <c r="U153" s="16"/>
      <c r="V153" s="16"/>
      <c r="W153" s="16"/>
      <c r="X153" s="16"/>
      <c r="Y153" t="str">
        <f>IF(AND($C153=Overview!$P$2,$Q153="Open",$R153="OK"),COUNTIFS($C$9:$C153,Overview!$P$2,$Q$9:$Q153,"Open",$R$9:$R153,"OK"),"")</f>
        <v/>
      </c>
    </row>
    <row r="154" spans="1:25" ht="23.1" customHeight="1" x14ac:dyDescent="0.25">
      <c r="A154" s="24" t="str">
        <f>IF(_EngineCycles!A154="","",_EngineCycles!B154&amp;IF(_EngineCycles!C154&gt;1," / "&amp;_EngineCycles!C154,""))</f>
        <v/>
      </c>
      <c r="B154" s="24" t="str">
        <f>IF(_EngineCycles!A154="","",_EngineCycles!D154)</f>
        <v/>
      </c>
      <c r="C154" s="24" t="str">
        <f>IF(_EngineCycles!A154="","",IFERROR(INDEX(Trades!$D$9:$D$508,_EngineCycles!AG154-8),""))</f>
        <v/>
      </c>
      <c r="D154" s="30" t="str">
        <f>IF(_EngineCycles!A154="","",IF($R154&lt;&gt;"OK","Review",IF(_EngineCycles!E154="Closed","Closed",IF(_EngineCycles!P154&gt;0,IF(IFERROR(LOOKUP(2,1/((_EngineTrades!$AU$9:$AU$508=_EngineCycles!A154)),_EngineTrades!$AQ$9:$AQ$508),0)&gt;0,"Covered Call","Shares Held"),"Cash-Secured Put"))))</f>
        <v/>
      </c>
      <c r="E154" s="31" t="str">
        <f>IF(NOT(_EngineCycles!A154&lt;&gt;""),"",IF(NOT($R154="OK"),"",_EngineCycles!P154))</f>
        <v/>
      </c>
      <c r="F154" s="23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AH$9:$AH$508),0),"")))</f>
        <v/>
      </c>
      <c r="G154" s="23" t="str">
        <f>IF(NOT(_EngineCycles!A154&lt;&gt;""),"",IF(NOT($R154="OK"),"",_EngineCycles!Q154))</f>
        <v/>
      </c>
      <c r="H154" s="32" t="str">
        <f>IF(NOT(_EngineCycles!A154&lt;&gt;""),"",IF(NOT($R154="OK"),"",_EngineCycles!J154))</f>
        <v/>
      </c>
      <c r="I154" s="23" t="str">
        <f>IF(NOT(_EngineCycles!A154&lt;&gt;""),"",IF(NOT($R154="OK"),"",_EngineCycles!I154))</f>
        <v/>
      </c>
      <c r="J154" s="23" t="str">
        <f>IF(NOT(_EngineCycles!A154&lt;&gt;""),"",IF(NOT($R154="OK"),"",_EngineCycles!L154))</f>
        <v/>
      </c>
      <c r="K154" s="23" t="str">
        <f>IF(NOT(_EngineCycles!A154&lt;&gt;""),"",IF(NOT($R154="OK"),"",_EngineCycles!U154))</f>
        <v/>
      </c>
      <c r="L154" s="32" t="str">
        <f>IF(NOT(_EngineCycles!A154&lt;&gt;""),"",IF(NOT($R154="OK"),"",_EngineCycles!AE154))</f>
        <v/>
      </c>
      <c r="M154" s="23" t="str">
        <f>IF(NOT(_EngineCycles!A154&lt;&gt;""),"",IF(NOT($R154="OK"),"",_EngineCycles!O154))</f>
        <v/>
      </c>
      <c r="N154" s="32" t="str">
        <f>IF(NOT(_EngineCycles!A154&lt;&gt;""),"",IF(NOT($R154="OK"),"",IF(_EngineCycles!E154="Closed",_EngineCycles!O154,"")))</f>
        <v/>
      </c>
      <c r="O154" s="33" t="str">
        <f>IF(NOT(_EngineCycles!A154&lt;&gt;""),"",IF(NOT($R154="OK"),"",_EngineCycles!Y154))</f>
        <v/>
      </c>
      <c r="P154" s="23" t="str">
        <f>IF(NOT(_EngineCycles!A154&lt;&gt;""),"",IF(NOT($R154="OK"),"",_EngineCycles!S154))</f>
        <v/>
      </c>
      <c r="Q154" s="30" t="str">
        <f>IF(_EngineCycles!A154="","",IF($R154&lt;&gt;"OK","Review",IF(_EngineCycles!E154="Closed","Closed","Open")))</f>
        <v/>
      </c>
      <c r="R154" s="24" t="str">
        <f>IF(_EngineCycles!A154="","",IF(COUNTIFS(Trades!$B$9:$B$508,_EngineCycles!B154,Trades!$C$9:$C$508,"&lt;&gt;"&amp;$B154,Trades!$A$9:$A$508,"&lt;&gt;")&gt;0,"Ticker mismatch",IF(COUNTIFS(Trades!$B$9:$B$508,_EngineCycles!B154,Trades!$D$9:$D$508,"&lt;&gt;"&amp;$C154,Trades!$A$9:$A$508,"&lt;&gt;")&gt;0,"Currency mismatch",IF(COUNTIFS(Trades!$B$9:$B$508,_EngineCycles!B154,Trades!$S$9:$S$508,"&lt;&gt;OK",Trades!$A$9:$A$508,"&lt;&gt;")&gt;0,"Check trades","OK"))))</f>
        <v/>
      </c>
      <c r="S154" s="34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P$9:$P$508),0),"")))</f>
        <v/>
      </c>
      <c r="T154" s="31" t="str">
        <f>IF(NOT(_EngineCycles!A154&lt;&gt;""),"",IF(NOT($R154="OK"),"",_EngineCycles!W154))</f>
        <v/>
      </c>
      <c r="U154" s="22"/>
      <c r="V154" s="22"/>
      <c r="W154" s="22"/>
      <c r="X154" s="22"/>
      <c r="Y154" t="str">
        <f>IF(AND($C154=Overview!$P$2,$Q154="Open",$R154="OK"),COUNTIFS($C$9:$C154,Overview!$P$2,$Q$9:$Q154,"Open",$R$9:$R154,"OK"),"")</f>
        <v/>
      </c>
    </row>
    <row r="155" spans="1:25" ht="23.1" customHeight="1" x14ac:dyDescent="0.25">
      <c r="A155" s="18" t="str">
        <f>IF(_EngineCycles!A155="","",_EngineCycles!B155&amp;IF(_EngineCycles!C155&gt;1," / "&amp;_EngineCycles!C155,""))</f>
        <v/>
      </c>
      <c r="B155" s="18" t="str">
        <f>IF(_EngineCycles!A155="","",_EngineCycles!D155)</f>
        <v/>
      </c>
      <c r="C155" s="18" t="str">
        <f>IF(_EngineCycles!A155="","",IFERROR(INDEX(Trades!$D$9:$D$508,_EngineCycles!AG155-8),""))</f>
        <v/>
      </c>
      <c r="D155" s="25" t="str">
        <f>IF(_EngineCycles!A155="","",IF($R155&lt;&gt;"OK","Review",IF(_EngineCycles!E155="Closed","Closed",IF(_EngineCycles!P155&gt;0,IF(IFERROR(LOOKUP(2,1/((_EngineTrades!$AU$9:$AU$508=_EngineCycles!A155)),_EngineTrades!$AQ$9:$AQ$508),0)&gt;0,"Covered Call","Shares Held"),"Cash-Secured Put"))))</f>
        <v/>
      </c>
      <c r="E155" s="26" t="str">
        <f>IF(NOT(_EngineCycles!A155&lt;&gt;""),"",IF(NOT($R155="OK"),"",_EngineCycles!P155))</f>
        <v/>
      </c>
      <c r="F155" s="17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AH$9:$AH$508),0),"")))</f>
        <v/>
      </c>
      <c r="G155" s="17" t="str">
        <f>IF(NOT(_EngineCycles!A155&lt;&gt;""),"",IF(NOT($R155="OK"),"",_EngineCycles!Q155))</f>
        <v/>
      </c>
      <c r="H155" s="27" t="str">
        <f>IF(NOT(_EngineCycles!A155&lt;&gt;""),"",IF(NOT($R155="OK"),"",_EngineCycles!J155))</f>
        <v/>
      </c>
      <c r="I155" s="17" t="str">
        <f>IF(NOT(_EngineCycles!A155&lt;&gt;""),"",IF(NOT($R155="OK"),"",_EngineCycles!I155))</f>
        <v/>
      </c>
      <c r="J155" s="17" t="str">
        <f>IF(NOT(_EngineCycles!A155&lt;&gt;""),"",IF(NOT($R155="OK"),"",_EngineCycles!L155))</f>
        <v/>
      </c>
      <c r="K155" s="17" t="str">
        <f>IF(NOT(_EngineCycles!A155&lt;&gt;""),"",IF(NOT($R155="OK"),"",_EngineCycles!U155))</f>
        <v/>
      </c>
      <c r="L155" s="27" t="str">
        <f>IF(NOT(_EngineCycles!A155&lt;&gt;""),"",IF(NOT($R155="OK"),"",_EngineCycles!AE155))</f>
        <v/>
      </c>
      <c r="M155" s="17" t="str">
        <f>IF(NOT(_EngineCycles!A155&lt;&gt;""),"",IF(NOT($R155="OK"),"",_EngineCycles!O155))</f>
        <v/>
      </c>
      <c r="N155" s="27" t="str">
        <f>IF(NOT(_EngineCycles!A155&lt;&gt;""),"",IF(NOT($R155="OK"),"",IF(_EngineCycles!E155="Closed",_EngineCycles!O155,"")))</f>
        <v/>
      </c>
      <c r="O155" s="28" t="str">
        <f>IF(NOT(_EngineCycles!A155&lt;&gt;""),"",IF(NOT($R155="OK"),"",_EngineCycles!Y155))</f>
        <v/>
      </c>
      <c r="P155" s="17" t="str">
        <f>IF(NOT(_EngineCycles!A155&lt;&gt;""),"",IF(NOT($R155="OK"),"",_EngineCycles!S155))</f>
        <v/>
      </c>
      <c r="Q155" s="25" t="str">
        <f>IF(_EngineCycles!A155="","",IF($R155&lt;&gt;"OK","Review",IF(_EngineCycles!E155="Closed","Closed","Open")))</f>
        <v/>
      </c>
      <c r="R155" s="18" t="str">
        <f>IF(_EngineCycles!A155="","",IF(COUNTIFS(Trades!$B$9:$B$508,_EngineCycles!B155,Trades!$C$9:$C$508,"&lt;&gt;"&amp;$B155,Trades!$A$9:$A$508,"&lt;&gt;")&gt;0,"Ticker mismatch",IF(COUNTIFS(Trades!$B$9:$B$508,_EngineCycles!B155,Trades!$D$9:$D$508,"&lt;&gt;"&amp;$C155,Trades!$A$9:$A$508,"&lt;&gt;")&gt;0,"Currency mismatch",IF(COUNTIFS(Trades!$B$9:$B$508,_EngineCycles!B155,Trades!$S$9:$S$508,"&lt;&gt;OK",Trades!$A$9:$A$508,"&lt;&gt;")&gt;0,"Check trades","OK"))))</f>
        <v/>
      </c>
      <c r="S155" s="29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P$9:$P$508),0),"")))</f>
        <v/>
      </c>
      <c r="T155" s="26" t="str">
        <f>IF(NOT(_EngineCycles!A155&lt;&gt;""),"",IF(NOT($R155="OK"),"",_EngineCycles!W155))</f>
        <v/>
      </c>
      <c r="U155" s="16"/>
      <c r="V155" s="16"/>
      <c r="W155" s="16"/>
      <c r="X155" s="16"/>
      <c r="Y155" t="str">
        <f>IF(AND($C155=Overview!$P$2,$Q155="Open",$R155="OK"),COUNTIFS($C$9:$C155,Overview!$P$2,$Q$9:$Q155,"Open",$R$9:$R155,"OK"),"")</f>
        <v/>
      </c>
    </row>
    <row r="156" spans="1:25" ht="23.1" customHeight="1" x14ac:dyDescent="0.25">
      <c r="A156" s="24" t="str">
        <f>IF(_EngineCycles!A156="","",_EngineCycles!B156&amp;IF(_EngineCycles!C156&gt;1," / "&amp;_EngineCycles!C156,""))</f>
        <v/>
      </c>
      <c r="B156" s="24" t="str">
        <f>IF(_EngineCycles!A156="","",_EngineCycles!D156)</f>
        <v/>
      </c>
      <c r="C156" s="24" t="str">
        <f>IF(_EngineCycles!A156="","",IFERROR(INDEX(Trades!$D$9:$D$508,_EngineCycles!AG156-8),""))</f>
        <v/>
      </c>
      <c r="D156" s="30" t="str">
        <f>IF(_EngineCycles!A156="","",IF($R156&lt;&gt;"OK","Review",IF(_EngineCycles!E156="Closed","Closed",IF(_EngineCycles!P156&gt;0,IF(IFERROR(LOOKUP(2,1/((_EngineTrades!$AU$9:$AU$508=_EngineCycles!A156)),_EngineTrades!$AQ$9:$AQ$508),0)&gt;0,"Covered Call","Shares Held"),"Cash-Secured Put"))))</f>
        <v/>
      </c>
      <c r="E156" s="31" t="str">
        <f>IF(NOT(_EngineCycles!A156&lt;&gt;""),"",IF(NOT($R156="OK"),"",_EngineCycles!P156))</f>
        <v/>
      </c>
      <c r="F156" s="23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AH$9:$AH$508),0),"")))</f>
        <v/>
      </c>
      <c r="G156" s="23" t="str">
        <f>IF(NOT(_EngineCycles!A156&lt;&gt;""),"",IF(NOT($R156="OK"),"",_EngineCycles!Q156))</f>
        <v/>
      </c>
      <c r="H156" s="32" t="str">
        <f>IF(NOT(_EngineCycles!A156&lt;&gt;""),"",IF(NOT($R156="OK"),"",_EngineCycles!J156))</f>
        <v/>
      </c>
      <c r="I156" s="23" t="str">
        <f>IF(NOT(_EngineCycles!A156&lt;&gt;""),"",IF(NOT($R156="OK"),"",_EngineCycles!I156))</f>
        <v/>
      </c>
      <c r="J156" s="23" t="str">
        <f>IF(NOT(_EngineCycles!A156&lt;&gt;""),"",IF(NOT($R156="OK"),"",_EngineCycles!L156))</f>
        <v/>
      </c>
      <c r="K156" s="23" t="str">
        <f>IF(NOT(_EngineCycles!A156&lt;&gt;""),"",IF(NOT($R156="OK"),"",_EngineCycles!U156))</f>
        <v/>
      </c>
      <c r="L156" s="32" t="str">
        <f>IF(NOT(_EngineCycles!A156&lt;&gt;""),"",IF(NOT($R156="OK"),"",_EngineCycles!AE156))</f>
        <v/>
      </c>
      <c r="M156" s="23" t="str">
        <f>IF(NOT(_EngineCycles!A156&lt;&gt;""),"",IF(NOT($R156="OK"),"",_EngineCycles!O156))</f>
        <v/>
      </c>
      <c r="N156" s="32" t="str">
        <f>IF(NOT(_EngineCycles!A156&lt;&gt;""),"",IF(NOT($R156="OK"),"",IF(_EngineCycles!E156="Closed",_EngineCycles!O156,"")))</f>
        <v/>
      </c>
      <c r="O156" s="33" t="str">
        <f>IF(NOT(_EngineCycles!A156&lt;&gt;""),"",IF(NOT($R156="OK"),"",_EngineCycles!Y156))</f>
        <v/>
      </c>
      <c r="P156" s="23" t="str">
        <f>IF(NOT(_EngineCycles!A156&lt;&gt;""),"",IF(NOT($R156="OK"),"",_EngineCycles!S156))</f>
        <v/>
      </c>
      <c r="Q156" s="30" t="str">
        <f>IF(_EngineCycles!A156="","",IF($R156&lt;&gt;"OK","Review",IF(_EngineCycles!E156="Closed","Closed","Open")))</f>
        <v/>
      </c>
      <c r="R156" s="24" t="str">
        <f>IF(_EngineCycles!A156="","",IF(COUNTIFS(Trades!$B$9:$B$508,_EngineCycles!B156,Trades!$C$9:$C$508,"&lt;&gt;"&amp;$B156,Trades!$A$9:$A$508,"&lt;&gt;")&gt;0,"Ticker mismatch",IF(COUNTIFS(Trades!$B$9:$B$508,_EngineCycles!B156,Trades!$D$9:$D$508,"&lt;&gt;"&amp;$C156,Trades!$A$9:$A$508,"&lt;&gt;")&gt;0,"Currency mismatch",IF(COUNTIFS(Trades!$B$9:$B$508,_EngineCycles!B156,Trades!$S$9:$S$508,"&lt;&gt;OK",Trades!$A$9:$A$508,"&lt;&gt;")&gt;0,"Check trades","OK"))))</f>
        <v/>
      </c>
      <c r="S156" s="34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P$9:$P$508),0),"")))</f>
        <v/>
      </c>
      <c r="T156" s="31" t="str">
        <f>IF(NOT(_EngineCycles!A156&lt;&gt;""),"",IF(NOT($R156="OK"),"",_EngineCycles!W156))</f>
        <v/>
      </c>
      <c r="U156" s="22"/>
      <c r="V156" s="22"/>
      <c r="W156" s="22"/>
      <c r="X156" s="22"/>
      <c r="Y156" t="str">
        <f>IF(AND($C156=Overview!$P$2,$Q156="Open",$R156="OK"),COUNTIFS($C$9:$C156,Overview!$P$2,$Q$9:$Q156,"Open",$R$9:$R156,"OK"),"")</f>
        <v/>
      </c>
    </row>
    <row r="157" spans="1:25" ht="23.1" customHeight="1" x14ac:dyDescent="0.25">
      <c r="A157" s="18" t="str">
        <f>IF(_EngineCycles!A157="","",_EngineCycles!B157&amp;IF(_EngineCycles!C157&gt;1," / "&amp;_EngineCycles!C157,""))</f>
        <v/>
      </c>
      <c r="B157" s="18" t="str">
        <f>IF(_EngineCycles!A157="","",_EngineCycles!D157)</f>
        <v/>
      </c>
      <c r="C157" s="18" t="str">
        <f>IF(_EngineCycles!A157="","",IFERROR(INDEX(Trades!$D$9:$D$508,_EngineCycles!AG157-8),""))</f>
        <v/>
      </c>
      <c r="D157" s="25" t="str">
        <f>IF(_EngineCycles!A157="","",IF($R157&lt;&gt;"OK","Review",IF(_EngineCycles!E157="Closed","Closed",IF(_EngineCycles!P157&gt;0,IF(IFERROR(LOOKUP(2,1/((_EngineTrades!$AU$9:$AU$508=_EngineCycles!A157)),_EngineTrades!$AQ$9:$AQ$508),0)&gt;0,"Covered Call","Shares Held"),"Cash-Secured Put"))))</f>
        <v/>
      </c>
      <c r="E157" s="26" t="str">
        <f>IF(NOT(_EngineCycles!A157&lt;&gt;""),"",IF(NOT($R157="OK"),"",_EngineCycles!P157))</f>
        <v/>
      </c>
      <c r="F157" s="17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AH$9:$AH$508),0),"")))</f>
        <v/>
      </c>
      <c r="G157" s="17" t="str">
        <f>IF(NOT(_EngineCycles!A157&lt;&gt;""),"",IF(NOT($R157="OK"),"",_EngineCycles!Q157))</f>
        <v/>
      </c>
      <c r="H157" s="27" t="str">
        <f>IF(NOT(_EngineCycles!A157&lt;&gt;""),"",IF(NOT($R157="OK"),"",_EngineCycles!J157))</f>
        <v/>
      </c>
      <c r="I157" s="17" t="str">
        <f>IF(NOT(_EngineCycles!A157&lt;&gt;""),"",IF(NOT($R157="OK"),"",_EngineCycles!I157))</f>
        <v/>
      </c>
      <c r="J157" s="17" t="str">
        <f>IF(NOT(_EngineCycles!A157&lt;&gt;""),"",IF(NOT($R157="OK"),"",_EngineCycles!L157))</f>
        <v/>
      </c>
      <c r="K157" s="17" t="str">
        <f>IF(NOT(_EngineCycles!A157&lt;&gt;""),"",IF(NOT($R157="OK"),"",_EngineCycles!U157))</f>
        <v/>
      </c>
      <c r="L157" s="27" t="str">
        <f>IF(NOT(_EngineCycles!A157&lt;&gt;""),"",IF(NOT($R157="OK"),"",_EngineCycles!AE157))</f>
        <v/>
      </c>
      <c r="M157" s="17" t="str">
        <f>IF(NOT(_EngineCycles!A157&lt;&gt;""),"",IF(NOT($R157="OK"),"",_EngineCycles!O157))</f>
        <v/>
      </c>
      <c r="N157" s="27" t="str">
        <f>IF(NOT(_EngineCycles!A157&lt;&gt;""),"",IF(NOT($R157="OK"),"",IF(_EngineCycles!E157="Closed",_EngineCycles!O157,"")))</f>
        <v/>
      </c>
      <c r="O157" s="28" t="str">
        <f>IF(NOT(_EngineCycles!A157&lt;&gt;""),"",IF(NOT($R157="OK"),"",_EngineCycles!Y157))</f>
        <v/>
      </c>
      <c r="P157" s="17" t="str">
        <f>IF(NOT(_EngineCycles!A157&lt;&gt;""),"",IF(NOT($R157="OK"),"",_EngineCycles!S157))</f>
        <v/>
      </c>
      <c r="Q157" s="25" t="str">
        <f>IF(_EngineCycles!A157="","",IF($R157&lt;&gt;"OK","Review",IF(_EngineCycles!E157="Closed","Closed","Open")))</f>
        <v/>
      </c>
      <c r="R157" s="18" t="str">
        <f>IF(_EngineCycles!A157="","",IF(COUNTIFS(Trades!$B$9:$B$508,_EngineCycles!B157,Trades!$C$9:$C$508,"&lt;&gt;"&amp;$B157,Trades!$A$9:$A$508,"&lt;&gt;")&gt;0,"Ticker mismatch",IF(COUNTIFS(Trades!$B$9:$B$508,_EngineCycles!B157,Trades!$D$9:$D$508,"&lt;&gt;"&amp;$C157,Trades!$A$9:$A$508,"&lt;&gt;")&gt;0,"Currency mismatch",IF(COUNTIFS(Trades!$B$9:$B$508,_EngineCycles!B157,Trades!$S$9:$S$508,"&lt;&gt;OK",Trades!$A$9:$A$508,"&lt;&gt;")&gt;0,"Check trades","OK"))))</f>
        <v/>
      </c>
      <c r="S157" s="29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P$9:$P$508),0),"")))</f>
        <v/>
      </c>
      <c r="T157" s="26" t="str">
        <f>IF(NOT(_EngineCycles!A157&lt;&gt;""),"",IF(NOT($R157="OK"),"",_EngineCycles!W157))</f>
        <v/>
      </c>
      <c r="U157" s="16"/>
      <c r="V157" s="16"/>
      <c r="W157" s="16"/>
      <c r="X157" s="16"/>
      <c r="Y157" t="str">
        <f>IF(AND($C157=Overview!$P$2,$Q157="Open",$R157="OK"),COUNTIFS($C$9:$C157,Overview!$P$2,$Q$9:$Q157,"Open",$R$9:$R157,"OK"),"")</f>
        <v/>
      </c>
    </row>
    <row r="158" spans="1:25" ht="23.1" customHeight="1" x14ac:dyDescent="0.25">
      <c r="A158" s="24" t="str">
        <f>IF(_EngineCycles!A158="","",_EngineCycles!B158&amp;IF(_EngineCycles!C158&gt;1," / "&amp;_EngineCycles!C158,""))</f>
        <v/>
      </c>
      <c r="B158" s="24" t="str">
        <f>IF(_EngineCycles!A158="","",_EngineCycles!D158)</f>
        <v/>
      </c>
      <c r="C158" s="24" t="str">
        <f>IF(_EngineCycles!A158="","",IFERROR(INDEX(Trades!$D$9:$D$508,_EngineCycles!AG158-8),""))</f>
        <v/>
      </c>
      <c r="D158" s="30" t="str">
        <f>IF(_EngineCycles!A158="","",IF($R158&lt;&gt;"OK","Review",IF(_EngineCycles!E158="Closed","Closed",IF(_EngineCycles!P158&gt;0,IF(IFERROR(LOOKUP(2,1/((_EngineTrades!$AU$9:$AU$508=_EngineCycles!A158)),_EngineTrades!$AQ$9:$AQ$508),0)&gt;0,"Covered Call","Shares Held"),"Cash-Secured Put"))))</f>
        <v/>
      </c>
      <c r="E158" s="31" t="str">
        <f>IF(NOT(_EngineCycles!A158&lt;&gt;""),"",IF(NOT($R158="OK"),"",_EngineCycles!P158))</f>
        <v/>
      </c>
      <c r="F158" s="23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AH$9:$AH$508),0),"")))</f>
        <v/>
      </c>
      <c r="G158" s="23" t="str">
        <f>IF(NOT(_EngineCycles!A158&lt;&gt;""),"",IF(NOT($R158="OK"),"",_EngineCycles!Q158))</f>
        <v/>
      </c>
      <c r="H158" s="32" t="str">
        <f>IF(NOT(_EngineCycles!A158&lt;&gt;""),"",IF(NOT($R158="OK"),"",_EngineCycles!J158))</f>
        <v/>
      </c>
      <c r="I158" s="23" t="str">
        <f>IF(NOT(_EngineCycles!A158&lt;&gt;""),"",IF(NOT($R158="OK"),"",_EngineCycles!I158))</f>
        <v/>
      </c>
      <c r="J158" s="23" t="str">
        <f>IF(NOT(_EngineCycles!A158&lt;&gt;""),"",IF(NOT($R158="OK"),"",_EngineCycles!L158))</f>
        <v/>
      </c>
      <c r="K158" s="23" t="str">
        <f>IF(NOT(_EngineCycles!A158&lt;&gt;""),"",IF(NOT($R158="OK"),"",_EngineCycles!U158))</f>
        <v/>
      </c>
      <c r="L158" s="32" t="str">
        <f>IF(NOT(_EngineCycles!A158&lt;&gt;""),"",IF(NOT($R158="OK"),"",_EngineCycles!AE158))</f>
        <v/>
      </c>
      <c r="M158" s="23" t="str">
        <f>IF(NOT(_EngineCycles!A158&lt;&gt;""),"",IF(NOT($R158="OK"),"",_EngineCycles!O158))</f>
        <v/>
      </c>
      <c r="N158" s="32" t="str">
        <f>IF(NOT(_EngineCycles!A158&lt;&gt;""),"",IF(NOT($R158="OK"),"",IF(_EngineCycles!E158="Closed",_EngineCycles!O158,"")))</f>
        <v/>
      </c>
      <c r="O158" s="33" t="str">
        <f>IF(NOT(_EngineCycles!A158&lt;&gt;""),"",IF(NOT($R158="OK"),"",_EngineCycles!Y158))</f>
        <v/>
      </c>
      <c r="P158" s="23" t="str">
        <f>IF(NOT(_EngineCycles!A158&lt;&gt;""),"",IF(NOT($R158="OK"),"",_EngineCycles!S158))</f>
        <v/>
      </c>
      <c r="Q158" s="30" t="str">
        <f>IF(_EngineCycles!A158="","",IF($R158&lt;&gt;"OK","Review",IF(_EngineCycles!E158="Closed","Closed","Open")))</f>
        <v/>
      </c>
      <c r="R158" s="24" t="str">
        <f>IF(_EngineCycles!A158="","",IF(COUNTIFS(Trades!$B$9:$B$508,_EngineCycles!B158,Trades!$C$9:$C$508,"&lt;&gt;"&amp;$B158,Trades!$A$9:$A$508,"&lt;&gt;")&gt;0,"Ticker mismatch",IF(COUNTIFS(Trades!$B$9:$B$508,_EngineCycles!B158,Trades!$D$9:$D$508,"&lt;&gt;"&amp;$C158,Trades!$A$9:$A$508,"&lt;&gt;")&gt;0,"Currency mismatch",IF(COUNTIFS(Trades!$B$9:$B$508,_EngineCycles!B158,Trades!$S$9:$S$508,"&lt;&gt;OK",Trades!$A$9:$A$508,"&lt;&gt;")&gt;0,"Check trades","OK"))))</f>
        <v/>
      </c>
      <c r="S158" s="34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P$9:$P$508),0),"")))</f>
        <v/>
      </c>
      <c r="T158" s="31" t="str">
        <f>IF(NOT(_EngineCycles!A158&lt;&gt;""),"",IF(NOT($R158="OK"),"",_EngineCycles!W158))</f>
        <v/>
      </c>
      <c r="U158" s="22"/>
      <c r="V158" s="22"/>
      <c r="W158" s="22"/>
      <c r="X158" s="22"/>
      <c r="Y158" t="str">
        <f>IF(AND($C158=Overview!$P$2,$Q158="Open",$R158="OK"),COUNTIFS($C$9:$C158,Overview!$P$2,$Q$9:$Q158,"Open",$R$9:$R158,"OK"),"")</f>
        <v/>
      </c>
    </row>
    <row r="159" spans="1:25" ht="23.1" customHeight="1" x14ac:dyDescent="0.25">
      <c r="A159" s="18" t="str">
        <f>IF(_EngineCycles!A159="","",_EngineCycles!B159&amp;IF(_EngineCycles!C159&gt;1," / "&amp;_EngineCycles!C159,""))</f>
        <v/>
      </c>
      <c r="B159" s="18" t="str">
        <f>IF(_EngineCycles!A159="","",_EngineCycles!D159)</f>
        <v/>
      </c>
      <c r="C159" s="18" t="str">
        <f>IF(_EngineCycles!A159="","",IFERROR(INDEX(Trades!$D$9:$D$508,_EngineCycles!AG159-8),""))</f>
        <v/>
      </c>
      <c r="D159" s="25" t="str">
        <f>IF(_EngineCycles!A159="","",IF($R159&lt;&gt;"OK","Review",IF(_EngineCycles!E159="Closed","Closed",IF(_EngineCycles!P159&gt;0,IF(IFERROR(LOOKUP(2,1/((_EngineTrades!$AU$9:$AU$508=_EngineCycles!A159)),_EngineTrades!$AQ$9:$AQ$508),0)&gt;0,"Covered Call","Shares Held"),"Cash-Secured Put"))))</f>
        <v/>
      </c>
      <c r="E159" s="26" t="str">
        <f>IF(NOT(_EngineCycles!A159&lt;&gt;""),"",IF(NOT($R159="OK"),"",_EngineCycles!P159))</f>
        <v/>
      </c>
      <c r="F159" s="17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AH$9:$AH$508),0),"")))</f>
        <v/>
      </c>
      <c r="G159" s="17" t="str">
        <f>IF(NOT(_EngineCycles!A159&lt;&gt;""),"",IF(NOT($R159="OK"),"",_EngineCycles!Q159))</f>
        <v/>
      </c>
      <c r="H159" s="27" t="str">
        <f>IF(NOT(_EngineCycles!A159&lt;&gt;""),"",IF(NOT($R159="OK"),"",_EngineCycles!J159))</f>
        <v/>
      </c>
      <c r="I159" s="17" t="str">
        <f>IF(NOT(_EngineCycles!A159&lt;&gt;""),"",IF(NOT($R159="OK"),"",_EngineCycles!I159))</f>
        <v/>
      </c>
      <c r="J159" s="17" t="str">
        <f>IF(NOT(_EngineCycles!A159&lt;&gt;""),"",IF(NOT($R159="OK"),"",_EngineCycles!L159))</f>
        <v/>
      </c>
      <c r="K159" s="17" t="str">
        <f>IF(NOT(_EngineCycles!A159&lt;&gt;""),"",IF(NOT($R159="OK"),"",_EngineCycles!U159))</f>
        <v/>
      </c>
      <c r="L159" s="27" t="str">
        <f>IF(NOT(_EngineCycles!A159&lt;&gt;""),"",IF(NOT($R159="OK"),"",_EngineCycles!AE159))</f>
        <v/>
      </c>
      <c r="M159" s="17" t="str">
        <f>IF(NOT(_EngineCycles!A159&lt;&gt;""),"",IF(NOT($R159="OK"),"",_EngineCycles!O159))</f>
        <v/>
      </c>
      <c r="N159" s="27" t="str">
        <f>IF(NOT(_EngineCycles!A159&lt;&gt;""),"",IF(NOT($R159="OK"),"",IF(_EngineCycles!E159="Closed",_EngineCycles!O159,"")))</f>
        <v/>
      </c>
      <c r="O159" s="28" t="str">
        <f>IF(NOT(_EngineCycles!A159&lt;&gt;""),"",IF(NOT($R159="OK"),"",_EngineCycles!Y159))</f>
        <v/>
      </c>
      <c r="P159" s="17" t="str">
        <f>IF(NOT(_EngineCycles!A159&lt;&gt;""),"",IF(NOT($R159="OK"),"",_EngineCycles!S159))</f>
        <v/>
      </c>
      <c r="Q159" s="25" t="str">
        <f>IF(_EngineCycles!A159="","",IF($R159&lt;&gt;"OK","Review",IF(_EngineCycles!E159="Closed","Closed","Open")))</f>
        <v/>
      </c>
      <c r="R159" s="18" t="str">
        <f>IF(_EngineCycles!A159="","",IF(COUNTIFS(Trades!$B$9:$B$508,_EngineCycles!B159,Trades!$C$9:$C$508,"&lt;&gt;"&amp;$B159,Trades!$A$9:$A$508,"&lt;&gt;")&gt;0,"Ticker mismatch",IF(COUNTIFS(Trades!$B$9:$B$508,_EngineCycles!B159,Trades!$D$9:$D$508,"&lt;&gt;"&amp;$C159,Trades!$A$9:$A$508,"&lt;&gt;")&gt;0,"Currency mismatch",IF(COUNTIFS(Trades!$B$9:$B$508,_EngineCycles!B159,Trades!$S$9:$S$508,"&lt;&gt;OK",Trades!$A$9:$A$508,"&lt;&gt;")&gt;0,"Check trades","OK"))))</f>
        <v/>
      </c>
      <c r="S159" s="29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P$9:$P$508),0),"")))</f>
        <v/>
      </c>
      <c r="T159" s="26" t="str">
        <f>IF(NOT(_EngineCycles!A159&lt;&gt;""),"",IF(NOT($R159="OK"),"",_EngineCycles!W159))</f>
        <v/>
      </c>
      <c r="U159" s="16"/>
      <c r="V159" s="16"/>
      <c r="W159" s="16"/>
      <c r="X159" s="16"/>
      <c r="Y159" t="str">
        <f>IF(AND($C159=Overview!$P$2,$Q159="Open",$R159="OK"),COUNTIFS($C$9:$C159,Overview!$P$2,$Q$9:$Q159,"Open",$R$9:$R159,"OK"),"")</f>
        <v/>
      </c>
    </row>
    <row r="160" spans="1:25" ht="23.1" customHeight="1" x14ac:dyDescent="0.25">
      <c r="A160" s="24" t="str">
        <f>IF(_EngineCycles!A160="","",_EngineCycles!B160&amp;IF(_EngineCycles!C160&gt;1," / "&amp;_EngineCycles!C160,""))</f>
        <v/>
      </c>
      <c r="B160" s="24" t="str">
        <f>IF(_EngineCycles!A160="","",_EngineCycles!D160)</f>
        <v/>
      </c>
      <c r="C160" s="24" t="str">
        <f>IF(_EngineCycles!A160="","",IFERROR(INDEX(Trades!$D$9:$D$508,_EngineCycles!AG160-8),""))</f>
        <v/>
      </c>
      <c r="D160" s="30" t="str">
        <f>IF(_EngineCycles!A160="","",IF($R160&lt;&gt;"OK","Review",IF(_EngineCycles!E160="Closed","Closed",IF(_EngineCycles!P160&gt;0,IF(IFERROR(LOOKUP(2,1/((_EngineTrades!$AU$9:$AU$508=_EngineCycles!A160)),_EngineTrades!$AQ$9:$AQ$508),0)&gt;0,"Covered Call","Shares Held"),"Cash-Secured Put"))))</f>
        <v/>
      </c>
      <c r="E160" s="31" t="str">
        <f>IF(NOT(_EngineCycles!A160&lt;&gt;""),"",IF(NOT($R160="OK"),"",_EngineCycles!P160))</f>
        <v/>
      </c>
      <c r="F160" s="23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AH$9:$AH$508),0),"")))</f>
        <v/>
      </c>
      <c r="G160" s="23" t="str">
        <f>IF(NOT(_EngineCycles!A160&lt;&gt;""),"",IF(NOT($R160="OK"),"",_EngineCycles!Q160))</f>
        <v/>
      </c>
      <c r="H160" s="32" t="str">
        <f>IF(NOT(_EngineCycles!A160&lt;&gt;""),"",IF(NOT($R160="OK"),"",_EngineCycles!J160))</f>
        <v/>
      </c>
      <c r="I160" s="23" t="str">
        <f>IF(NOT(_EngineCycles!A160&lt;&gt;""),"",IF(NOT($R160="OK"),"",_EngineCycles!I160))</f>
        <v/>
      </c>
      <c r="J160" s="23" t="str">
        <f>IF(NOT(_EngineCycles!A160&lt;&gt;""),"",IF(NOT($R160="OK"),"",_EngineCycles!L160))</f>
        <v/>
      </c>
      <c r="K160" s="23" t="str">
        <f>IF(NOT(_EngineCycles!A160&lt;&gt;""),"",IF(NOT($R160="OK"),"",_EngineCycles!U160))</f>
        <v/>
      </c>
      <c r="L160" s="32" t="str">
        <f>IF(NOT(_EngineCycles!A160&lt;&gt;""),"",IF(NOT($R160="OK"),"",_EngineCycles!AE160))</f>
        <v/>
      </c>
      <c r="M160" s="23" t="str">
        <f>IF(NOT(_EngineCycles!A160&lt;&gt;""),"",IF(NOT($R160="OK"),"",_EngineCycles!O160))</f>
        <v/>
      </c>
      <c r="N160" s="32" t="str">
        <f>IF(NOT(_EngineCycles!A160&lt;&gt;""),"",IF(NOT($R160="OK"),"",IF(_EngineCycles!E160="Closed",_EngineCycles!O160,"")))</f>
        <v/>
      </c>
      <c r="O160" s="33" t="str">
        <f>IF(NOT(_EngineCycles!A160&lt;&gt;""),"",IF(NOT($R160="OK"),"",_EngineCycles!Y160))</f>
        <v/>
      </c>
      <c r="P160" s="23" t="str">
        <f>IF(NOT(_EngineCycles!A160&lt;&gt;""),"",IF(NOT($R160="OK"),"",_EngineCycles!S160))</f>
        <v/>
      </c>
      <c r="Q160" s="30" t="str">
        <f>IF(_EngineCycles!A160="","",IF($R160&lt;&gt;"OK","Review",IF(_EngineCycles!E160="Closed","Closed","Open")))</f>
        <v/>
      </c>
      <c r="R160" s="24" t="str">
        <f>IF(_EngineCycles!A160="","",IF(COUNTIFS(Trades!$B$9:$B$508,_EngineCycles!B160,Trades!$C$9:$C$508,"&lt;&gt;"&amp;$B160,Trades!$A$9:$A$508,"&lt;&gt;")&gt;0,"Ticker mismatch",IF(COUNTIFS(Trades!$B$9:$B$508,_EngineCycles!B160,Trades!$D$9:$D$508,"&lt;&gt;"&amp;$C160,Trades!$A$9:$A$508,"&lt;&gt;")&gt;0,"Currency mismatch",IF(COUNTIFS(Trades!$B$9:$B$508,_EngineCycles!B160,Trades!$S$9:$S$508,"&lt;&gt;OK",Trades!$A$9:$A$508,"&lt;&gt;")&gt;0,"Check trades","OK"))))</f>
        <v/>
      </c>
      <c r="S160" s="34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P$9:$P$508),0),"")))</f>
        <v/>
      </c>
      <c r="T160" s="31" t="str">
        <f>IF(NOT(_EngineCycles!A160&lt;&gt;""),"",IF(NOT($R160="OK"),"",_EngineCycles!W160))</f>
        <v/>
      </c>
      <c r="U160" s="22"/>
      <c r="V160" s="22"/>
      <c r="W160" s="22"/>
      <c r="X160" s="22"/>
      <c r="Y160" t="str">
        <f>IF(AND($C160=Overview!$P$2,$Q160="Open",$R160="OK"),COUNTIFS($C$9:$C160,Overview!$P$2,$Q$9:$Q160,"Open",$R$9:$R160,"OK"),"")</f>
        <v/>
      </c>
    </row>
    <row r="161" spans="1:25" ht="23.1" customHeight="1" x14ac:dyDescent="0.25">
      <c r="A161" s="18" t="str">
        <f>IF(_EngineCycles!A161="","",_EngineCycles!B161&amp;IF(_EngineCycles!C161&gt;1," / "&amp;_EngineCycles!C161,""))</f>
        <v/>
      </c>
      <c r="B161" s="18" t="str">
        <f>IF(_EngineCycles!A161="","",_EngineCycles!D161)</f>
        <v/>
      </c>
      <c r="C161" s="18" t="str">
        <f>IF(_EngineCycles!A161="","",IFERROR(INDEX(Trades!$D$9:$D$508,_EngineCycles!AG161-8),""))</f>
        <v/>
      </c>
      <c r="D161" s="25" t="str">
        <f>IF(_EngineCycles!A161="","",IF($R161&lt;&gt;"OK","Review",IF(_EngineCycles!E161="Closed","Closed",IF(_EngineCycles!P161&gt;0,IF(IFERROR(LOOKUP(2,1/((_EngineTrades!$AU$9:$AU$508=_EngineCycles!A161)),_EngineTrades!$AQ$9:$AQ$508),0)&gt;0,"Covered Call","Shares Held"),"Cash-Secured Put"))))</f>
        <v/>
      </c>
      <c r="E161" s="26" t="str">
        <f>IF(NOT(_EngineCycles!A161&lt;&gt;""),"",IF(NOT($R161="OK"),"",_EngineCycles!P161))</f>
        <v/>
      </c>
      <c r="F161" s="17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AH$9:$AH$508),0),"")))</f>
        <v/>
      </c>
      <c r="G161" s="17" t="str">
        <f>IF(NOT(_EngineCycles!A161&lt;&gt;""),"",IF(NOT($R161="OK"),"",_EngineCycles!Q161))</f>
        <v/>
      </c>
      <c r="H161" s="27" t="str">
        <f>IF(NOT(_EngineCycles!A161&lt;&gt;""),"",IF(NOT($R161="OK"),"",_EngineCycles!J161))</f>
        <v/>
      </c>
      <c r="I161" s="17" t="str">
        <f>IF(NOT(_EngineCycles!A161&lt;&gt;""),"",IF(NOT($R161="OK"),"",_EngineCycles!I161))</f>
        <v/>
      </c>
      <c r="J161" s="17" t="str">
        <f>IF(NOT(_EngineCycles!A161&lt;&gt;""),"",IF(NOT($R161="OK"),"",_EngineCycles!L161))</f>
        <v/>
      </c>
      <c r="K161" s="17" t="str">
        <f>IF(NOT(_EngineCycles!A161&lt;&gt;""),"",IF(NOT($R161="OK"),"",_EngineCycles!U161))</f>
        <v/>
      </c>
      <c r="L161" s="27" t="str">
        <f>IF(NOT(_EngineCycles!A161&lt;&gt;""),"",IF(NOT($R161="OK"),"",_EngineCycles!AE161))</f>
        <v/>
      </c>
      <c r="M161" s="17" t="str">
        <f>IF(NOT(_EngineCycles!A161&lt;&gt;""),"",IF(NOT($R161="OK"),"",_EngineCycles!O161))</f>
        <v/>
      </c>
      <c r="N161" s="27" t="str">
        <f>IF(NOT(_EngineCycles!A161&lt;&gt;""),"",IF(NOT($R161="OK"),"",IF(_EngineCycles!E161="Closed",_EngineCycles!O161,"")))</f>
        <v/>
      </c>
      <c r="O161" s="28" t="str">
        <f>IF(NOT(_EngineCycles!A161&lt;&gt;""),"",IF(NOT($R161="OK"),"",_EngineCycles!Y161))</f>
        <v/>
      </c>
      <c r="P161" s="17" t="str">
        <f>IF(NOT(_EngineCycles!A161&lt;&gt;""),"",IF(NOT($R161="OK"),"",_EngineCycles!S161))</f>
        <v/>
      </c>
      <c r="Q161" s="25" t="str">
        <f>IF(_EngineCycles!A161="","",IF($R161&lt;&gt;"OK","Review",IF(_EngineCycles!E161="Closed","Closed","Open")))</f>
        <v/>
      </c>
      <c r="R161" s="18" t="str">
        <f>IF(_EngineCycles!A161="","",IF(COUNTIFS(Trades!$B$9:$B$508,_EngineCycles!B161,Trades!$C$9:$C$508,"&lt;&gt;"&amp;$B161,Trades!$A$9:$A$508,"&lt;&gt;")&gt;0,"Ticker mismatch",IF(COUNTIFS(Trades!$B$9:$B$508,_EngineCycles!B161,Trades!$D$9:$D$508,"&lt;&gt;"&amp;$C161,Trades!$A$9:$A$508,"&lt;&gt;")&gt;0,"Currency mismatch",IF(COUNTIFS(Trades!$B$9:$B$508,_EngineCycles!B161,Trades!$S$9:$S$508,"&lt;&gt;OK",Trades!$A$9:$A$508,"&lt;&gt;")&gt;0,"Check trades","OK"))))</f>
        <v/>
      </c>
      <c r="S161" s="29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P$9:$P$508),0),"")))</f>
        <v/>
      </c>
      <c r="T161" s="26" t="str">
        <f>IF(NOT(_EngineCycles!A161&lt;&gt;""),"",IF(NOT($R161="OK"),"",_EngineCycles!W161))</f>
        <v/>
      </c>
      <c r="U161" s="16"/>
      <c r="V161" s="16"/>
      <c r="W161" s="16"/>
      <c r="X161" s="16"/>
      <c r="Y161" t="str">
        <f>IF(AND($C161=Overview!$P$2,$Q161="Open",$R161="OK"),COUNTIFS($C$9:$C161,Overview!$P$2,$Q$9:$Q161,"Open",$R$9:$R161,"OK"),"")</f>
        <v/>
      </c>
    </row>
    <row r="162" spans="1:25" ht="23.1" customHeight="1" x14ac:dyDescent="0.25">
      <c r="A162" s="24" t="str">
        <f>IF(_EngineCycles!A162="","",_EngineCycles!B162&amp;IF(_EngineCycles!C162&gt;1," / "&amp;_EngineCycles!C162,""))</f>
        <v/>
      </c>
      <c r="B162" s="24" t="str">
        <f>IF(_EngineCycles!A162="","",_EngineCycles!D162)</f>
        <v/>
      </c>
      <c r="C162" s="24" t="str">
        <f>IF(_EngineCycles!A162="","",IFERROR(INDEX(Trades!$D$9:$D$508,_EngineCycles!AG162-8),""))</f>
        <v/>
      </c>
      <c r="D162" s="30" t="str">
        <f>IF(_EngineCycles!A162="","",IF($R162&lt;&gt;"OK","Review",IF(_EngineCycles!E162="Closed","Closed",IF(_EngineCycles!P162&gt;0,IF(IFERROR(LOOKUP(2,1/((_EngineTrades!$AU$9:$AU$508=_EngineCycles!A162)),_EngineTrades!$AQ$9:$AQ$508),0)&gt;0,"Covered Call","Shares Held"),"Cash-Secured Put"))))</f>
        <v/>
      </c>
      <c r="E162" s="31" t="str">
        <f>IF(NOT(_EngineCycles!A162&lt;&gt;""),"",IF(NOT($R162="OK"),"",_EngineCycles!P162))</f>
        <v/>
      </c>
      <c r="F162" s="23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AH$9:$AH$508),0),"")))</f>
        <v/>
      </c>
      <c r="G162" s="23" t="str">
        <f>IF(NOT(_EngineCycles!A162&lt;&gt;""),"",IF(NOT($R162="OK"),"",_EngineCycles!Q162))</f>
        <v/>
      </c>
      <c r="H162" s="32" t="str">
        <f>IF(NOT(_EngineCycles!A162&lt;&gt;""),"",IF(NOT($R162="OK"),"",_EngineCycles!J162))</f>
        <v/>
      </c>
      <c r="I162" s="23" t="str">
        <f>IF(NOT(_EngineCycles!A162&lt;&gt;""),"",IF(NOT($R162="OK"),"",_EngineCycles!I162))</f>
        <v/>
      </c>
      <c r="J162" s="23" t="str">
        <f>IF(NOT(_EngineCycles!A162&lt;&gt;""),"",IF(NOT($R162="OK"),"",_EngineCycles!L162))</f>
        <v/>
      </c>
      <c r="K162" s="23" t="str">
        <f>IF(NOT(_EngineCycles!A162&lt;&gt;""),"",IF(NOT($R162="OK"),"",_EngineCycles!U162))</f>
        <v/>
      </c>
      <c r="L162" s="32" t="str">
        <f>IF(NOT(_EngineCycles!A162&lt;&gt;""),"",IF(NOT($R162="OK"),"",_EngineCycles!AE162))</f>
        <v/>
      </c>
      <c r="M162" s="23" t="str">
        <f>IF(NOT(_EngineCycles!A162&lt;&gt;""),"",IF(NOT($R162="OK"),"",_EngineCycles!O162))</f>
        <v/>
      </c>
      <c r="N162" s="32" t="str">
        <f>IF(NOT(_EngineCycles!A162&lt;&gt;""),"",IF(NOT($R162="OK"),"",IF(_EngineCycles!E162="Closed",_EngineCycles!O162,"")))</f>
        <v/>
      </c>
      <c r="O162" s="33" t="str">
        <f>IF(NOT(_EngineCycles!A162&lt;&gt;""),"",IF(NOT($R162="OK"),"",_EngineCycles!Y162))</f>
        <v/>
      </c>
      <c r="P162" s="23" t="str">
        <f>IF(NOT(_EngineCycles!A162&lt;&gt;""),"",IF(NOT($R162="OK"),"",_EngineCycles!S162))</f>
        <v/>
      </c>
      <c r="Q162" s="30" t="str">
        <f>IF(_EngineCycles!A162="","",IF($R162&lt;&gt;"OK","Review",IF(_EngineCycles!E162="Closed","Closed","Open")))</f>
        <v/>
      </c>
      <c r="R162" s="24" t="str">
        <f>IF(_EngineCycles!A162="","",IF(COUNTIFS(Trades!$B$9:$B$508,_EngineCycles!B162,Trades!$C$9:$C$508,"&lt;&gt;"&amp;$B162,Trades!$A$9:$A$508,"&lt;&gt;")&gt;0,"Ticker mismatch",IF(COUNTIFS(Trades!$B$9:$B$508,_EngineCycles!B162,Trades!$D$9:$D$508,"&lt;&gt;"&amp;$C162,Trades!$A$9:$A$508,"&lt;&gt;")&gt;0,"Currency mismatch",IF(COUNTIFS(Trades!$B$9:$B$508,_EngineCycles!B162,Trades!$S$9:$S$508,"&lt;&gt;OK",Trades!$A$9:$A$508,"&lt;&gt;")&gt;0,"Check trades","OK"))))</f>
        <v/>
      </c>
      <c r="S162" s="34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P$9:$P$508),0),"")))</f>
        <v/>
      </c>
      <c r="T162" s="31" t="str">
        <f>IF(NOT(_EngineCycles!A162&lt;&gt;""),"",IF(NOT($R162="OK"),"",_EngineCycles!W162))</f>
        <v/>
      </c>
      <c r="U162" s="22"/>
      <c r="V162" s="22"/>
      <c r="W162" s="22"/>
      <c r="X162" s="22"/>
      <c r="Y162" t="str">
        <f>IF(AND($C162=Overview!$P$2,$Q162="Open",$R162="OK"),COUNTIFS($C$9:$C162,Overview!$P$2,$Q$9:$Q162,"Open",$R$9:$R162,"OK"),"")</f>
        <v/>
      </c>
    </row>
    <row r="163" spans="1:25" ht="23.1" customHeight="1" x14ac:dyDescent="0.25">
      <c r="A163" s="18" t="str">
        <f>IF(_EngineCycles!A163="","",_EngineCycles!B163&amp;IF(_EngineCycles!C163&gt;1," / "&amp;_EngineCycles!C163,""))</f>
        <v/>
      </c>
      <c r="B163" s="18" t="str">
        <f>IF(_EngineCycles!A163="","",_EngineCycles!D163)</f>
        <v/>
      </c>
      <c r="C163" s="18" t="str">
        <f>IF(_EngineCycles!A163="","",IFERROR(INDEX(Trades!$D$9:$D$508,_EngineCycles!AG163-8),""))</f>
        <v/>
      </c>
      <c r="D163" s="25" t="str">
        <f>IF(_EngineCycles!A163="","",IF($R163&lt;&gt;"OK","Review",IF(_EngineCycles!E163="Closed","Closed",IF(_EngineCycles!P163&gt;0,IF(IFERROR(LOOKUP(2,1/((_EngineTrades!$AU$9:$AU$508=_EngineCycles!A163)),_EngineTrades!$AQ$9:$AQ$508),0)&gt;0,"Covered Call","Shares Held"),"Cash-Secured Put"))))</f>
        <v/>
      </c>
      <c r="E163" s="26" t="str">
        <f>IF(NOT(_EngineCycles!A163&lt;&gt;""),"",IF(NOT($R163="OK"),"",_EngineCycles!P163))</f>
        <v/>
      </c>
      <c r="F163" s="17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AH$9:$AH$508),0),"")))</f>
        <v/>
      </c>
      <c r="G163" s="17" t="str">
        <f>IF(NOT(_EngineCycles!A163&lt;&gt;""),"",IF(NOT($R163="OK"),"",_EngineCycles!Q163))</f>
        <v/>
      </c>
      <c r="H163" s="27" t="str">
        <f>IF(NOT(_EngineCycles!A163&lt;&gt;""),"",IF(NOT($R163="OK"),"",_EngineCycles!J163))</f>
        <v/>
      </c>
      <c r="I163" s="17" t="str">
        <f>IF(NOT(_EngineCycles!A163&lt;&gt;""),"",IF(NOT($R163="OK"),"",_EngineCycles!I163))</f>
        <v/>
      </c>
      <c r="J163" s="17" t="str">
        <f>IF(NOT(_EngineCycles!A163&lt;&gt;""),"",IF(NOT($R163="OK"),"",_EngineCycles!L163))</f>
        <v/>
      </c>
      <c r="K163" s="17" t="str">
        <f>IF(NOT(_EngineCycles!A163&lt;&gt;""),"",IF(NOT($R163="OK"),"",_EngineCycles!U163))</f>
        <v/>
      </c>
      <c r="L163" s="27" t="str">
        <f>IF(NOT(_EngineCycles!A163&lt;&gt;""),"",IF(NOT($R163="OK"),"",_EngineCycles!AE163))</f>
        <v/>
      </c>
      <c r="M163" s="17" t="str">
        <f>IF(NOT(_EngineCycles!A163&lt;&gt;""),"",IF(NOT($R163="OK"),"",_EngineCycles!O163))</f>
        <v/>
      </c>
      <c r="N163" s="27" t="str">
        <f>IF(NOT(_EngineCycles!A163&lt;&gt;""),"",IF(NOT($R163="OK"),"",IF(_EngineCycles!E163="Closed",_EngineCycles!O163,"")))</f>
        <v/>
      </c>
      <c r="O163" s="28" t="str">
        <f>IF(NOT(_EngineCycles!A163&lt;&gt;""),"",IF(NOT($R163="OK"),"",_EngineCycles!Y163))</f>
        <v/>
      </c>
      <c r="P163" s="17" t="str">
        <f>IF(NOT(_EngineCycles!A163&lt;&gt;""),"",IF(NOT($R163="OK"),"",_EngineCycles!S163))</f>
        <v/>
      </c>
      <c r="Q163" s="25" t="str">
        <f>IF(_EngineCycles!A163="","",IF($R163&lt;&gt;"OK","Review",IF(_EngineCycles!E163="Closed","Closed","Open")))</f>
        <v/>
      </c>
      <c r="R163" s="18" t="str">
        <f>IF(_EngineCycles!A163="","",IF(COUNTIFS(Trades!$B$9:$B$508,_EngineCycles!B163,Trades!$C$9:$C$508,"&lt;&gt;"&amp;$B163,Trades!$A$9:$A$508,"&lt;&gt;")&gt;0,"Ticker mismatch",IF(COUNTIFS(Trades!$B$9:$B$508,_EngineCycles!B163,Trades!$D$9:$D$508,"&lt;&gt;"&amp;$C163,Trades!$A$9:$A$508,"&lt;&gt;")&gt;0,"Currency mismatch",IF(COUNTIFS(Trades!$B$9:$B$508,_EngineCycles!B163,Trades!$S$9:$S$508,"&lt;&gt;OK",Trades!$A$9:$A$508,"&lt;&gt;")&gt;0,"Check trades","OK"))))</f>
        <v/>
      </c>
      <c r="S163" s="29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P$9:$P$508),0),"")))</f>
        <v/>
      </c>
      <c r="T163" s="26" t="str">
        <f>IF(NOT(_EngineCycles!A163&lt;&gt;""),"",IF(NOT($R163="OK"),"",_EngineCycles!W163))</f>
        <v/>
      </c>
      <c r="U163" s="16"/>
      <c r="V163" s="16"/>
      <c r="W163" s="16"/>
      <c r="X163" s="16"/>
      <c r="Y163" t="str">
        <f>IF(AND($C163=Overview!$P$2,$Q163="Open",$R163="OK"),COUNTIFS($C$9:$C163,Overview!$P$2,$Q$9:$Q163,"Open",$R$9:$R163,"OK"),"")</f>
        <v/>
      </c>
    </row>
    <row r="164" spans="1:25" ht="23.1" customHeight="1" x14ac:dyDescent="0.25">
      <c r="A164" s="24" t="str">
        <f>IF(_EngineCycles!A164="","",_EngineCycles!B164&amp;IF(_EngineCycles!C164&gt;1," / "&amp;_EngineCycles!C164,""))</f>
        <v/>
      </c>
      <c r="B164" s="24" t="str">
        <f>IF(_EngineCycles!A164="","",_EngineCycles!D164)</f>
        <v/>
      </c>
      <c r="C164" s="24" t="str">
        <f>IF(_EngineCycles!A164="","",IFERROR(INDEX(Trades!$D$9:$D$508,_EngineCycles!AG164-8),""))</f>
        <v/>
      </c>
      <c r="D164" s="30" t="str">
        <f>IF(_EngineCycles!A164="","",IF($R164&lt;&gt;"OK","Review",IF(_EngineCycles!E164="Closed","Closed",IF(_EngineCycles!P164&gt;0,IF(IFERROR(LOOKUP(2,1/((_EngineTrades!$AU$9:$AU$508=_EngineCycles!A164)),_EngineTrades!$AQ$9:$AQ$508),0)&gt;0,"Covered Call","Shares Held"),"Cash-Secured Put"))))</f>
        <v/>
      </c>
      <c r="E164" s="31" t="str">
        <f>IF(NOT(_EngineCycles!A164&lt;&gt;""),"",IF(NOT($R164="OK"),"",_EngineCycles!P164))</f>
        <v/>
      </c>
      <c r="F164" s="23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AH$9:$AH$508),0),"")))</f>
        <v/>
      </c>
      <c r="G164" s="23" t="str">
        <f>IF(NOT(_EngineCycles!A164&lt;&gt;""),"",IF(NOT($R164="OK"),"",_EngineCycles!Q164))</f>
        <v/>
      </c>
      <c r="H164" s="32" t="str">
        <f>IF(NOT(_EngineCycles!A164&lt;&gt;""),"",IF(NOT($R164="OK"),"",_EngineCycles!J164))</f>
        <v/>
      </c>
      <c r="I164" s="23" t="str">
        <f>IF(NOT(_EngineCycles!A164&lt;&gt;""),"",IF(NOT($R164="OK"),"",_EngineCycles!I164))</f>
        <v/>
      </c>
      <c r="J164" s="23" t="str">
        <f>IF(NOT(_EngineCycles!A164&lt;&gt;""),"",IF(NOT($R164="OK"),"",_EngineCycles!L164))</f>
        <v/>
      </c>
      <c r="K164" s="23" t="str">
        <f>IF(NOT(_EngineCycles!A164&lt;&gt;""),"",IF(NOT($R164="OK"),"",_EngineCycles!U164))</f>
        <v/>
      </c>
      <c r="L164" s="32" t="str">
        <f>IF(NOT(_EngineCycles!A164&lt;&gt;""),"",IF(NOT($R164="OK"),"",_EngineCycles!AE164))</f>
        <v/>
      </c>
      <c r="M164" s="23" t="str">
        <f>IF(NOT(_EngineCycles!A164&lt;&gt;""),"",IF(NOT($R164="OK"),"",_EngineCycles!O164))</f>
        <v/>
      </c>
      <c r="N164" s="32" t="str">
        <f>IF(NOT(_EngineCycles!A164&lt;&gt;""),"",IF(NOT($R164="OK"),"",IF(_EngineCycles!E164="Closed",_EngineCycles!O164,"")))</f>
        <v/>
      </c>
      <c r="O164" s="33" t="str">
        <f>IF(NOT(_EngineCycles!A164&lt;&gt;""),"",IF(NOT($R164="OK"),"",_EngineCycles!Y164))</f>
        <v/>
      </c>
      <c r="P164" s="23" t="str">
        <f>IF(NOT(_EngineCycles!A164&lt;&gt;""),"",IF(NOT($R164="OK"),"",_EngineCycles!S164))</f>
        <v/>
      </c>
      <c r="Q164" s="30" t="str">
        <f>IF(_EngineCycles!A164="","",IF($R164&lt;&gt;"OK","Review",IF(_EngineCycles!E164="Closed","Closed","Open")))</f>
        <v/>
      </c>
      <c r="R164" s="24" t="str">
        <f>IF(_EngineCycles!A164="","",IF(COUNTIFS(Trades!$B$9:$B$508,_EngineCycles!B164,Trades!$C$9:$C$508,"&lt;&gt;"&amp;$B164,Trades!$A$9:$A$508,"&lt;&gt;")&gt;0,"Ticker mismatch",IF(COUNTIFS(Trades!$B$9:$B$508,_EngineCycles!B164,Trades!$D$9:$D$508,"&lt;&gt;"&amp;$C164,Trades!$A$9:$A$508,"&lt;&gt;")&gt;0,"Currency mismatch",IF(COUNTIFS(Trades!$B$9:$B$508,_EngineCycles!B164,Trades!$S$9:$S$508,"&lt;&gt;OK",Trades!$A$9:$A$508,"&lt;&gt;")&gt;0,"Check trades","OK"))))</f>
        <v/>
      </c>
      <c r="S164" s="34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P$9:$P$508),0),"")))</f>
        <v/>
      </c>
      <c r="T164" s="31" t="str">
        <f>IF(NOT(_EngineCycles!A164&lt;&gt;""),"",IF(NOT($R164="OK"),"",_EngineCycles!W164))</f>
        <v/>
      </c>
      <c r="U164" s="22"/>
      <c r="V164" s="22"/>
      <c r="W164" s="22"/>
      <c r="X164" s="22"/>
      <c r="Y164" t="str">
        <f>IF(AND($C164=Overview!$P$2,$Q164="Open",$R164="OK"),COUNTIFS($C$9:$C164,Overview!$P$2,$Q$9:$Q164,"Open",$R$9:$R164,"OK"),"")</f>
        <v/>
      </c>
    </row>
    <row r="165" spans="1:25" ht="23.1" customHeight="1" x14ac:dyDescent="0.25">
      <c r="A165" s="18" t="str">
        <f>IF(_EngineCycles!A165="","",_EngineCycles!B165&amp;IF(_EngineCycles!C165&gt;1," / "&amp;_EngineCycles!C165,""))</f>
        <v/>
      </c>
      <c r="B165" s="18" t="str">
        <f>IF(_EngineCycles!A165="","",_EngineCycles!D165)</f>
        <v/>
      </c>
      <c r="C165" s="18" t="str">
        <f>IF(_EngineCycles!A165="","",IFERROR(INDEX(Trades!$D$9:$D$508,_EngineCycles!AG165-8),""))</f>
        <v/>
      </c>
      <c r="D165" s="25" t="str">
        <f>IF(_EngineCycles!A165="","",IF($R165&lt;&gt;"OK","Review",IF(_EngineCycles!E165="Closed","Closed",IF(_EngineCycles!P165&gt;0,IF(IFERROR(LOOKUP(2,1/((_EngineTrades!$AU$9:$AU$508=_EngineCycles!A165)),_EngineTrades!$AQ$9:$AQ$508),0)&gt;0,"Covered Call","Shares Held"),"Cash-Secured Put"))))</f>
        <v/>
      </c>
      <c r="E165" s="26" t="str">
        <f>IF(NOT(_EngineCycles!A165&lt;&gt;""),"",IF(NOT($R165="OK"),"",_EngineCycles!P165))</f>
        <v/>
      </c>
      <c r="F165" s="17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AH$9:$AH$508),0),"")))</f>
        <v/>
      </c>
      <c r="G165" s="17" t="str">
        <f>IF(NOT(_EngineCycles!A165&lt;&gt;""),"",IF(NOT($R165="OK"),"",_EngineCycles!Q165))</f>
        <v/>
      </c>
      <c r="H165" s="27" t="str">
        <f>IF(NOT(_EngineCycles!A165&lt;&gt;""),"",IF(NOT($R165="OK"),"",_EngineCycles!J165))</f>
        <v/>
      </c>
      <c r="I165" s="17" t="str">
        <f>IF(NOT(_EngineCycles!A165&lt;&gt;""),"",IF(NOT($R165="OK"),"",_EngineCycles!I165))</f>
        <v/>
      </c>
      <c r="J165" s="17" t="str">
        <f>IF(NOT(_EngineCycles!A165&lt;&gt;""),"",IF(NOT($R165="OK"),"",_EngineCycles!L165))</f>
        <v/>
      </c>
      <c r="K165" s="17" t="str">
        <f>IF(NOT(_EngineCycles!A165&lt;&gt;""),"",IF(NOT($R165="OK"),"",_EngineCycles!U165))</f>
        <v/>
      </c>
      <c r="L165" s="27" t="str">
        <f>IF(NOT(_EngineCycles!A165&lt;&gt;""),"",IF(NOT($R165="OK"),"",_EngineCycles!AE165))</f>
        <v/>
      </c>
      <c r="M165" s="17" t="str">
        <f>IF(NOT(_EngineCycles!A165&lt;&gt;""),"",IF(NOT($R165="OK"),"",_EngineCycles!O165))</f>
        <v/>
      </c>
      <c r="N165" s="27" t="str">
        <f>IF(NOT(_EngineCycles!A165&lt;&gt;""),"",IF(NOT($R165="OK"),"",IF(_EngineCycles!E165="Closed",_EngineCycles!O165,"")))</f>
        <v/>
      </c>
      <c r="O165" s="28" t="str">
        <f>IF(NOT(_EngineCycles!A165&lt;&gt;""),"",IF(NOT($R165="OK"),"",_EngineCycles!Y165))</f>
        <v/>
      </c>
      <c r="P165" s="17" t="str">
        <f>IF(NOT(_EngineCycles!A165&lt;&gt;""),"",IF(NOT($R165="OK"),"",_EngineCycles!S165))</f>
        <v/>
      </c>
      <c r="Q165" s="25" t="str">
        <f>IF(_EngineCycles!A165="","",IF($R165&lt;&gt;"OK","Review",IF(_EngineCycles!E165="Closed","Closed","Open")))</f>
        <v/>
      </c>
      <c r="R165" s="18" t="str">
        <f>IF(_EngineCycles!A165="","",IF(COUNTIFS(Trades!$B$9:$B$508,_EngineCycles!B165,Trades!$C$9:$C$508,"&lt;&gt;"&amp;$B165,Trades!$A$9:$A$508,"&lt;&gt;")&gt;0,"Ticker mismatch",IF(COUNTIFS(Trades!$B$9:$B$508,_EngineCycles!B165,Trades!$D$9:$D$508,"&lt;&gt;"&amp;$C165,Trades!$A$9:$A$508,"&lt;&gt;")&gt;0,"Currency mismatch",IF(COUNTIFS(Trades!$B$9:$B$508,_EngineCycles!B165,Trades!$S$9:$S$508,"&lt;&gt;OK",Trades!$A$9:$A$508,"&lt;&gt;")&gt;0,"Check trades","OK"))))</f>
        <v/>
      </c>
      <c r="S165" s="29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P$9:$P$508),0),"")))</f>
        <v/>
      </c>
      <c r="T165" s="26" t="str">
        <f>IF(NOT(_EngineCycles!A165&lt;&gt;""),"",IF(NOT($R165="OK"),"",_EngineCycles!W165))</f>
        <v/>
      </c>
      <c r="U165" s="16"/>
      <c r="V165" s="16"/>
      <c r="W165" s="16"/>
      <c r="X165" s="16"/>
      <c r="Y165" t="str">
        <f>IF(AND($C165=Overview!$P$2,$Q165="Open",$R165="OK"),COUNTIFS($C$9:$C165,Overview!$P$2,$Q$9:$Q165,"Open",$R$9:$R165,"OK"),"")</f>
        <v/>
      </c>
    </row>
    <row r="166" spans="1:25" ht="23.1" customHeight="1" x14ac:dyDescent="0.25">
      <c r="A166" s="24" t="str">
        <f>IF(_EngineCycles!A166="","",_EngineCycles!B166&amp;IF(_EngineCycles!C166&gt;1," / "&amp;_EngineCycles!C166,""))</f>
        <v/>
      </c>
      <c r="B166" s="24" t="str">
        <f>IF(_EngineCycles!A166="","",_EngineCycles!D166)</f>
        <v/>
      </c>
      <c r="C166" s="24" t="str">
        <f>IF(_EngineCycles!A166="","",IFERROR(INDEX(Trades!$D$9:$D$508,_EngineCycles!AG166-8),""))</f>
        <v/>
      </c>
      <c r="D166" s="30" t="str">
        <f>IF(_EngineCycles!A166="","",IF($R166&lt;&gt;"OK","Review",IF(_EngineCycles!E166="Closed","Closed",IF(_EngineCycles!P166&gt;0,IF(IFERROR(LOOKUP(2,1/((_EngineTrades!$AU$9:$AU$508=_EngineCycles!A166)),_EngineTrades!$AQ$9:$AQ$508),0)&gt;0,"Covered Call","Shares Held"),"Cash-Secured Put"))))</f>
        <v/>
      </c>
      <c r="E166" s="31" t="str">
        <f>IF(NOT(_EngineCycles!A166&lt;&gt;""),"",IF(NOT($R166="OK"),"",_EngineCycles!P166))</f>
        <v/>
      </c>
      <c r="F166" s="23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AH$9:$AH$508),0),"")))</f>
        <v/>
      </c>
      <c r="G166" s="23" t="str">
        <f>IF(NOT(_EngineCycles!A166&lt;&gt;""),"",IF(NOT($R166="OK"),"",_EngineCycles!Q166))</f>
        <v/>
      </c>
      <c r="H166" s="32" t="str">
        <f>IF(NOT(_EngineCycles!A166&lt;&gt;""),"",IF(NOT($R166="OK"),"",_EngineCycles!J166))</f>
        <v/>
      </c>
      <c r="I166" s="23" t="str">
        <f>IF(NOT(_EngineCycles!A166&lt;&gt;""),"",IF(NOT($R166="OK"),"",_EngineCycles!I166))</f>
        <v/>
      </c>
      <c r="J166" s="23" t="str">
        <f>IF(NOT(_EngineCycles!A166&lt;&gt;""),"",IF(NOT($R166="OK"),"",_EngineCycles!L166))</f>
        <v/>
      </c>
      <c r="K166" s="23" t="str">
        <f>IF(NOT(_EngineCycles!A166&lt;&gt;""),"",IF(NOT($R166="OK"),"",_EngineCycles!U166))</f>
        <v/>
      </c>
      <c r="L166" s="32" t="str">
        <f>IF(NOT(_EngineCycles!A166&lt;&gt;""),"",IF(NOT($R166="OK"),"",_EngineCycles!AE166))</f>
        <v/>
      </c>
      <c r="M166" s="23" t="str">
        <f>IF(NOT(_EngineCycles!A166&lt;&gt;""),"",IF(NOT($R166="OK"),"",_EngineCycles!O166))</f>
        <v/>
      </c>
      <c r="N166" s="32" t="str">
        <f>IF(NOT(_EngineCycles!A166&lt;&gt;""),"",IF(NOT($R166="OK"),"",IF(_EngineCycles!E166="Closed",_EngineCycles!O166,"")))</f>
        <v/>
      </c>
      <c r="O166" s="33" t="str">
        <f>IF(NOT(_EngineCycles!A166&lt;&gt;""),"",IF(NOT($R166="OK"),"",_EngineCycles!Y166))</f>
        <v/>
      </c>
      <c r="P166" s="23" t="str">
        <f>IF(NOT(_EngineCycles!A166&lt;&gt;""),"",IF(NOT($R166="OK"),"",_EngineCycles!S166))</f>
        <v/>
      </c>
      <c r="Q166" s="30" t="str">
        <f>IF(_EngineCycles!A166="","",IF($R166&lt;&gt;"OK","Review",IF(_EngineCycles!E166="Closed","Closed","Open")))</f>
        <v/>
      </c>
      <c r="R166" s="24" t="str">
        <f>IF(_EngineCycles!A166="","",IF(COUNTIFS(Trades!$B$9:$B$508,_EngineCycles!B166,Trades!$C$9:$C$508,"&lt;&gt;"&amp;$B166,Trades!$A$9:$A$508,"&lt;&gt;")&gt;0,"Ticker mismatch",IF(COUNTIFS(Trades!$B$9:$B$508,_EngineCycles!B166,Trades!$D$9:$D$508,"&lt;&gt;"&amp;$C166,Trades!$A$9:$A$508,"&lt;&gt;")&gt;0,"Currency mismatch",IF(COUNTIFS(Trades!$B$9:$B$508,_EngineCycles!B166,Trades!$S$9:$S$508,"&lt;&gt;OK",Trades!$A$9:$A$508,"&lt;&gt;")&gt;0,"Check trades","OK"))))</f>
        <v/>
      </c>
      <c r="S166" s="34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P$9:$P$508),0),"")))</f>
        <v/>
      </c>
      <c r="T166" s="31" t="str">
        <f>IF(NOT(_EngineCycles!A166&lt;&gt;""),"",IF(NOT($R166="OK"),"",_EngineCycles!W166))</f>
        <v/>
      </c>
      <c r="U166" s="22"/>
      <c r="V166" s="22"/>
      <c r="W166" s="22"/>
      <c r="X166" s="22"/>
      <c r="Y166" t="str">
        <f>IF(AND($C166=Overview!$P$2,$Q166="Open",$R166="OK"),COUNTIFS($C$9:$C166,Overview!$P$2,$Q$9:$Q166,"Open",$R$9:$R166,"OK"),"")</f>
        <v/>
      </c>
    </row>
    <row r="167" spans="1:25" ht="23.1" customHeight="1" x14ac:dyDescent="0.25">
      <c r="A167" s="18" t="str">
        <f>IF(_EngineCycles!A167="","",_EngineCycles!B167&amp;IF(_EngineCycles!C167&gt;1," / "&amp;_EngineCycles!C167,""))</f>
        <v/>
      </c>
      <c r="B167" s="18" t="str">
        <f>IF(_EngineCycles!A167="","",_EngineCycles!D167)</f>
        <v/>
      </c>
      <c r="C167" s="18" t="str">
        <f>IF(_EngineCycles!A167="","",IFERROR(INDEX(Trades!$D$9:$D$508,_EngineCycles!AG167-8),""))</f>
        <v/>
      </c>
      <c r="D167" s="25" t="str">
        <f>IF(_EngineCycles!A167="","",IF($R167&lt;&gt;"OK","Review",IF(_EngineCycles!E167="Closed","Closed",IF(_EngineCycles!P167&gt;0,IF(IFERROR(LOOKUP(2,1/((_EngineTrades!$AU$9:$AU$508=_EngineCycles!A167)),_EngineTrades!$AQ$9:$AQ$508),0)&gt;0,"Covered Call","Shares Held"),"Cash-Secured Put"))))</f>
        <v/>
      </c>
      <c r="E167" s="26" t="str">
        <f>IF(NOT(_EngineCycles!A167&lt;&gt;""),"",IF(NOT($R167="OK"),"",_EngineCycles!P167))</f>
        <v/>
      </c>
      <c r="F167" s="17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AH$9:$AH$508),0),"")))</f>
        <v/>
      </c>
      <c r="G167" s="17" t="str">
        <f>IF(NOT(_EngineCycles!A167&lt;&gt;""),"",IF(NOT($R167="OK"),"",_EngineCycles!Q167))</f>
        <v/>
      </c>
      <c r="H167" s="27" t="str">
        <f>IF(NOT(_EngineCycles!A167&lt;&gt;""),"",IF(NOT($R167="OK"),"",_EngineCycles!J167))</f>
        <v/>
      </c>
      <c r="I167" s="17" t="str">
        <f>IF(NOT(_EngineCycles!A167&lt;&gt;""),"",IF(NOT($R167="OK"),"",_EngineCycles!I167))</f>
        <v/>
      </c>
      <c r="J167" s="17" t="str">
        <f>IF(NOT(_EngineCycles!A167&lt;&gt;""),"",IF(NOT($R167="OK"),"",_EngineCycles!L167))</f>
        <v/>
      </c>
      <c r="K167" s="17" t="str">
        <f>IF(NOT(_EngineCycles!A167&lt;&gt;""),"",IF(NOT($R167="OK"),"",_EngineCycles!U167))</f>
        <v/>
      </c>
      <c r="L167" s="27" t="str">
        <f>IF(NOT(_EngineCycles!A167&lt;&gt;""),"",IF(NOT($R167="OK"),"",_EngineCycles!AE167))</f>
        <v/>
      </c>
      <c r="M167" s="17" t="str">
        <f>IF(NOT(_EngineCycles!A167&lt;&gt;""),"",IF(NOT($R167="OK"),"",_EngineCycles!O167))</f>
        <v/>
      </c>
      <c r="N167" s="27" t="str">
        <f>IF(NOT(_EngineCycles!A167&lt;&gt;""),"",IF(NOT($R167="OK"),"",IF(_EngineCycles!E167="Closed",_EngineCycles!O167,"")))</f>
        <v/>
      </c>
      <c r="O167" s="28" t="str">
        <f>IF(NOT(_EngineCycles!A167&lt;&gt;""),"",IF(NOT($R167="OK"),"",_EngineCycles!Y167))</f>
        <v/>
      </c>
      <c r="P167" s="17" t="str">
        <f>IF(NOT(_EngineCycles!A167&lt;&gt;""),"",IF(NOT($R167="OK"),"",_EngineCycles!S167))</f>
        <v/>
      </c>
      <c r="Q167" s="25" t="str">
        <f>IF(_EngineCycles!A167="","",IF($R167&lt;&gt;"OK","Review",IF(_EngineCycles!E167="Closed","Closed","Open")))</f>
        <v/>
      </c>
      <c r="R167" s="18" t="str">
        <f>IF(_EngineCycles!A167="","",IF(COUNTIFS(Trades!$B$9:$B$508,_EngineCycles!B167,Trades!$C$9:$C$508,"&lt;&gt;"&amp;$B167,Trades!$A$9:$A$508,"&lt;&gt;")&gt;0,"Ticker mismatch",IF(COUNTIFS(Trades!$B$9:$B$508,_EngineCycles!B167,Trades!$D$9:$D$508,"&lt;&gt;"&amp;$C167,Trades!$A$9:$A$508,"&lt;&gt;")&gt;0,"Currency mismatch",IF(COUNTIFS(Trades!$B$9:$B$508,_EngineCycles!B167,Trades!$S$9:$S$508,"&lt;&gt;OK",Trades!$A$9:$A$508,"&lt;&gt;")&gt;0,"Check trades","OK"))))</f>
        <v/>
      </c>
      <c r="S167" s="29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P$9:$P$508),0),"")))</f>
        <v/>
      </c>
      <c r="T167" s="26" t="str">
        <f>IF(NOT(_EngineCycles!A167&lt;&gt;""),"",IF(NOT($R167="OK"),"",_EngineCycles!W167))</f>
        <v/>
      </c>
      <c r="U167" s="16"/>
      <c r="V167" s="16"/>
      <c r="W167" s="16"/>
      <c r="X167" s="16"/>
      <c r="Y167" t="str">
        <f>IF(AND($C167=Overview!$P$2,$Q167="Open",$R167="OK"),COUNTIFS($C$9:$C167,Overview!$P$2,$Q$9:$Q167,"Open",$R$9:$R167,"OK"),"")</f>
        <v/>
      </c>
    </row>
    <row r="168" spans="1:25" ht="23.1" customHeight="1" x14ac:dyDescent="0.25">
      <c r="A168" s="24" t="str">
        <f>IF(_EngineCycles!A168="","",_EngineCycles!B168&amp;IF(_EngineCycles!C168&gt;1," / "&amp;_EngineCycles!C168,""))</f>
        <v/>
      </c>
      <c r="B168" s="24" t="str">
        <f>IF(_EngineCycles!A168="","",_EngineCycles!D168)</f>
        <v/>
      </c>
      <c r="C168" s="24" t="str">
        <f>IF(_EngineCycles!A168="","",IFERROR(INDEX(Trades!$D$9:$D$508,_EngineCycles!AG168-8),""))</f>
        <v/>
      </c>
      <c r="D168" s="30" t="str">
        <f>IF(_EngineCycles!A168="","",IF($R168&lt;&gt;"OK","Review",IF(_EngineCycles!E168="Closed","Closed",IF(_EngineCycles!P168&gt;0,IF(IFERROR(LOOKUP(2,1/((_EngineTrades!$AU$9:$AU$508=_EngineCycles!A168)),_EngineTrades!$AQ$9:$AQ$508),0)&gt;0,"Covered Call","Shares Held"),"Cash-Secured Put"))))</f>
        <v/>
      </c>
      <c r="E168" s="31" t="str">
        <f>IF(NOT(_EngineCycles!A168&lt;&gt;""),"",IF(NOT($R168="OK"),"",_EngineCycles!P168))</f>
        <v/>
      </c>
      <c r="F168" s="23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AH$9:$AH$508),0),"")))</f>
        <v/>
      </c>
      <c r="G168" s="23" t="str">
        <f>IF(NOT(_EngineCycles!A168&lt;&gt;""),"",IF(NOT($R168="OK"),"",_EngineCycles!Q168))</f>
        <v/>
      </c>
      <c r="H168" s="32" t="str">
        <f>IF(NOT(_EngineCycles!A168&lt;&gt;""),"",IF(NOT($R168="OK"),"",_EngineCycles!J168))</f>
        <v/>
      </c>
      <c r="I168" s="23" t="str">
        <f>IF(NOT(_EngineCycles!A168&lt;&gt;""),"",IF(NOT($R168="OK"),"",_EngineCycles!I168))</f>
        <v/>
      </c>
      <c r="J168" s="23" t="str">
        <f>IF(NOT(_EngineCycles!A168&lt;&gt;""),"",IF(NOT($R168="OK"),"",_EngineCycles!L168))</f>
        <v/>
      </c>
      <c r="K168" s="23" t="str">
        <f>IF(NOT(_EngineCycles!A168&lt;&gt;""),"",IF(NOT($R168="OK"),"",_EngineCycles!U168))</f>
        <v/>
      </c>
      <c r="L168" s="32" t="str">
        <f>IF(NOT(_EngineCycles!A168&lt;&gt;""),"",IF(NOT($R168="OK"),"",_EngineCycles!AE168))</f>
        <v/>
      </c>
      <c r="M168" s="23" t="str">
        <f>IF(NOT(_EngineCycles!A168&lt;&gt;""),"",IF(NOT($R168="OK"),"",_EngineCycles!O168))</f>
        <v/>
      </c>
      <c r="N168" s="32" t="str">
        <f>IF(NOT(_EngineCycles!A168&lt;&gt;""),"",IF(NOT($R168="OK"),"",IF(_EngineCycles!E168="Closed",_EngineCycles!O168,"")))</f>
        <v/>
      </c>
      <c r="O168" s="33" t="str">
        <f>IF(NOT(_EngineCycles!A168&lt;&gt;""),"",IF(NOT($R168="OK"),"",_EngineCycles!Y168))</f>
        <v/>
      </c>
      <c r="P168" s="23" t="str">
        <f>IF(NOT(_EngineCycles!A168&lt;&gt;""),"",IF(NOT($R168="OK"),"",_EngineCycles!S168))</f>
        <v/>
      </c>
      <c r="Q168" s="30" t="str">
        <f>IF(_EngineCycles!A168="","",IF($R168&lt;&gt;"OK","Review",IF(_EngineCycles!E168="Closed","Closed","Open")))</f>
        <v/>
      </c>
      <c r="R168" s="24" t="str">
        <f>IF(_EngineCycles!A168="","",IF(COUNTIFS(Trades!$B$9:$B$508,_EngineCycles!B168,Trades!$C$9:$C$508,"&lt;&gt;"&amp;$B168,Trades!$A$9:$A$508,"&lt;&gt;")&gt;0,"Ticker mismatch",IF(COUNTIFS(Trades!$B$9:$B$508,_EngineCycles!B168,Trades!$D$9:$D$508,"&lt;&gt;"&amp;$C168,Trades!$A$9:$A$508,"&lt;&gt;")&gt;0,"Currency mismatch",IF(COUNTIFS(Trades!$B$9:$B$508,_EngineCycles!B168,Trades!$S$9:$S$508,"&lt;&gt;OK",Trades!$A$9:$A$508,"&lt;&gt;")&gt;0,"Check trades","OK"))))</f>
        <v/>
      </c>
      <c r="S168" s="34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P$9:$P$508),0),"")))</f>
        <v/>
      </c>
      <c r="T168" s="31" t="str">
        <f>IF(NOT(_EngineCycles!A168&lt;&gt;""),"",IF(NOT($R168="OK"),"",_EngineCycles!W168))</f>
        <v/>
      </c>
      <c r="U168" s="22"/>
      <c r="V168" s="22"/>
      <c r="W168" s="22"/>
      <c r="X168" s="22"/>
      <c r="Y168" t="str">
        <f>IF(AND($C168=Overview!$P$2,$Q168="Open",$R168="OK"),COUNTIFS($C$9:$C168,Overview!$P$2,$Q$9:$Q168,"Open",$R$9:$R168,"OK"),"")</f>
        <v/>
      </c>
    </row>
    <row r="169" spans="1:25" ht="23.1" customHeight="1" x14ac:dyDescent="0.25">
      <c r="A169" s="18" t="str">
        <f>IF(_EngineCycles!A169="","",_EngineCycles!B169&amp;IF(_EngineCycles!C169&gt;1," / "&amp;_EngineCycles!C169,""))</f>
        <v/>
      </c>
      <c r="B169" s="18" t="str">
        <f>IF(_EngineCycles!A169="","",_EngineCycles!D169)</f>
        <v/>
      </c>
      <c r="C169" s="18" t="str">
        <f>IF(_EngineCycles!A169="","",IFERROR(INDEX(Trades!$D$9:$D$508,_EngineCycles!AG169-8),""))</f>
        <v/>
      </c>
      <c r="D169" s="25" t="str">
        <f>IF(_EngineCycles!A169="","",IF($R169&lt;&gt;"OK","Review",IF(_EngineCycles!E169="Closed","Closed",IF(_EngineCycles!P169&gt;0,IF(IFERROR(LOOKUP(2,1/((_EngineTrades!$AU$9:$AU$508=_EngineCycles!A169)),_EngineTrades!$AQ$9:$AQ$508),0)&gt;0,"Covered Call","Shares Held"),"Cash-Secured Put"))))</f>
        <v/>
      </c>
      <c r="E169" s="26" t="str">
        <f>IF(NOT(_EngineCycles!A169&lt;&gt;""),"",IF(NOT($R169="OK"),"",_EngineCycles!P169))</f>
        <v/>
      </c>
      <c r="F169" s="17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AH$9:$AH$508),0),"")))</f>
        <v/>
      </c>
      <c r="G169" s="17" t="str">
        <f>IF(NOT(_EngineCycles!A169&lt;&gt;""),"",IF(NOT($R169="OK"),"",_EngineCycles!Q169))</f>
        <v/>
      </c>
      <c r="H169" s="27" t="str">
        <f>IF(NOT(_EngineCycles!A169&lt;&gt;""),"",IF(NOT($R169="OK"),"",_EngineCycles!J169))</f>
        <v/>
      </c>
      <c r="I169" s="17" t="str">
        <f>IF(NOT(_EngineCycles!A169&lt;&gt;""),"",IF(NOT($R169="OK"),"",_EngineCycles!I169))</f>
        <v/>
      </c>
      <c r="J169" s="17" t="str">
        <f>IF(NOT(_EngineCycles!A169&lt;&gt;""),"",IF(NOT($R169="OK"),"",_EngineCycles!L169))</f>
        <v/>
      </c>
      <c r="K169" s="17" t="str">
        <f>IF(NOT(_EngineCycles!A169&lt;&gt;""),"",IF(NOT($R169="OK"),"",_EngineCycles!U169))</f>
        <v/>
      </c>
      <c r="L169" s="27" t="str">
        <f>IF(NOT(_EngineCycles!A169&lt;&gt;""),"",IF(NOT($R169="OK"),"",_EngineCycles!AE169))</f>
        <v/>
      </c>
      <c r="M169" s="17" t="str">
        <f>IF(NOT(_EngineCycles!A169&lt;&gt;""),"",IF(NOT($R169="OK"),"",_EngineCycles!O169))</f>
        <v/>
      </c>
      <c r="N169" s="27" t="str">
        <f>IF(NOT(_EngineCycles!A169&lt;&gt;""),"",IF(NOT($R169="OK"),"",IF(_EngineCycles!E169="Closed",_EngineCycles!O169,"")))</f>
        <v/>
      </c>
      <c r="O169" s="28" t="str">
        <f>IF(NOT(_EngineCycles!A169&lt;&gt;""),"",IF(NOT($R169="OK"),"",_EngineCycles!Y169))</f>
        <v/>
      </c>
      <c r="P169" s="17" t="str">
        <f>IF(NOT(_EngineCycles!A169&lt;&gt;""),"",IF(NOT($R169="OK"),"",_EngineCycles!S169))</f>
        <v/>
      </c>
      <c r="Q169" s="25" t="str">
        <f>IF(_EngineCycles!A169="","",IF($R169&lt;&gt;"OK","Review",IF(_EngineCycles!E169="Closed","Closed","Open")))</f>
        <v/>
      </c>
      <c r="R169" s="18" t="str">
        <f>IF(_EngineCycles!A169="","",IF(COUNTIFS(Trades!$B$9:$B$508,_EngineCycles!B169,Trades!$C$9:$C$508,"&lt;&gt;"&amp;$B169,Trades!$A$9:$A$508,"&lt;&gt;")&gt;0,"Ticker mismatch",IF(COUNTIFS(Trades!$B$9:$B$508,_EngineCycles!B169,Trades!$D$9:$D$508,"&lt;&gt;"&amp;$C169,Trades!$A$9:$A$508,"&lt;&gt;")&gt;0,"Currency mismatch",IF(COUNTIFS(Trades!$B$9:$B$508,_EngineCycles!B169,Trades!$S$9:$S$508,"&lt;&gt;OK",Trades!$A$9:$A$508,"&lt;&gt;")&gt;0,"Check trades","OK"))))</f>
        <v/>
      </c>
      <c r="S169" s="29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P$9:$P$508),0),"")))</f>
        <v/>
      </c>
      <c r="T169" s="26" t="str">
        <f>IF(NOT(_EngineCycles!A169&lt;&gt;""),"",IF(NOT($R169="OK"),"",_EngineCycles!W169))</f>
        <v/>
      </c>
      <c r="U169" s="16"/>
      <c r="V169" s="16"/>
      <c r="W169" s="16"/>
      <c r="X169" s="16"/>
      <c r="Y169" t="str">
        <f>IF(AND($C169=Overview!$P$2,$Q169="Open",$R169="OK"),COUNTIFS($C$9:$C169,Overview!$P$2,$Q$9:$Q169,"Open",$R$9:$R169,"OK"),"")</f>
        <v/>
      </c>
    </row>
    <row r="170" spans="1:25" ht="23.1" customHeight="1" x14ac:dyDescent="0.25">
      <c r="A170" s="24" t="str">
        <f>IF(_EngineCycles!A170="","",_EngineCycles!B170&amp;IF(_EngineCycles!C170&gt;1," / "&amp;_EngineCycles!C170,""))</f>
        <v/>
      </c>
      <c r="B170" s="24" t="str">
        <f>IF(_EngineCycles!A170="","",_EngineCycles!D170)</f>
        <v/>
      </c>
      <c r="C170" s="24" t="str">
        <f>IF(_EngineCycles!A170="","",IFERROR(INDEX(Trades!$D$9:$D$508,_EngineCycles!AG170-8),""))</f>
        <v/>
      </c>
      <c r="D170" s="30" t="str">
        <f>IF(_EngineCycles!A170="","",IF($R170&lt;&gt;"OK","Review",IF(_EngineCycles!E170="Closed","Closed",IF(_EngineCycles!P170&gt;0,IF(IFERROR(LOOKUP(2,1/((_EngineTrades!$AU$9:$AU$508=_EngineCycles!A170)),_EngineTrades!$AQ$9:$AQ$508),0)&gt;0,"Covered Call","Shares Held"),"Cash-Secured Put"))))</f>
        <v/>
      </c>
      <c r="E170" s="31" t="str">
        <f>IF(NOT(_EngineCycles!A170&lt;&gt;""),"",IF(NOT($R170="OK"),"",_EngineCycles!P170))</f>
        <v/>
      </c>
      <c r="F170" s="23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AH$9:$AH$508),0),"")))</f>
        <v/>
      </c>
      <c r="G170" s="23" t="str">
        <f>IF(NOT(_EngineCycles!A170&lt;&gt;""),"",IF(NOT($R170="OK"),"",_EngineCycles!Q170))</f>
        <v/>
      </c>
      <c r="H170" s="32" t="str">
        <f>IF(NOT(_EngineCycles!A170&lt;&gt;""),"",IF(NOT($R170="OK"),"",_EngineCycles!J170))</f>
        <v/>
      </c>
      <c r="I170" s="23" t="str">
        <f>IF(NOT(_EngineCycles!A170&lt;&gt;""),"",IF(NOT($R170="OK"),"",_EngineCycles!I170))</f>
        <v/>
      </c>
      <c r="J170" s="23" t="str">
        <f>IF(NOT(_EngineCycles!A170&lt;&gt;""),"",IF(NOT($R170="OK"),"",_EngineCycles!L170))</f>
        <v/>
      </c>
      <c r="K170" s="23" t="str">
        <f>IF(NOT(_EngineCycles!A170&lt;&gt;""),"",IF(NOT($R170="OK"),"",_EngineCycles!U170))</f>
        <v/>
      </c>
      <c r="L170" s="32" t="str">
        <f>IF(NOT(_EngineCycles!A170&lt;&gt;""),"",IF(NOT($R170="OK"),"",_EngineCycles!AE170))</f>
        <v/>
      </c>
      <c r="M170" s="23" t="str">
        <f>IF(NOT(_EngineCycles!A170&lt;&gt;""),"",IF(NOT($R170="OK"),"",_EngineCycles!O170))</f>
        <v/>
      </c>
      <c r="N170" s="32" t="str">
        <f>IF(NOT(_EngineCycles!A170&lt;&gt;""),"",IF(NOT($R170="OK"),"",IF(_EngineCycles!E170="Closed",_EngineCycles!O170,"")))</f>
        <v/>
      </c>
      <c r="O170" s="33" t="str">
        <f>IF(NOT(_EngineCycles!A170&lt;&gt;""),"",IF(NOT($R170="OK"),"",_EngineCycles!Y170))</f>
        <v/>
      </c>
      <c r="P170" s="23" t="str">
        <f>IF(NOT(_EngineCycles!A170&lt;&gt;""),"",IF(NOT($R170="OK"),"",_EngineCycles!S170))</f>
        <v/>
      </c>
      <c r="Q170" s="30" t="str">
        <f>IF(_EngineCycles!A170="","",IF($R170&lt;&gt;"OK","Review",IF(_EngineCycles!E170="Closed","Closed","Open")))</f>
        <v/>
      </c>
      <c r="R170" s="24" t="str">
        <f>IF(_EngineCycles!A170="","",IF(COUNTIFS(Trades!$B$9:$B$508,_EngineCycles!B170,Trades!$C$9:$C$508,"&lt;&gt;"&amp;$B170,Trades!$A$9:$A$508,"&lt;&gt;")&gt;0,"Ticker mismatch",IF(COUNTIFS(Trades!$B$9:$B$508,_EngineCycles!B170,Trades!$D$9:$D$508,"&lt;&gt;"&amp;$C170,Trades!$A$9:$A$508,"&lt;&gt;")&gt;0,"Currency mismatch",IF(COUNTIFS(Trades!$B$9:$B$508,_EngineCycles!B170,Trades!$S$9:$S$508,"&lt;&gt;OK",Trades!$A$9:$A$508,"&lt;&gt;")&gt;0,"Check trades","OK"))))</f>
        <v/>
      </c>
      <c r="S170" s="34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P$9:$P$508),0),"")))</f>
        <v/>
      </c>
      <c r="T170" s="31" t="str">
        <f>IF(NOT(_EngineCycles!A170&lt;&gt;""),"",IF(NOT($R170="OK"),"",_EngineCycles!W170))</f>
        <v/>
      </c>
      <c r="U170" s="22"/>
      <c r="V170" s="22"/>
      <c r="W170" s="22"/>
      <c r="X170" s="22"/>
      <c r="Y170" t="str">
        <f>IF(AND($C170=Overview!$P$2,$Q170="Open",$R170="OK"),COUNTIFS($C$9:$C170,Overview!$P$2,$Q$9:$Q170,"Open",$R$9:$R170,"OK"),"")</f>
        <v/>
      </c>
    </row>
    <row r="171" spans="1:25" ht="23.1" customHeight="1" x14ac:dyDescent="0.25">
      <c r="A171" s="18" t="str">
        <f>IF(_EngineCycles!A171="","",_EngineCycles!B171&amp;IF(_EngineCycles!C171&gt;1," / "&amp;_EngineCycles!C171,""))</f>
        <v/>
      </c>
      <c r="B171" s="18" t="str">
        <f>IF(_EngineCycles!A171="","",_EngineCycles!D171)</f>
        <v/>
      </c>
      <c r="C171" s="18" t="str">
        <f>IF(_EngineCycles!A171="","",IFERROR(INDEX(Trades!$D$9:$D$508,_EngineCycles!AG171-8),""))</f>
        <v/>
      </c>
      <c r="D171" s="25" t="str">
        <f>IF(_EngineCycles!A171="","",IF($R171&lt;&gt;"OK","Review",IF(_EngineCycles!E171="Closed","Closed",IF(_EngineCycles!P171&gt;0,IF(IFERROR(LOOKUP(2,1/((_EngineTrades!$AU$9:$AU$508=_EngineCycles!A171)),_EngineTrades!$AQ$9:$AQ$508),0)&gt;0,"Covered Call","Shares Held"),"Cash-Secured Put"))))</f>
        <v/>
      </c>
      <c r="E171" s="26" t="str">
        <f>IF(NOT(_EngineCycles!A171&lt;&gt;""),"",IF(NOT($R171="OK"),"",_EngineCycles!P171))</f>
        <v/>
      </c>
      <c r="F171" s="17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AH$9:$AH$508),0),"")))</f>
        <v/>
      </c>
      <c r="G171" s="17" t="str">
        <f>IF(NOT(_EngineCycles!A171&lt;&gt;""),"",IF(NOT($R171="OK"),"",_EngineCycles!Q171))</f>
        <v/>
      </c>
      <c r="H171" s="27" t="str">
        <f>IF(NOT(_EngineCycles!A171&lt;&gt;""),"",IF(NOT($R171="OK"),"",_EngineCycles!J171))</f>
        <v/>
      </c>
      <c r="I171" s="17" t="str">
        <f>IF(NOT(_EngineCycles!A171&lt;&gt;""),"",IF(NOT($R171="OK"),"",_EngineCycles!I171))</f>
        <v/>
      </c>
      <c r="J171" s="17" t="str">
        <f>IF(NOT(_EngineCycles!A171&lt;&gt;""),"",IF(NOT($R171="OK"),"",_EngineCycles!L171))</f>
        <v/>
      </c>
      <c r="K171" s="17" t="str">
        <f>IF(NOT(_EngineCycles!A171&lt;&gt;""),"",IF(NOT($R171="OK"),"",_EngineCycles!U171))</f>
        <v/>
      </c>
      <c r="L171" s="27" t="str">
        <f>IF(NOT(_EngineCycles!A171&lt;&gt;""),"",IF(NOT($R171="OK"),"",_EngineCycles!AE171))</f>
        <v/>
      </c>
      <c r="M171" s="17" t="str">
        <f>IF(NOT(_EngineCycles!A171&lt;&gt;""),"",IF(NOT($R171="OK"),"",_EngineCycles!O171))</f>
        <v/>
      </c>
      <c r="N171" s="27" t="str">
        <f>IF(NOT(_EngineCycles!A171&lt;&gt;""),"",IF(NOT($R171="OK"),"",IF(_EngineCycles!E171="Closed",_EngineCycles!O171,"")))</f>
        <v/>
      </c>
      <c r="O171" s="28" t="str">
        <f>IF(NOT(_EngineCycles!A171&lt;&gt;""),"",IF(NOT($R171="OK"),"",_EngineCycles!Y171))</f>
        <v/>
      </c>
      <c r="P171" s="17" t="str">
        <f>IF(NOT(_EngineCycles!A171&lt;&gt;""),"",IF(NOT($R171="OK"),"",_EngineCycles!S171))</f>
        <v/>
      </c>
      <c r="Q171" s="25" t="str">
        <f>IF(_EngineCycles!A171="","",IF($R171&lt;&gt;"OK","Review",IF(_EngineCycles!E171="Closed","Closed","Open")))</f>
        <v/>
      </c>
      <c r="R171" s="18" t="str">
        <f>IF(_EngineCycles!A171="","",IF(COUNTIFS(Trades!$B$9:$B$508,_EngineCycles!B171,Trades!$C$9:$C$508,"&lt;&gt;"&amp;$B171,Trades!$A$9:$A$508,"&lt;&gt;")&gt;0,"Ticker mismatch",IF(COUNTIFS(Trades!$B$9:$B$508,_EngineCycles!B171,Trades!$D$9:$D$508,"&lt;&gt;"&amp;$C171,Trades!$A$9:$A$508,"&lt;&gt;")&gt;0,"Currency mismatch",IF(COUNTIFS(Trades!$B$9:$B$508,_EngineCycles!B171,Trades!$S$9:$S$508,"&lt;&gt;OK",Trades!$A$9:$A$508,"&lt;&gt;")&gt;0,"Check trades","OK"))))</f>
        <v/>
      </c>
      <c r="S171" s="29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P$9:$P$508),0),"")))</f>
        <v/>
      </c>
      <c r="T171" s="26" t="str">
        <f>IF(NOT(_EngineCycles!A171&lt;&gt;""),"",IF(NOT($R171="OK"),"",_EngineCycles!W171))</f>
        <v/>
      </c>
      <c r="U171" s="16"/>
      <c r="V171" s="16"/>
      <c r="W171" s="16"/>
      <c r="X171" s="16"/>
      <c r="Y171" t="str">
        <f>IF(AND($C171=Overview!$P$2,$Q171="Open",$R171="OK"),COUNTIFS($C$9:$C171,Overview!$P$2,$Q$9:$Q171,"Open",$R$9:$R171,"OK"),"")</f>
        <v/>
      </c>
    </row>
    <row r="172" spans="1:25" ht="23.1" customHeight="1" x14ac:dyDescent="0.25">
      <c r="A172" s="24" t="str">
        <f>IF(_EngineCycles!A172="","",_EngineCycles!B172&amp;IF(_EngineCycles!C172&gt;1," / "&amp;_EngineCycles!C172,""))</f>
        <v/>
      </c>
      <c r="B172" s="24" t="str">
        <f>IF(_EngineCycles!A172="","",_EngineCycles!D172)</f>
        <v/>
      </c>
      <c r="C172" s="24" t="str">
        <f>IF(_EngineCycles!A172="","",IFERROR(INDEX(Trades!$D$9:$D$508,_EngineCycles!AG172-8),""))</f>
        <v/>
      </c>
      <c r="D172" s="30" t="str">
        <f>IF(_EngineCycles!A172="","",IF($R172&lt;&gt;"OK","Review",IF(_EngineCycles!E172="Closed","Closed",IF(_EngineCycles!P172&gt;0,IF(IFERROR(LOOKUP(2,1/((_EngineTrades!$AU$9:$AU$508=_EngineCycles!A172)),_EngineTrades!$AQ$9:$AQ$508),0)&gt;0,"Covered Call","Shares Held"),"Cash-Secured Put"))))</f>
        <v/>
      </c>
      <c r="E172" s="31" t="str">
        <f>IF(NOT(_EngineCycles!A172&lt;&gt;""),"",IF(NOT($R172="OK"),"",_EngineCycles!P172))</f>
        <v/>
      </c>
      <c r="F172" s="23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AH$9:$AH$508),0),"")))</f>
        <v/>
      </c>
      <c r="G172" s="23" t="str">
        <f>IF(NOT(_EngineCycles!A172&lt;&gt;""),"",IF(NOT($R172="OK"),"",_EngineCycles!Q172))</f>
        <v/>
      </c>
      <c r="H172" s="32" t="str">
        <f>IF(NOT(_EngineCycles!A172&lt;&gt;""),"",IF(NOT($R172="OK"),"",_EngineCycles!J172))</f>
        <v/>
      </c>
      <c r="I172" s="23" t="str">
        <f>IF(NOT(_EngineCycles!A172&lt;&gt;""),"",IF(NOT($R172="OK"),"",_EngineCycles!I172))</f>
        <v/>
      </c>
      <c r="J172" s="23" t="str">
        <f>IF(NOT(_EngineCycles!A172&lt;&gt;""),"",IF(NOT($R172="OK"),"",_EngineCycles!L172))</f>
        <v/>
      </c>
      <c r="K172" s="23" t="str">
        <f>IF(NOT(_EngineCycles!A172&lt;&gt;""),"",IF(NOT($R172="OK"),"",_EngineCycles!U172))</f>
        <v/>
      </c>
      <c r="L172" s="32" t="str">
        <f>IF(NOT(_EngineCycles!A172&lt;&gt;""),"",IF(NOT($R172="OK"),"",_EngineCycles!AE172))</f>
        <v/>
      </c>
      <c r="M172" s="23" t="str">
        <f>IF(NOT(_EngineCycles!A172&lt;&gt;""),"",IF(NOT($R172="OK"),"",_EngineCycles!O172))</f>
        <v/>
      </c>
      <c r="N172" s="32" t="str">
        <f>IF(NOT(_EngineCycles!A172&lt;&gt;""),"",IF(NOT($R172="OK"),"",IF(_EngineCycles!E172="Closed",_EngineCycles!O172,"")))</f>
        <v/>
      </c>
      <c r="O172" s="33" t="str">
        <f>IF(NOT(_EngineCycles!A172&lt;&gt;""),"",IF(NOT($R172="OK"),"",_EngineCycles!Y172))</f>
        <v/>
      </c>
      <c r="P172" s="23" t="str">
        <f>IF(NOT(_EngineCycles!A172&lt;&gt;""),"",IF(NOT($R172="OK"),"",_EngineCycles!S172))</f>
        <v/>
      </c>
      <c r="Q172" s="30" t="str">
        <f>IF(_EngineCycles!A172="","",IF($R172&lt;&gt;"OK","Review",IF(_EngineCycles!E172="Closed","Closed","Open")))</f>
        <v/>
      </c>
      <c r="R172" s="24" t="str">
        <f>IF(_EngineCycles!A172="","",IF(COUNTIFS(Trades!$B$9:$B$508,_EngineCycles!B172,Trades!$C$9:$C$508,"&lt;&gt;"&amp;$B172,Trades!$A$9:$A$508,"&lt;&gt;")&gt;0,"Ticker mismatch",IF(COUNTIFS(Trades!$B$9:$B$508,_EngineCycles!B172,Trades!$D$9:$D$508,"&lt;&gt;"&amp;$C172,Trades!$A$9:$A$508,"&lt;&gt;")&gt;0,"Currency mismatch",IF(COUNTIFS(Trades!$B$9:$B$508,_EngineCycles!B172,Trades!$S$9:$S$508,"&lt;&gt;OK",Trades!$A$9:$A$508,"&lt;&gt;")&gt;0,"Check trades","OK"))))</f>
        <v/>
      </c>
      <c r="S172" s="34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P$9:$P$508),0),"")))</f>
        <v/>
      </c>
      <c r="T172" s="31" t="str">
        <f>IF(NOT(_EngineCycles!A172&lt;&gt;""),"",IF(NOT($R172="OK"),"",_EngineCycles!W172))</f>
        <v/>
      </c>
      <c r="U172" s="22"/>
      <c r="V172" s="22"/>
      <c r="W172" s="22"/>
      <c r="X172" s="22"/>
      <c r="Y172" t="str">
        <f>IF(AND($C172=Overview!$P$2,$Q172="Open",$R172="OK"),COUNTIFS($C$9:$C172,Overview!$P$2,$Q$9:$Q172,"Open",$R$9:$R172,"OK"),"")</f>
        <v/>
      </c>
    </row>
    <row r="173" spans="1:25" ht="23.1" customHeight="1" x14ac:dyDescent="0.25">
      <c r="A173" s="18" t="str">
        <f>IF(_EngineCycles!A173="","",_EngineCycles!B173&amp;IF(_EngineCycles!C173&gt;1," / "&amp;_EngineCycles!C173,""))</f>
        <v/>
      </c>
      <c r="B173" s="18" t="str">
        <f>IF(_EngineCycles!A173="","",_EngineCycles!D173)</f>
        <v/>
      </c>
      <c r="C173" s="18" t="str">
        <f>IF(_EngineCycles!A173="","",IFERROR(INDEX(Trades!$D$9:$D$508,_EngineCycles!AG173-8),""))</f>
        <v/>
      </c>
      <c r="D173" s="25" t="str">
        <f>IF(_EngineCycles!A173="","",IF($R173&lt;&gt;"OK","Review",IF(_EngineCycles!E173="Closed","Closed",IF(_EngineCycles!P173&gt;0,IF(IFERROR(LOOKUP(2,1/((_EngineTrades!$AU$9:$AU$508=_EngineCycles!A173)),_EngineTrades!$AQ$9:$AQ$508),0)&gt;0,"Covered Call","Shares Held"),"Cash-Secured Put"))))</f>
        <v/>
      </c>
      <c r="E173" s="26" t="str">
        <f>IF(NOT(_EngineCycles!A173&lt;&gt;""),"",IF(NOT($R173="OK"),"",_EngineCycles!P173))</f>
        <v/>
      </c>
      <c r="F173" s="17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AH$9:$AH$508),0),"")))</f>
        <v/>
      </c>
      <c r="G173" s="17" t="str">
        <f>IF(NOT(_EngineCycles!A173&lt;&gt;""),"",IF(NOT($R173="OK"),"",_EngineCycles!Q173))</f>
        <v/>
      </c>
      <c r="H173" s="27" t="str">
        <f>IF(NOT(_EngineCycles!A173&lt;&gt;""),"",IF(NOT($R173="OK"),"",_EngineCycles!J173))</f>
        <v/>
      </c>
      <c r="I173" s="17" t="str">
        <f>IF(NOT(_EngineCycles!A173&lt;&gt;""),"",IF(NOT($R173="OK"),"",_EngineCycles!I173))</f>
        <v/>
      </c>
      <c r="J173" s="17" t="str">
        <f>IF(NOT(_EngineCycles!A173&lt;&gt;""),"",IF(NOT($R173="OK"),"",_EngineCycles!L173))</f>
        <v/>
      </c>
      <c r="K173" s="17" t="str">
        <f>IF(NOT(_EngineCycles!A173&lt;&gt;""),"",IF(NOT($R173="OK"),"",_EngineCycles!U173))</f>
        <v/>
      </c>
      <c r="L173" s="27" t="str">
        <f>IF(NOT(_EngineCycles!A173&lt;&gt;""),"",IF(NOT($R173="OK"),"",_EngineCycles!AE173))</f>
        <v/>
      </c>
      <c r="M173" s="17" t="str">
        <f>IF(NOT(_EngineCycles!A173&lt;&gt;""),"",IF(NOT($R173="OK"),"",_EngineCycles!O173))</f>
        <v/>
      </c>
      <c r="N173" s="27" t="str">
        <f>IF(NOT(_EngineCycles!A173&lt;&gt;""),"",IF(NOT($R173="OK"),"",IF(_EngineCycles!E173="Closed",_EngineCycles!O173,"")))</f>
        <v/>
      </c>
      <c r="O173" s="28" t="str">
        <f>IF(NOT(_EngineCycles!A173&lt;&gt;""),"",IF(NOT($R173="OK"),"",_EngineCycles!Y173))</f>
        <v/>
      </c>
      <c r="P173" s="17" t="str">
        <f>IF(NOT(_EngineCycles!A173&lt;&gt;""),"",IF(NOT($R173="OK"),"",_EngineCycles!S173))</f>
        <v/>
      </c>
      <c r="Q173" s="25" t="str">
        <f>IF(_EngineCycles!A173="","",IF($R173&lt;&gt;"OK","Review",IF(_EngineCycles!E173="Closed","Closed","Open")))</f>
        <v/>
      </c>
      <c r="R173" s="18" t="str">
        <f>IF(_EngineCycles!A173="","",IF(COUNTIFS(Trades!$B$9:$B$508,_EngineCycles!B173,Trades!$C$9:$C$508,"&lt;&gt;"&amp;$B173,Trades!$A$9:$A$508,"&lt;&gt;")&gt;0,"Ticker mismatch",IF(COUNTIFS(Trades!$B$9:$B$508,_EngineCycles!B173,Trades!$D$9:$D$508,"&lt;&gt;"&amp;$C173,Trades!$A$9:$A$508,"&lt;&gt;")&gt;0,"Currency mismatch",IF(COUNTIFS(Trades!$B$9:$B$508,_EngineCycles!B173,Trades!$S$9:$S$508,"&lt;&gt;OK",Trades!$A$9:$A$508,"&lt;&gt;")&gt;0,"Check trades","OK"))))</f>
        <v/>
      </c>
      <c r="S173" s="29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P$9:$P$508),0),"")))</f>
        <v/>
      </c>
      <c r="T173" s="26" t="str">
        <f>IF(NOT(_EngineCycles!A173&lt;&gt;""),"",IF(NOT($R173="OK"),"",_EngineCycles!W173))</f>
        <v/>
      </c>
      <c r="U173" s="16"/>
      <c r="V173" s="16"/>
      <c r="W173" s="16"/>
      <c r="X173" s="16"/>
      <c r="Y173" t="str">
        <f>IF(AND($C173=Overview!$P$2,$Q173="Open",$R173="OK"),COUNTIFS($C$9:$C173,Overview!$P$2,$Q$9:$Q173,"Open",$R$9:$R173,"OK"),"")</f>
        <v/>
      </c>
    </row>
    <row r="174" spans="1:25" ht="23.1" customHeight="1" x14ac:dyDescent="0.25">
      <c r="A174" s="24" t="str">
        <f>IF(_EngineCycles!A174="","",_EngineCycles!B174&amp;IF(_EngineCycles!C174&gt;1," / "&amp;_EngineCycles!C174,""))</f>
        <v/>
      </c>
      <c r="B174" s="24" t="str">
        <f>IF(_EngineCycles!A174="","",_EngineCycles!D174)</f>
        <v/>
      </c>
      <c r="C174" s="24" t="str">
        <f>IF(_EngineCycles!A174="","",IFERROR(INDEX(Trades!$D$9:$D$508,_EngineCycles!AG174-8),""))</f>
        <v/>
      </c>
      <c r="D174" s="30" t="str">
        <f>IF(_EngineCycles!A174="","",IF($R174&lt;&gt;"OK","Review",IF(_EngineCycles!E174="Closed","Closed",IF(_EngineCycles!P174&gt;0,IF(IFERROR(LOOKUP(2,1/((_EngineTrades!$AU$9:$AU$508=_EngineCycles!A174)),_EngineTrades!$AQ$9:$AQ$508),0)&gt;0,"Covered Call","Shares Held"),"Cash-Secured Put"))))</f>
        <v/>
      </c>
      <c r="E174" s="31" t="str">
        <f>IF(NOT(_EngineCycles!A174&lt;&gt;""),"",IF(NOT($R174="OK"),"",_EngineCycles!P174))</f>
        <v/>
      </c>
      <c r="F174" s="23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AH$9:$AH$508),0),"")))</f>
        <v/>
      </c>
      <c r="G174" s="23" t="str">
        <f>IF(NOT(_EngineCycles!A174&lt;&gt;""),"",IF(NOT($R174="OK"),"",_EngineCycles!Q174))</f>
        <v/>
      </c>
      <c r="H174" s="32" t="str">
        <f>IF(NOT(_EngineCycles!A174&lt;&gt;""),"",IF(NOT($R174="OK"),"",_EngineCycles!J174))</f>
        <v/>
      </c>
      <c r="I174" s="23" t="str">
        <f>IF(NOT(_EngineCycles!A174&lt;&gt;""),"",IF(NOT($R174="OK"),"",_EngineCycles!I174))</f>
        <v/>
      </c>
      <c r="J174" s="23" t="str">
        <f>IF(NOT(_EngineCycles!A174&lt;&gt;""),"",IF(NOT($R174="OK"),"",_EngineCycles!L174))</f>
        <v/>
      </c>
      <c r="K174" s="23" t="str">
        <f>IF(NOT(_EngineCycles!A174&lt;&gt;""),"",IF(NOT($R174="OK"),"",_EngineCycles!U174))</f>
        <v/>
      </c>
      <c r="L174" s="32" t="str">
        <f>IF(NOT(_EngineCycles!A174&lt;&gt;""),"",IF(NOT($R174="OK"),"",_EngineCycles!AE174))</f>
        <v/>
      </c>
      <c r="M174" s="23" t="str">
        <f>IF(NOT(_EngineCycles!A174&lt;&gt;""),"",IF(NOT($R174="OK"),"",_EngineCycles!O174))</f>
        <v/>
      </c>
      <c r="N174" s="32" t="str">
        <f>IF(NOT(_EngineCycles!A174&lt;&gt;""),"",IF(NOT($R174="OK"),"",IF(_EngineCycles!E174="Closed",_EngineCycles!O174,"")))</f>
        <v/>
      </c>
      <c r="O174" s="33" t="str">
        <f>IF(NOT(_EngineCycles!A174&lt;&gt;""),"",IF(NOT($R174="OK"),"",_EngineCycles!Y174))</f>
        <v/>
      </c>
      <c r="P174" s="23" t="str">
        <f>IF(NOT(_EngineCycles!A174&lt;&gt;""),"",IF(NOT($R174="OK"),"",_EngineCycles!S174))</f>
        <v/>
      </c>
      <c r="Q174" s="30" t="str">
        <f>IF(_EngineCycles!A174="","",IF($R174&lt;&gt;"OK","Review",IF(_EngineCycles!E174="Closed","Closed","Open")))</f>
        <v/>
      </c>
      <c r="R174" s="24" t="str">
        <f>IF(_EngineCycles!A174="","",IF(COUNTIFS(Trades!$B$9:$B$508,_EngineCycles!B174,Trades!$C$9:$C$508,"&lt;&gt;"&amp;$B174,Trades!$A$9:$A$508,"&lt;&gt;")&gt;0,"Ticker mismatch",IF(COUNTIFS(Trades!$B$9:$B$508,_EngineCycles!B174,Trades!$D$9:$D$508,"&lt;&gt;"&amp;$C174,Trades!$A$9:$A$508,"&lt;&gt;")&gt;0,"Currency mismatch",IF(COUNTIFS(Trades!$B$9:$B$508,_EngineCycles!B174,Trades!$S$9:$S$508,"&lt;&gt;OK",Trades!$A$9:$A$508,"&lt;&gt;")&gt;0,"Check trades","OK"))))</f>
        <v/>
      </c>
      <c r="S174" s="34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P$9:$P$508),0),"")))</f>
        <v/>
      </c>
      <c r="T174" s="31" t="str">
        <f>IF(NOT(_EngineCycles!A174&lt;&gt;""),"",IF(NOT($R174="OK"),"",_EngineCycles!W174))</f>
        <v/>
      </c>
      <c r="U174" s="22"/>
      <c r="V174" s="22"/>
      <c r="W174" s="22"/>
      <c r="X174" s="22"/>
      <c r="Y174" t="str">
        <f>IF(AND($C174=Overview!$P$2,$Q174="Open",$R174="OK"),COUNTIFS($C$9:$C174,Overview!$P$2,$Q$9:$Q174,"Open",$R$9:$R174,"OK"),"")</f>
        <v/>
      </c>
    </row>
    <row r="175" spans="1:25" ht="23.1" customHeight="1" x14ac:dyDescent="0.25">
      <c r="A175" s="18" t="str">
        <f>IF(_EngineCycles!A175="","",_EngineCycles!B175&amp;IF(_EngineCycles!C175&gt;1," / "&amp;_EngineCycles!C175,""))</f>
        <v/>
      </c>
      <c r="B175" s="18" t="str">
        <f>IF(_EngineCycles!A175="","",_EngineCycles!D175)</f>
        <v/>
      </c>
      <c r="C175" s="18" t="str">
        <f>IF(_EngineCycles!A175="","",IFERROR(INDEX(Trades!$D$9:$D$508,_EngineCycles!AG175-8),""))</f>
        <v/>
      </c>
      <c r="D175" s="25" t="str">
        <f>IF(_EngineCycles!A175="","",IF($R175&lt;&gt;"OK","Review",IF(_EngineCycles!E175="Closed","Closed",IF(_EngineCycles!P175&gt;0,IF(IFERROR(LOOKUP(2,1/((_EngineTrades!$AU$9:$AU$508=_EngineCycles!A175)),_EngineTrades!$AQ$9:$AQ$508),0)&gt;0,"Covered Call","Shares Held"),"Cash-Secured Put"))))</f>
        <v/>
      </c>
      <c r="E175" s="26" t="str">
        <f>IF(NOT(_EngineCycles!A175&lt;&gt;""),"",IF(NOT($R175="OK"),"",_EngineCycles!P175))</f>
        <v/>
      </c>
      <c r="F175" s="17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AH$9:$AH$508),0),"")))</f>
        <v/>
      </c>
      <c r="G175" s="17" t="str">
        <f>IF(NOT(_EngineCycles!A175&lt;&gt;""),"",IF(NOT($R175="OK"),"",_EngineCycles!Q175))</f>
        <v/>
      </c>
      <c r="H175" s="27" t="str">
        <f>IF(NOT(_EngineCycles!A175&lt;&gt;""),"",IF(NOT($R175="OK"),"",_EngineCycles!J175))</f>
        <v/>
      </c>
      <c r="I175" s="17" t="str">
        <f>IF(NOT(_EngineCycles!A175&lt;&gt;""),"",IF(NOT($R175="OK"),"",_EngineCycles!I175))</f>
        <v/>
      </c>
      <c r="J175" s="17" t="str">
        <f>IF(NOT(_EngineCycles!A175&lt;&gt;""),"",IF(NOT($R175="OK"),"",_EngineCycles!L175))</f>
        <v/>
      </c>
      <c r="K175" s="17" t="str">
        <f>IF(NOT(_EngineCycles!A175&lt;&gt;""),"",IF(NOT($R175="OK"),"",_EngineCycles!U175))</f>
        <v/>
      </c>
      <c r="L175" s="27" t="str">
        <f>IF(NOT(_EngineCycles!A175&lt;&gt;""),"",IF(NOT($R175="OK"),"",_EngineCycles!AE175))</f>
        <v/>
      </c>
      <c r="M175" s="17" t="str">
        <f>IF(NOT(_EngineCycles!A175&lt;&gt;""),"",IF(NOT($R175="OK"),"",_EngineCycles!O175))</f>
        <v/>
      </c>
      <c r="N175" s="27" t="str">
        <f>IF(NOT(_EngineCycles!A175&lt;&gt;""),"",IF(NOT($R175="OK"),"",IF(_EngineCycles!E175="Closed",_EngineCycles!O175,"")))</f>
        <v/>
      </c>
      <c r="O175" s="28" t="str">
        <f>IF(NOT(_EngineCycles!A175&lt;&gt;""),"",IF(NOT($R175="OK"),"",_EngineCycles!Y175))</f>
        <v/>
      </c>
      <c r="P175" s="17" t="str">
        <f>IF(NOT(_EngineCycles!A175&lt;&gt;""),"",IF(NOT($R175="OK"),"",_EngineCycles!S175))</f>
        <v/>
      </c>
      <c r="Q175" s="25" t="str">
        <f>IF(_EngineCycles!A175="","",IF($R175&lt;&gt;"OK","Review",IF(_EngineCycles!E175="Closed","Closed","Open")))</f>
        <v/>
      </c>
      <c r="R175" s="18" t="str">
        <f>IF(_EngineCycles!A175="","",IF(COUNTIFS(Trades!$B$9:$B$508,_EngineCycles!B175,Trades!$C$9:$C$508,"&lt;&gt;"&amp;$B175,Trades!$A$9:$A$508,"&lt;&gt;")&gt;0,"Ticker mismatch",IF(COUNTIFS(Trades!$B$9:$B$508,_EngineCycles!B175,Trades!$D$9:$D$508,"&lt;&gt;"&amp;$C175,Trades!$A$9:$A$508,"&lt;&gt;")&gt;0,"Currency mismatch",IF(COUNTIFS(Trades!$B$9:$B$508,_EngineCycles!B175,Trades!$S$9:$S$508,"&lt;&gt;OK",Trades!$A$9:$A$508,"&lt;&gt;")&gt;0,"Check trades","OK"))))</f>
        <v/>
      </c>
      <c r="S175" s="29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P$9:$P$508),0),"")))</f>
        <v/>
      </c>
      <c r="T175" s="26" t="str">
        <f>IF(NOT(_EngineCycles!A175&lt;&gt;""),"",IF(NOT($R175="OK"),"",_EngineCycles!W175))</f>
        <v/>
      </c>
      <c r="U175" s="16"/>
      <c r="V175" s="16"/>
      <c r="W175" s="16"/>
      <c r="X175" s="16"/>
      <c r="Y175" t="str">
        <f>IF(AND($C175=Overview!$P$2,$Q175="Open",$R175="OK"),COUNTIFS($C$9:$C175,Overview!$P$2,$Q$9:$Q175,"Open",$R$9:$R175,"OK"),"")</f>
        <v/>
      </c>
    </row>
    <row r="176" spans="1:25" ht="23.1" customHeight="1" x14ac:dyDescent="0.25">
      <c r="A176" s="24" t="str">
        <f>IF(_EngineCycles!A176="","",_EngineCycles!B176&amp;IF(_EngineCycles!C176&gt;1," / "&amp;_EngineCycles!C176,""))</f>
        <v/>
      </c>
      <c r="B176" s="24" t="str">
        <f>IF(_EngineCycles!A176="","",_EngineCycles!D176)</f>
        <v/>
      </c>
      <c r="C176" s="24" t="str">
        <f>IF(_EngineCycles!A176="","",IFERROR(INDEX(Trades!$D$9:$D$508,_EngineCycles!AG176-8),""))</f>
        <v/>
      </c>
      <c r="D176" s="30" t="str">
        <f>IF(_EngineCycles!A176="","",IF($R176&lt;&gt;"OK","Review",IF(_EngineCycles!E176="Closed","Closed",IF(_EngineCycles!P176&gt;0,IF(IFERROR(LOOKUP(2,1/((_EngineTrades!$AU$9:$AU$508=_EngineCycles!A176)),_EngineTrades!$AQ$9:$AQ$508),0)&gt;0,"Covered Call","Shares Held"),"Cash-Secured Put"))))</f>
        <v/>
      </c>
      <c r="E176" s="31" t="str">
        <f>IF(NOT(_EngineCycles!A176&lt;&gt;""),"",IF(NOT($R176="OK"),"",_EngineCycles!P176))</f>
        <v/>
      </c>
      <c r="F176" s="23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AH$9:$AH$508),0),"")))</f>
        <v/>
      </c>
      <c r="G176" s="23" t="str">
        <f>IF(NOT(_EngineCycles!A176&lt;&gt;""),"",IF(NOT($R176="OK"),"",_EngineCycles!Q176))</f>
        <v/>
      </c>
      <c r="H176" s="32" t="str">
        <f>IF(NOT(_EngineCycles!A176&lt;&gt;""),"",IF(NOT($R176="OK"),"",_EngineCycles!J176))</f>
        <v/>
      </c>
      <c r="I176" s="23" t="str">
        <f>IF(NOT(_EngineCycles!A176&lt;&gt;""),"",IF(NOT($R176="OK"),"",_EngineCycles!I176))</f>
        <v/>
      </c>
      <c r="J176" s="23" t="str">
        <f>IF(NOT(_EngineCycles!A176&lt;&gt;""),"",IF(NOT($R176="OK"),"",_EngineCycles!L176))</f>
        <v/>
      </c>
      <c r="K176" s="23" t="str">
        <f>IF(NOT(_EngineCycles!A176&lt;&gt;""),"",IF(NOT($R176="OK"),"",_EngineCycles!U176))</f>
        <v/>
      </c>
      <c r="L176" s="32" t="str">
        <f>IF(NOT(_EngineCycles!A176&lt;&gt;""),"",IF(NOT($R176="OK"),"",_EngineCycles!AE176))</f>
        <v/>
      </c>
      <c r="M176" s="23" t="str">
        <f>IF(NOT(_EngineCycles!A176&lt;&gt;""),"",IF(NOT($R176="OK"),"",_EngineCycles!O176))</f>
        <v/>
      </c>
      <c r="N176" s="32" t="str">
        <f>IF(NOT(_EngineCycles!A176&lt;&gt;""),"",IF(NOT($R176="OK"),"",IF(_EngineCycles!E176="Closed",_EngineCycles!O176,"")))</f>
        <v/>
      </c>
      <c r="O176" s="33" t="str">
        <f>IF(NOT(_EngineCycles!A176&lt;&gt;""),"",IF(NOT($R176="OK"),"",_EngineCycles!Y176))</f>
        <v/>
      </c>
      <c r="P176" s="23" t="str">
        <f>IF(NOT(_EngineCycles!A176&lt;&gt;""),"",IF(NOT($R176="OK"),"",_EngineCycles!S176))</f>
        <v/>
      </c>
      <c r="Q176" s="30" t="str">
        <f>IF(_EngineCycles!A176="","",IF($R176&lt;&gt;"OK","Review",IF(_EngineCycles!E176="Closed","Closed","Open")))</f>
        <v/>
      </c>
      <c r="R176" s="24" t="str">
        <f>IF(_EngineCycles!A176="","",IF(COUNTIFS(Trades!$B$9:$B$508,_EngineCycles!B176,Trades!$C$9:$C$508,"&lt;&gt;"&amp;$B176,Trades!$A$9:$A$508,"&lt;&gt;")&gt;0,"Ticker mismatch",IF(COUNTIFS(Trades!$B$9:$B$508,_EngineCycles!B176,Trades!$D$9:$D$508,"&lt;&gt;"&amp;$C176,Trades!$A$9:$A$508,"&lt;&gt;")&gt;0,"Currency mismatch",IF(COUNTIFS(Trades!$B$9:$B$508,_EngineCycles!B176,Trades!$S$9:$S$508,"&lt;&gt;OK",Trades!$A$9:$A$508,"&lt;&gt;")&gt;0,"Check trades","OK"))))</f>
        <v/>
      </c>
      <c r="S176" s="34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P$9:$P$508),0),"")))</f>
        <v/>
      </c>
      <c r="T176" s="31" t="str">
        <f>IF(NOT(_EngineCycles!A176&lt;&gt;""),"",IF(NOT($R176="OK"),"",_EngineCycles!W176))</f>
        <v/>
      </c>
      <c r="U176" s="22"/>
      <c r="V176" s="22"/>
      <c r="W176" s="22"/>
      <c r="X176" s="22"/>
      <c r="Y176" t="str">
        <f>IF(AND($C176=Overview!$P$2,$Q176="Open",$R176="OK"),COUNTIFS($C$9:$C176,Overview!$P$2,$Q$9:$Q176,"Open",$R$9:$R176,"OK"),"")</f>
        <v/>
      </c>
    </row>
    <row r="177" spans="1:25" ht="23.1" customHeight="1" x14ac:dyDescent="0.25">
      <c r="A177" s="18" t="str">
        <f>IF(_EngineCycles!A177="","",_EngineCycles!B177&amp;IF(_EngineCycles!C177&gt;1," / "&amp;_EngineCycles!C177,""))</f>
        <v/>
      </c>
      <c r="B177" s="18" t="str">
        <f>IF(_EngineCycles!A177="","",_EngineCycles!D177)</f>
        <v/>
      </c>
      <c r="C177" s="18" t="str">
        <f>IF(_EngineCycles!A177="","",IFERROR(INDEX(Trades!$D$9:$D$508,_EngineCycles!AG177-8),""))</f>
        <v/>
      </c>
      <c r="D177" s="25" t="str">
        <f>IF(_EngineCycles!A177="","",IF($R177&lt;&gt;"OK","Review",IF(_EngineCycles!E177="Closed","Closed",IF(_EngineCycles!P177&gt;0,IF(IFERROR(LOOKUP(2,1/((_EngineTrades!$AU$9:$AU$508=_EngineCycles!A177)),_EngineTrades!$AQ$9:$AQ$508),0)&gt;0,"Covered Call","Shares Held"),"Cash-Secured Put"))))</f>
        <v/>
      </c>
      <c r="E177" s="26" t="str">
        <f>IF(NOT(_EngineCycles!A177&lt;&gt;""),"",IF(NOT($R177="OK"),"",_EngineCycles!P177))</f>
        <v/>
      </c>
      <c r="F177" s="17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AH$9:$AH$508),0),"")))</f>
        <v/>
      </c>
      <c r="G177" s="17" t="str">
        <f>IF(NOT(_EngineCycles!A177&lt;&gt;""),"",IF(NOT($R177="OK"),"",_EngineCycles!Q177))</f>
        <v/>
      </c>
      <c r="H177" s="27" t="str">
        <f>IF(NOT(_EngineCycles!A177&lt;&gt;""),"",IF(NOT($R177="OK"),"",_EngineCycles!J177))</f>
        <v/>
      </c>
      <c r="I177" s="17" t="str">
        <f>IF(NOT(_EngineCycles!A177&lt;&gt;""),"",IF(NOT($R177="OK"),"",_EngineCycles!I177))</f>
        <v/>
      </c>
      <c r="J177" s="17" t="str">
        <f>IF(NOT(_EngineCycles!A177&lt;&gt;""),"",IF(NOT($R177="OK"),"",_EngineCycles!L177))</f>
        <v/>
      </c>
      <c r="K177" s="17" t="str">
        <f>IF(NOT(_EngineCycles!A177&lt;&gt;""),"",IF(NOT($R177="OK"),"",_EngineCycles!U177))</f>
        <v/>
      </c>
      <c r="L177" s="27" t="str">
        <f>IF(NOT(_EngineCycles!A177&lt;&gt;""),"",IF(NOT($R177="OK"),"",_EngineCycles!AE177))</f>
        <v/>
      </c>
      <c r="M177" s="17" t="str">
        <f>IF(NOT(_EngineCycles!A177&lt;&gt;""),"",IF(NOT($R177="OK"),"",_EngineCycles!O177))</f>
        <v/>
      </c>
      <c r="N177" s="27" t="str">
        <f>IF(NOT(_EngineCycles!A177&lt;&gt;""),"",IF(NOT($R177="OK"),"",IF(_EngineCycles!E177="Closed",_EngineCycles!O177,"")))</f>
        <v/>
      </c>
      <c r="O177" s="28" t="str">
        <f>IF(NOT(_EngineCycles!A177&lt;&gt;""),"",IF(NOT($R177="OK"),"",_EngineCycles!Y177))</f>
        <v/>
      </c>
      <c r="P177" s="17" t="str">
        <f>IF(NOT(_EngineCycles!A177&lt;&gt;""),"",IF(NOT($R177="OK"),"",_EngineCycles!S177))</f>
        <v/>
      </c>
      <c r="Q177" s="25" t="str">
        <f>IF(_EngineCycles!A177="","",IF($R177&lt;&gt;"OK","Review",IF(_EngineCycles!E177="Closed","Closed","Open")))</f>
        <v/>
      </c>
      <c r="R177" s="18" t="str">
        <f>IF(_EngineCycles!A177="","",IF(COUNTIFS(Trades!$B$9:$B$508,_EngineCycles!B177,Trades!$C$9:$C$508,"&lt;&gt;"&amp;$B177,Trades!$A$9:$A$508,"&lt;&gt;")&gt;0,"Ticker mismatch",IF(COUNTIFS(Trades!$B$9:$B$508,_EngineCycles!B177,Trades!$D$9:$D$508,"&lt;&gt;"&amp;$C177,Trades!$A$9:$A$508,"&lt;&gt;")&gt;0,"Currency mismatch",IF(COUNTIFS(Trades!$B$9:$B$508,_EngineCycles!B177,Trades!$S$9:$S$508,"&lt;&gt;OK",Trades!$A$9:$A$508,"&lt;&gt;")&gt;0,"Check trades","OK"))))</f>
        <v/>
      </c>
      <c r="S177" s="29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P$9:$P$508),0),"")))</f>
        <v/>
      </c>
      <c r="T177" s="26" t="str">
        <f>IF(NOT(_EngineCycles!A177&lt;&gt;""),"",IF(NOT($R177="OK"),"",_EngineCycles!W177))</f>
        <v/>
      </c>
      <c r="U177" s="16"/>
      <c r="V177" s="16"/>
      <c r="W177" s="16"/>
      <c r="X177" s="16"/>
      <c r="Y177" t="str">
        <f>IF(AND($C177=Overview!$P$2,$Q177="Open",$R177="OK"),COUNTIFS($C$9:$C177,Overview!$P$2,$Q$9:$Q177,"Open",$R$9:$R177,"OK"),"")</f>
        <v/>
      </c>
    </row>
    <row r="178" spans="1:25" ht="23.1" customHeight="1" x14ac:dyDescent="0.25">
      <c r="A178" s="24" t="str">
        <f>IF(_EngineCycles!A178="","",_EngineCycles!B178&amp;IF(_EngineCycles!C178&gt;1," / "&amp;_EngineCycles!C178,""))</f>
        <v/>
      </c>
      <c r="B178" s="24" t="str">
        <f>IF(_EngineCycles!A178="","",_EngineCycles!D178)</f>
        <v/>
      </c>
      <c r="C178" s="24" t="str">
        <f>IF(_EngineCycles!A178="","",IFERROR(INDEX(Trades!$D$9:$D$508,_EngineCycles!AG178-8),""))</f>
        <v/>
      </c>
      <c r="D178" s="30" t="str">
        <f>IF(_EngineCycles!A178="","",IF($R178&lt;&gt;"OK","Review",IF(_EngineCycles!E178="Closed","Closed",IF(_EngineCycles!P178&gt;0,IF(IFERROR(LOOKUP(2,1/((_EngineTrades!$AU$9:$AU$508=_EngineCycles!A178)),_EngineTrades!$AQ$9:$AQ$508),0)&gt;0,"Covered Call","Shares Held"),"Cash-Secured Put"))))</f>
        <v/>
      </c>
      <c r="E178" s="31" t="str">
        <f>IF(NOT(_EngineCycles!A178&lt;&gt;""),"",IF(NOT($R178="OK"),"",_EngineCycles!P178))</f>
        <v/>
      </c>
      <c r="F178" s="23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AH$9:$AH$508),0),"")))</f>
        <v/>
      </c>
      <c r="G178" s="23" t="str">
        <f>IF(NOT(_EngineCycles!A178&lt;&gt;""),"",IF(NOT($R178="OK"),"",_EngineCycles!Q178))</f>
        <v/>
      </c>
      <c r="H178" s="32" t="str">
        <f>IF(NOT(_EngineCycles!A178&lt;&gt;""),"",IF(NOT($R178="OK"),"",_EngineCycles!J178))</f>
        <v/>
      </c>
      <c r="I178" s="23" t="str">
        <f>IF(NOT(_EngineCycles!A178&lt;&gt;""),"",IF(NOT($R178="OK"),"",_EngineCycles!I178))</f>
        <v/>
      </c>
      <c r="J178" s="23" t="str">
        <f>IF(NOT(_EngineCycles!A178&lt;&gt;""),"",IF(NOT($R178="OK"),"",_EngineCycles!L178))</f>
        <v/>
      </c>
      <c r="K178" s="23" t="str">
        <f>IF(NOT(_EngineCycles!A178&lt;&gt;""),"",IF(NOT($R178="OK"),"",_EngineCycles!U178))</f>
        <v/>
      </c>
      <c r="L178" s="32" t="str">
        <f>IF(NOT(_EngineCycles!A178&lt;&gt;""),"",IF(NOT($R178="OK"),"",_EngineCycles!AE178))</f>
        <v/>
      </c>
      <c r="M178" s="23" t="str">
        <f>IF(NOT(_EngineCycles!A178&lt;&gt;""),"",IF(NOT($R178="OK"),"",_EngineCycles!O178))</f>
        <v/>
      </c>
      <c r="N178" s="32" t="str">
        <f>IF(NOT(_EngineCycles!A178&lt;&gt;""),"",IF(NOT($R178="OK"),"",IF(_EngineCycles!E178="Closed",_EngineCycles!O178,"")))</f>
        <v/>
      </c>
      <c r="O178" s="33" t="str">
        <f>IF(NOT(_EngineCycles!A178&lt;&gt;""),"",IF(NOT($R178="OK"),"",_EngineCycles!Y178))</f>
        <v/>
      </c>
      <c r="P178" s="23" t="str">
        <f>IF(NOT(_EngineCycles!A178&lt;&gt;""),"",IF(NOT($R178="OK"),"",_EngineCycles!S178))</f>
        <v/>
      </c>
      <c r="Q178" s="30" t="str">
        <f>IF(_EngineCycles!A178="","",IF($R178&lt;&gt;"OK","Review",IF(_EngineCycles!E178="Closed","Closed","Open")))</f>
        <v/>
      </c>
      <c r="R178" s="24" t="str">
        <f>IF(_EngineCycles!A178="","",IF(COUNTIFS(Trades!$B$9:$B$508,_EngineCycles!B178,Trades!$C$9:$C$508,"&lt;&gt;"&amp;$B178,Trades!$A$9:$A$508,"&lt;&gt;")&gt;0,"Ticker mismatch",IF(COUNTIFS(Trades!$B$9:$B$508,_EngineCycles!B178,Trades!$D$9:$D$508,"&lt;&gt;"&amp;$C178,Trades!$A$9:$A$508,"&lt;&gt;")&gt;0,"Currency mismatch",IF(COUNTIFS(Trades!$B$9:$B$508,_EngineCycles!B178,Trades!$S$9:$S$508,"&lt;&gt;OK",Trades!$A$9:$A$508,"&lt;&gt;")&gt;0,"Check trades","OK"))))</f>
        <v/>
      </c>
      <c r="S178" s="34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P$9:$P$508),0),"")))</f>
        <v/>
      </c>
      <c r="T178" s="31" t="str">
        <f>IF(NOT(_EngineCycles!A178&lt;&gt;""),"",IF(NOT($R178="OK"),"",_EngineCycles!W178))</f>
        <v/>
      </c>
      <c r="U178" s="22"/>
      <c r="V178" s="22"/>
      <c r="W178" s="22"/>
      <c r="X178" s="22"/>
      <c r="Y178" t="str">
        <f>IF(AND($C178=Overview!$P$2,$Q178="Open",$R178="OK"),COUNTIFS($C$9:$C178,Overview!$P$2,$Q$9:$Q178,"Open",$R$9:$R178,"OK"),"")</f>
        <v/>
      </c>
    </row>
    <row r="179" spans="1:25" ht="23.1" customHeight="1" x14ac:dyDescent="0.25">
      <c r="A179" s="18" t="str">
        <f>IF(_EngineCycles!A179="","",_EngineCycles!B179&amp;IF(_EngineCycles!C179&gt;1," / "&amp;_EngineCycles!C179,""))</f>
        <v/>
      </c>
      <c r="B179" s="18" t="str">
        <f>IF(_EngineCycles!A179="","",_EngineCycles!D179)</f>
        <v/>
      </c>
      <c r="C179" s="18" t="str">
        <f>IF(_EngineCycles!A179="","",IFERROR(INDEX(Trades!$D$9:$D$508,_EngineCycles!AG179-8),""))</f>
        <v/>
      </c>
      <c r="D179" s="25" t="str">
        <f>IF(_EngineCycles!A179="","",IF($R179&lt;&gt;"OK","Review",IF(_EngineCycles!E179="Closed","Closed",IF(_EngineCycles!P179&gt;0,IF(IFERROR(LOOKUP(2,1/((_EngineTrades!$AU$9:$AU$508=_EngineCycles!A179)),_EngineTrades!$AQ$9:$AQ$508),0)&gt;0,"Covered Call","Shares Held"),"Cash-Secured Put"))))</f>
        <v/>
      </c>
      <c r="E179" s="26" t="str">
        <f>IF(NOT(_EngineCycles!A179&lt;&gt;""),"",IF(NOT($R179="OK"),"",_EngineCycles!P179))</f>
        <v/>
      </c>
      <c r="F179" s="17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AH$9:$AH$508),0),"")))</f>
        <v/>
      </c>
      <c r="G179" s="17" t="str">
        <f>IF(NOT(_EngineCycles!A179&lt;&gt;""),"",IF(NOT($R179="OK"),"",_EngineCycles!Q179))</f>
        <v/>
      </c>
      <c r="H179" s="27" t="str">
        <f>IF(NOT(_EngineCycles!A179&lt;&gt;""),"",IF(NOT($R179="OK"),"",_EngineCycles!J179))</f>
        <v/>
      </c>
      <c r="I179" s="17" t="str">
        <f>IF(NOT(_EngineCycles!A179&lt;&gt;""),"",IF(NOT($R179="OK"),"",_EngineCycles!I179))</f>
        <v/>
      </c>
      <c r="J179" s="17" t="str">
        <f>IF(NOT(_EngineCycles!A179&lt;&gt;""),"",IF(NOT($R179="OK"),"",_EngineCycles!L179))</f>
        <v/>
      </c>
      <c r="K179" s="17" t="str">
        <f>IF(NOT(_EngineCycles!A179&lt;&gt;""),"",IF(NOT($R179="OK"),"",_EngineCycles!U179))</f>
        <v/>
      </c>
      <c r="L179" s="27" t="str">
        <f>IF(NOT(_EngineCycles!A179&lt;&gt;""),"",IF(NOT($R179="OK"),"",_EngineCycles!AE179))</f>
        <v/>
      </c>
      <c r="M179" s="17" t="str">
        <f>IF(NOT(_EngineCycles!A179&lt;&gt;""),"",IF(NOT($R179="OK"),"",_EngineCycles!O179))</f>
        <v/>
      </c>
      <c r="N179" s="27" t="str">
        <f>IF(NOT(_EngineCycles!A179&lt;&gt;""),"",IF(NOT($R179="OK"),"",IF(_EngineCycles!E179="Closed",_EngineCycles!O179,"")))</f>
        <v/>
      </c>
      <c r="O179" s="28" t="str">
        <f>IF(NOT(_EngineCycles!A179&lt;&gt;""),"",IF(NOT($R179="OK"),"",_EngineCycles!Y179))</f>
        <v/>
      </c>
      <c r="P179" s="17" t="str">
        <f>IF(NOT(_EngineCycles!A179&lt;&gt;""),"",IF(NOT($R179="OK"),"",_EngineCycles!S179))</f>
        <v/>
      </c>
      <c r="Q179" s="25" t="str">
        <f>IF(_EngineCycles!A179="","",IF($R179&lt;&gt;"OK","Review",IF(_EngineCycles!E179="Closed","Closed","Open")))</f>
        <v/>
      </c>
      <c r="R179" s="18" t="str">
        <f>IF(_EngineCycles!A179="","",IF(COUNTIFS(Trades!$B$9:$B$508,_EngineCycles!B179,Trades!$C$9:$C$508,"&lt;&gt;"&amp;$B179,Trades!$A$9:$A$508,"&lt;&gt;")&gt;0,"Ticker mismatch",IF(COUNTIFS(Trades!$B$9:$B$508,_EngineCycles!B179,Trades!$D$9:$D$508,"&lt;&gt;"&amp;$C179,Trades!$A$9:$A$508,"&lt;&gt;")&gt;0,"Currency mismatch",IF(COUNTIFS(Trades!$B$9:$B$508,_EngineCycles!B179,Trades!$S$9:$S$508,"&lt;&gt;OK",Trades!$A$9:$A$508,"&lt;&gt;")&gt;0,"Check trades","OK"))))</f>
        <v/>
      </c>
      <c r="S179" s="29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P$9:$P$508),0),"")))</f>
        <v/>
      </c>
      <c r="T179" s="26" t="str">
        <f>IF(NOT(_EngineCycles!A179&lt;&gt;""),"",IF(NOT($R179="OK"),"",_EngineCycles!W179))</f>
        <v/>
      </c>
      <c r="U179" s="16"/>
      <c r="V179" s="16"/>
      <c r="W179" s="16"/>
      <c r="X179" s="16"/>
      <c r="Y179" t="str">
        <f>IF(AND($C179=Overview!$P$2,$Q179="Open",$R179="OK"),COUNTIFS($C$9:$C179,Overview!$P$2,$Q$9:$Q179,"Open",$R$9:$R179,"OK"),"")</f>
        <v/>
      </c>
    </row>
    <row r="180" spans="1:25" ht="23.1" customHeight="1" x14ac:dyDescent="0.25">
      <c r="A180" s="24" t="str">
        <f>IF(_EngineCycles!A180="","",_EngineCycles!B180&amp;IF(_EngineCycles!C180&gt;1," / "&amp;_EngineCycles!C180,""))</f>
        <v/>
      </c>
      <c r="B180" s="24" t="str">
        <f>IF(_EngineCycles!A180="","",_EngineCycles!D180)</f>
        <v/>
      </c>
      <c r="C180" s="24" t="str">
        <f>IF(_EngineCycles!A180="","",IFERROR(INDEX(Trades!$D$9:$D$508,_EngineCycles!AG180-8),""))</f>
        <v/>
      </c>
      <c r="D180" s="30" t="str">
        <f>IF(_EngineCycles!A180="","",IF($R180&lt;&gt;"OK","Review",IF(_EngineCycles!E180="Closed","Closed",IF(_EngineCycles!P180&gt;0,IF(IFERROR(LOOKUP(2,1/((_EngineTrades!$AU$9:$AU$508=_EngineCycles!A180)),_EngineTrades!$AQ$9:$AQ$508),0)&gt;0,"Covered Call","Shares Held"),"Cash-Secured Put"))))</f>
        <v/>
      </c>
      <c r="E180" s="31" t="str">
        <f>IF(NOT(_EngineCycles!A180&lt;&gt;""),"",IF(NOT($R180="OK"),"",_EngineCycles!P180))</f>
        <v/>
      </c>
      <c r="F180" s="23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AH$9:$AH$508),0),"")))</f>
        <v/>
      </c>
      <c r="G180" s="23" t="str">
        <f>IF(NOT(_EngineCycles!A180&lt;&gt;""),"",IF(NOT($R180="OK"),"",_EngineCycles!Q180))</f>
        <v/>
      </c>
      <c r="H180" s="32" t="str">
        <f>IF(NOT(_EngineCycles!A180&lt;&gt;""),"",IF(NOT($R180="OK"),"",_EngineCycles!J180))</f>
        <v/>
      </c>
      <c r="I180" s="23" t="str">
        <f>IF(NOT(_EngineCycles!A180&lt;&gt;""),"",IF(NOT($R180="OK"),"",_EngineCycles!I180))</f>
        <v/>
      </c>
      <c r="J180" s="23" t="str">
        <f>IF(NOT(_EngineCycles!A180&lt;&gt;""),"",IF(NOT($R180="OK"),"",_EngineCycles!L180))</f>
        <v/>
      </c>
      <c r="K180" s="23" t="str">
        <f>IF(NOT(_EngineCycles!A180&lt;&gt;""),"",IF(NOT($R180="OK"),"",_EngineCycles!U180))</f>
        <v/>
      </c>
      <c r="L180" s="32" t="str">
        <f>IF(NOT(_EngineCycles!A180&lt;&gt;""),"",IF(NOT($R180="OK"),"",_EngineCycles!AE180))</f>
        <v/>
      </c>
      <c r="M180" s="23" t="str">
        <f>IF(NOT(_EngineCycles!A180&lt;&gt;""),"",IF(NOT($R180="OK"),"",_EngineCycles!O180))</f>
        <v/>
      </c>
      <c r="N180" s="32" t="str">
        <f>IF(NOT(_EngineCycles!A180&lt;&gt;""),"",IF(NOT($R180="OK"),"",IF(_EngineCycles!E180="Closed",_EngineCycles!O180,"")))</f>
        <v/>
      </c>
      <c r="O180" s="33" t="str">
        <f>IF(NOT(_EngineCycles!A180&lt;&gt;""),"",IF(NOT($R180="OK"),"",_EngineCycles!Y180))</f>
        <v/>
      </c>
      <c r="P180" s="23" t="str">
        <f>IF(NOT(_EngineCycles!A180&lt;&gt;""),"",IF(NOT($R180="OK"),"",_EngineCycles!S180))</f>
        <v/>
      </c>
      <c r="Q180" s="30" t="str">
        <f>IF(_EngineCycles!A180="","",IF($R180&lt;&gt;"OK","Review",IF(_EngineCycles!E180="Closed","Closed","Open")))</f>
        <v/>
      </c>
      <c r="R180" s="24" t="str">
        <f>IF(_EngineCycles!A180="","",IF(COUNTIFS(Trades!$B$9:$B$508,_EngineCycles!B180,Trades!$C$9:$C$508,"&lt;&gt;"&amp;$B180,Trades!$A$9:$A$508,"&lt;&gt;")&gt;0,"Ticker mismatch",IF(COUNTIFS(Trades!$B$9:$B$508,_EngineCycles!B180,Trades!$D$9:$D$508,"&lt;&gt;"&amp;$C180,Trades!$A$9:$A$508,"&lt;&gt;")&gt;0,"Currency mismatch",IF(COUNTIFS(Trades!$B$9:$B$508,_EngineCycles!B180,Trades!$S$9:$S$508,"&lt;&gt;OK",Trades!$A$9:$A$508,"&lt;&gt;")&gt;0,"Check trades","OK"))))</f>
        <v/>
      </c>
      <c r="S180" s="34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P$9:$P$508),0),"")))</f>
        <v/>
      </c>
      <c r="T180" s="31" t="str">
        <f>IF(NOT(_EngineCycles!A180&lt;&gt;""),"",IF(NOT($R180="OK"),"",_EngineCycles!W180))</f>
        <v/>
      </c>
      <c r="U180" s="22"/>
      <c r="V180" s="22"/>
      <c r="W180" s="22"/>
      <c r="X180" s="22"/>
      <c r="Y180" t="str">
        <f>IF(AND($C180=Overview!$P$2,$Q180="Open",$R180="OK"),COUNTIFS($C$9:$C180,Overview!$P$2,$Q$9:$Q180,"Open",$R$9:$R180,"OK"),"")</f>
        <v/>
      </c>
    </row>
    <row r="181" spans="1:25" ht="23.1" customHeight="1" x14ac:dyDescent="0.25">
      <c r="A181" s="18" t="str">
        <f>IF(_EngineCycles!A181="","",_EngineCycles!B181&amp;IF(_EngineCycles!C181&gt;1," / "&amp;_EngineCycles!C181,""))</f>
        <v/>
      </c>
      <c r="B181" s="18" t="str">
        <f>IF(_EngineCycles!A181="","",_EngineCycles!D181)</f>
        <v/>
      </c>
      <c r="C181" s="18" t="str">
        <f>IF(_EngineCycles!A181="","",IFERROR(INDEX(Trades!$D$9:$D$508,_EngineCycles!AG181-8),""))</f>
        <v/>
      </c>
      <c r="D181" s="25" t="str">
        <f>IF(_EngineCycles!A181="","",IF($R181&lt;&gt;"OK","Review",IF(_EngineCycles!E181="Closed","Closed",IF(_EngineCycles!P181&gt;0,IF(IFERROR(LOOKUP(2,1/((_EngineTrades!$AU$9:$AU$508=_EngineCycles!A181)),_EngineTrades!$AQ$9:$AQ$508),0)&gt;0,"Covered Call","Shares Held"),"Cash-Secured Put"))))</f>
        <v/>
      </c>
      <c r="E181" s="26" t="str">
        <f>IF(NOT(_EngineCycles!A181&lt;&gt;""),"",IF(NOT($R181="OK"),"",_EngineCycles!P181))</f>
        <v/>
      </c>
      <c r="F181" s="17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AH$9:$AH$508),0),"")))</f>
        <v/>
      </c>
      <c r="G181" s="17" t="str">
        <f>IF(NOT(_EngineCycles!A181&lt;&gt;""),"",IF(NOT($R181="OK"),"",_EngineCycles!Q181))</f>
        <v/>
      </c>
      <c r="H181" s="27" t="str">
        <f>IF(NOT(_EngineCycles!A181&lt;&gt;""),"",IF(NOT($R181="OK"),"",_EngineCycles!J181))</f>
        <v/>
      </c>
      <c r="I181" s="17" t="str">
        <f>IF(NOT(_EngineCycles!A181&lt;&gt;""),"",IF(NOT($R181="OK"),"",_EngineCycles!I181))</f>
        <v/>
      </c>
      <c r="J181" s="17" t="str">
        <f>IF(NOT(_EngineCycles!A181&lt;&gt;""),"",IF(NOT($R181="OK"),"",_EngineCycles!L181))</f>
        <v/>
      </c>
      <c r="K181" s="17" t="str">
        <f>IF(NOT(_EngineCycles!A181&lt;&gt;""),"",IF(NOT($R181="OK"),"",_EngineCycles!U181))</f>
        <v/>
      </c>
      <c r="L181" s="27" t="str">
        <f>IF(NOT(_EngineCycles!A181&lt;&gt;""),"",IF(NOT($R181="OK"),"",_EngineCycles!AE181))</f>
        <v/>
      </c>
      <c r="M181" s="17" t="str">
        <f>IF(NOT(_EngineCycles!A181&lt;&gt;""),"",IF(NOT($R181="OK"),"",_EngineCycles!O181))</f>
        <v/>
      </c>
      <c r="N181" s="27" t="str">
        <f>IF(NOT(_EngineCycles!A181&lt;&gt;""),"",IF(NOT($R181="OK"),"",IF(_EngineCycles!E181="Closed",_EngineCycles!O181,"")))</f>
        <v/>
      </c>
      <c r="O181" s="28" t="str">
        <f>IF(NOT(_EngineCycles!A181&lt;&gt;""),"",IF(NOT($R181="OK"),"",_EngineCycles!Y181))</f>
        <v/>
      </c>
      <c r="P181" s="17" t="str">
        <f>IF(NOT(_EngineCycles!A181&lt;&gt;""),"",IF(NOT($R181="OK"),"",_EngineCycles!S181))</f>
        <v/>
      </c>
      <c r="Q181" s="25" t="str">
        <f>IF(_EngineCycles!A181="","",IF($R181&lt;&gt;"OK","Review",IF(_EngineCycles!E181="Closed","Closed","Open")))</f>
        <v/>
      </c>
      <c r="R181" s="18" t="str">
        <f>IF(_EngineCycles!A181="","",IF(COUNTIFS(Trades!$B$9:$B$508,_EngineCycles!B181,Trades!$C$9:$C$508,"&lt;&gt;"&amp;$B181,Trades!$A$9:$A$508,"&lt;&gt;")&gt;0,"Ticker mismatch",IF(COUNTIFS(Trades!$B$9:$B$508,_EngineCycles!B181,Trades!$D$9:$D$508,"&lt;&gt;"&amp;$C181,Trades!$A$9:$A$508,"&lt;&gt;")&gt;0,"Currency mismatch",IF(COUNTIFS(Trades!$B$9:$B$508,_EngineCycles!B181,Trades!$S$9:$S$508,"&lt;&gt;OK",Trades!$A$9:$A$508,"&lt;&gt;")&gt;0,"Check trades","OK"))))</f>
        <v/>
      </c>
      <c r="S181" s="29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P$9:$P$508),0),"")))</f>
        <v/>
      </c>
      <c r="T181" s="26" t="str">
        <f>IF(NOT(_EngineCycles!A181&lt;&gt;""),"",IF(NOT($R181="OK"),"",_EngineCycles!W181))</f>
        <v/>
      </c>
      <c r="U181" s="16"/>
      <c r="V181" s="16"/>
      <c r="W181" s="16"/>
      <c r="X181" s="16"/>
      <c r="Y181" t="str">
        <f>IF(AND($C181=Overview!$P$2,$Q181="Open",$R181="OK"),COUNTIFS($C$9:$C181,Overview!$P$2,$Q$9:$Q181,"Open",$R$9:$R181,"OK"),"")</f>
        <v/>
      </c>
    </row>
    <row r="182" spans="1:25" ht="23.1" customHeight="1" x14ac:dyDescent="0.25">
      <c r="A182" s="24" t="str">
        <f>IF(_EngineCycles!A182="","",_EngineCycles!B182&amp;IF(_EngineCycles!C182&gt;1," / "&amp;_EngineCycles!C182,""))</f>
        <v/>
      </c>
      <c r="B182" s="24" t="str">
        <f>IF(_EngineCycles!A182="","",_EngineCycles!D182)</f>
        <v/>
      </c>
      <c r="C182" s="24" t="str">
        <f>IF(_EngineCycles!A182="","",IFERROR(INDEX(Trades!$D$9:$D$508,_EngineCycles!AG182-8),""))</f>
        <v/>
      </c>
      <c r="D182" s="30" t="str">
        <f>IF(_EngineCycles!A182="","",IF($R182&lt;&gt;"OK","Review",IF(_EngineCycles!E182="Closed","Closed",IF(_EngineCycles!P182&gt;0,IF(IFERROR(LOOKUP(2,1/((_EngineTrades!$AU$9:$AU$508=_EngineCycles!A182)),_EngineTrades!$AQ$9:$AQ$508),0)&gt;0,"Covered Call","Shares Held"),"Cash-Secured Put"))))</f>
        <v/>
      </c>
      <c r="E182" s="31" t="str">
        <f>IF(NOT(_EngineCycles!A182&lt;&gt;""),"",IF(NOT($R182="OK"),"",_EngineCycles!P182))</f>
        <v/>
      </c>
      <c r="F182" s="23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AH$9:$AH$508),0),"")))</f>
        <v/>
      </c>
      <c r="G182" s="23" t="str">
        <f>IF(NOT(_EngineCycles!A182&lt;&gt;""),"",IF(NOT($R182="OK"),"",_EngineCycles!Q182))</f>
        <v/>
      </c>
      <c r="H182" s="32" t="str">
        <f>IF(NOT(_EngineCycles!A182&lt;&gt;""),"",IF(NOT($R182="OK"),"",_EngineCycles!J182))</f>
        <v/>
      </c>
      <c r="I182" s="23" t="str">
        <f>IF(NOT(_EngineCycles!A182&lt;&gt;""),"",IF(NOT($R182="OK"),"",_EngineCycles!I182))</f>
        <v/>
      </c>
      <c r="J182" s="23" t="str">
        <f>IF(NOT(_EngineCycles!A182&lt;&gt;""),"",IF(NOT($R182="OK"),"",_EngineCycles!L182))</f>
        <v/>
      </c>
      <c r="K182" s="23" t="str">
        <f>IF(NOT(_EngineCycles!A182&lt;&gt;""),"",IF(NOT($R182="OK"),"",_EngineCycles!U182))</f>
        <v/>
      </c>
      <c r="L182" s="32" t="str">
        <f>IF(NOT(_EngineCycles!A182&lt;&gt;""),"",IF(NOT($R182="OK"),"",_EngineCycles!AE182))</f>
        <v/>
      </c>
      <c r="M182" s="23" t="str">
        <f>IF(NOT(_EngineCycles!A182&lt;&gt;""),"",IF(NOT($R182="OK"),"",_EngineCycles!O182))</f>
        <v/>
      </c>
      <c r="N182" s="32" t="str">
        <f>IF(NOT(_EngineCycles!A182&lt;&gt;""),"",IF(NOT($R182="OK"),"",IF(_EngineCycles!E182="Closed",_EngineCycles!O182,"")))</f>
        <v/>
      </c>
      <c r="O182" s="33" t="str">
        <f>IF(NOT(_EngineCycles!A182&lt;&gt;""),"",IF(NOT($R182="OK"),"",_EngineCycles!Y182))</f>
        <v/>
      </c>
      <c r="P182" s="23" t="str">
        <f>IF(NOT(_EngineCycles!A182&lt;&gt;""),"",IF(NOT($R182="OK"),"",_EngineCycles!S182))</f>
        <v/>
      </c>
      <c r="Q182" s="30" t="str">
        <f>IF(_EngineCycles!A182="","",IF($R182&lt;&gt;"OK","Review",IF(_EngineCycles!E182="Closed","Closed","Open")))</f>
        <v/>
      </c>
      <c r="R182" s="24" t="str">
        <f>IF(_EngineCycles!A182="","",IF(COUNTIFS(Trades!$B$9:$B$508,_EngineCycles!B182,Trades!$C$9:$C$508,"&lt;&gt;"&amp;$B182,Trades!$A$9:$A$508,"&lt;&gt;")&gt;0,"Ticker mismatch",IF(COUNTIFS(Trades!$B$9:$B$508,_EngineCycles!B182,Trades!$D$9:$D$508,"&lt;&gt;"&amp;$C182,Trades!$A$9:$A$508,"&lt;&gt;")&gt;0,"Currency mismatch",IF(COUNTIFS(Trades!$B$9:$B$508,_EngineCycles!B182,Trades!$S$9:$S$508,"&lt;&gt;OK",Trades!$A$9:$A$508,"&lt;&gt;")&gt;0,"Check trades","OK"))))</f>
        <v/>
      </c>
      <c r="S182" s="34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P$9:$P$508),0),"")))</f>
        <v/>
      </c>
      <c r="T182" s="31" t="str">
        <f>IF(NOT(_EngineCycles!A182&lt;&gt;""),"",IF(NOT($R182="OK"),"",_EngineCycles!W182))</f>
        <v/>
      </c>
      <c r="U182" s="22"/>
      <c r="V182" s="22"/>
      <c r="W182" s="22"/>
      <c r="X182" s="22"/>
      <c r="Y182" t="str">
        <f>IF(AND($C182=Overview!$P$2,$Q182="Open",$R182="OK"),COUNTIFS($C$9:$C182,Overview!$P$2,$Q$9:$Q182,"Open",$R$9:$R182,"OK"),"")</f>
        <v/>
      </c>
    </row>
    <row r="183" spans="1:25" ht="23.1" customHeight="1" x14ac:dyDescent="0.25">
      <c r="A183" s="18" t="str">
        <f>IF(_EngineCycles!A183="","",_EngineCycles!B183&amp;IF(_EngineCycles!C183&gt;1," / "&amp;_EngineCycles!C183,""))</f>
        <v/>
      </c>
      <c r="B183" s="18" t="str">
        <f>IF(_EngineCycles!A183="","",_EngineCycles!D183)</f>
        <v/>
      </c>
      <c r="C183" s="18" t="str">
        <f>IF(_EngineCycles!A183="","",IFERROR(INDEX(Trades!$D$9:$D$508,_EngineCycles!AG183-8),""))</f>
        <v/>
      </c>
      <c r="D183" s="25" t="str">
        <f>IF(_EngineCycles!A183="","",IF($R183&lt;&gt;"OK","Review",IF(_EngineCycles!E183="Closed","Closed",IF(_EngineCycles!P183&gt;0,IF(IFERROR(LOOKUP(2,1/((_EngineTrades!$AU$9:$AU$508=_EngineCycles!A183)),_EngineTrades!$AQ$9:$AQ$508),0)&gt;0,"Covered Call","Shares Held"),"Cash-Secured Put"))))</f>
        <v/>
      </c>
      <c r="E183" s="26" t="str">
        <f>IF(NOT(_EngineCycles!A183&lt;&gt;""),"",IF(NOT($R183="OK"),"",_EngineCycles!P183))</f>
        <v/>
      </c>
      <c r="F183" s="17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AH$9:$AH$508),0),"")))</f>
        <v/>
      </c>
      <c r="G183" s="17" t="str">
        <f>IF(NOT(_EngineCycles!A183&lt;&gt;""),"",IF(NOT($R183="OK"),"",_EngineCycles!Q183))</f>
        <v/>
      </c>
      <c r="H183" s="27" t="str">
        <f>IF(NOT(_EngineCycles!A183&lt;&gt;""),"",IF(NOT($R183="OK"),"",_EngineCycles!J183))</f>
        <v/>
      </c>
      <c r="I183" s="17" t="str">
        <f>IF(NOT(_EngineCycles!A183&lt;&gt;""),"",IF(NOT($R183="OK"),"",_EngineCycles!I183))</f>
        <v/>
      </c>
      <c r="J183" s="17" t="str">
        <f>IF(NOT(_EngineCycles!A183&lt;&gt;""),"",IF(NOT($R183="OK"),"",_EngineCycles!L183))</f>
        <v/>
      </c>
      <c r="K183" s="17" t="str">
        <f>IF(NOT(_EngineCycles!A183&lt;&gt;""),"",IF(NOT($R183="OK"),"",_EngineCycles!U183))</f>
        <v/>
      </c>
      <c r="L183" s="27" t="str">
        <f>IF(NOT(_EngineCycles!A183&lt;&gt;""),"",IF(NOT($R183="OK"),"",_EngineCycles!AE183))</f>
        <v/>
      </c>
      <c r="M183" s="17" t="str">
        <f>IF(NOT(_EngineCycles!A183&lt;&gt;""),"",IF(NOT($R183="OK"),"",_EngineCycles!O183))</f>
        <v/>
      </c>
      <c r="N183" s="27" t="str">
        <f>IF(NOT(_EngineCycles!A183&lt;&gt;""),"",IF(NOT($R183="OK"),"",IF(_EngineCycles!E183="Closed",_EngineCycles!O183,"")))</f>
        <v/>
      </c>
      <c r="O183" s="28" t="str">
        <f>IF(NOT(_EngineCycles!A183&lt;&gt;""),"",IF(NOT($R183="OK"),"",_EngineCycles!Y183))</f>
        <v/>
      </c>
      <c r="P183" s="17" t="str">
        <f>IF(NOT(_EngineCycles!A183&lt;&gt;""),"",IF(NOT($R183="OK"),"",_EngineCycles!S183))</f>
        <v/>
      </c>
      <c r="Q183" s="25" t="str">
        <f>IF(_EngineCycles!A183="","",IF($R183&lt;&gt;"OK","Review",IF(_EngineCycles!E183="Closed","Closed","Open")))</f>
        <v/>
      </c>
      <c r="R183" s="18" t="str">
        <f>IF(_EngineCycles!A183="","",IF(COUNTIFS(Trades!$B$9:$B$508,_EngineCycles!B183,Trades!$C$9:$C$508,"&lt;&gt;"&amp;$B183,Trades!$A$9:$A$508,"&lt;&gt;")&gt;0,"Ticker mismatch",IF(COUNTIFS(Trades!$B$9:$B$508,_EngineCycles!B183,Trades!$D$9:$D$508,"&lt;&gt;"&amp;$C183,Trades!$A$9:$A$508,"&lt;&gt;")&gt;0,"Currency mismatch",IF(COUNTIFS(Trades!$B$9:$B$508,_EngineCycles!B183,Trades!$S$9:$S$508,"&lt;&gt;OK",Trades!$A$9:$A$508,"&lt;&gt;")&gt;0,"Check trades","OK"))))</f>
        <v/>
      </c>
      <c r="S183" s="29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P$9:$P$508),0),"")))</f>
        <v/>
      </c>
      <c r="T183" s="26" t="str">
        <f>IF(NOT(_EngineCycles!A183&lt;&gt;""),"",IF(NOT($R183="OK"),"",_EngineCycles!W183))</f>
        <v/>
      </c>
      <c r="U183" s="16"/>
      <c r="V183" s="16"/>
      <c r="W183" s="16"/>
      <c r="X183" s="16"/>
      <c r="Y183" t="str">
        <f>IF(AND($C183=Overview!$P$2,$Q183="Open",$R183="OK"),COUNTIFS($C$9:$C183,Overview!$P$2,$Q$9:$Q183,"Open",$R$9:$R183,"OK"),"")</f>
        <v/>
      </c>
    </row>
    <row r="184" spans="1:25" ht="23.1" customHeight="1" x14ac:dyDescent="0.25">
      <c r="A184" s="24" t="str">
        <f>IF(_EngineCycles!A184="","",_EngineCycles!B184&amp;IF(_EngineCycles!C184&gt;1," / "&amp;_EngineCycles!C184,""))</f>
        <v/>
      </c>
      <c r="B184" s="24" t="str">
        <f>IF(_EngineCycles!A184="","",_EngineCycles!D184)</f>
        <v/>
      </c>
      <c r="C184" s="24" t="str">
        <f>IF(_EngineCycles!A184="","",IFERROR(INDEX(Trades!$D$9:$D$508,_EngineCycles!AG184-8),""))</f>
        <v/>
      </c>
      <c r="D184" s="30" t="str">
        <f>IF(_EngineCycles!A184="","",IF($R184&lt;&gt;"OK","Review",IF(_EngineCycles!E184="Closed","Closed",IF(_EngineCycles!P184&gt;0,IF(IFERROR(LOOKUP(2,1/((_EngineTrades!$AU$9:$AU$508=_EngineCycles!A184)),_EngineTrades!$AQ$9:$AQ$508),0)&gt;0,"Covered Call","Shares Held"),"Cash-Secured Put"))))</f>
        <v/>
      </c>
      <c r="E184" s="31" t="str">
        <f>IF(NOT(_EngineCycles!A184&lt;&gt;""),"",IF(NOT($R184="OK"),"",_EngineCycles!P184))</f>
        <v/>
      </c>
      <c r="F184" s="23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AH$9:$AH$508),0),"")))</f>
        <v/>
      </c>
      <c r="G184" s="23" t="str">
        <f>IF(NOT(_EngineCycles!A184&lt;&gt;""),"",IF(NOT($R184="OK"),"",_EngineCycles!Q184))</f>
        <v/>
      </c>
      <c r="H184" s="32" t="str">
        <f>IF(NOT(_EngineCycles!A184&lt;&gt;""),"",IF(NOT($R184="OK"),"",_EngineCycles!J184))</f>
        <v/>
      </c>
      <c r="I184" s="23" t="str">
        <f>IF(NOT(_EngineCycles!A184&lt;&gt;""),"",IF(NOT($R184="OK"),"",_EngineCycles!I184))</f>
        <v/>
      </c>
      <c r="J184" s="23" t="str">
        <f>IF(NOT(_EngineCycles!A184&lt;&gt;""),"",IF(NOT($R184="OK"),"",_EngineCycles!L184))</f>
        <v/>
      </c>
      <c r="K184" s="23" t="str">
        <f>IF(NOT(_EngineCycles!A184&lt;&gt;""),"",IF(NOT($R184="OK"),"",_EngineCycles!U184))</f>
        <v/>
      </c>
      <c r="L184" s="32" t="str">
        <f>IF(NOT(_EngineCycles!A184&lt;&gt;""),"",IF(NOT($R184="OK"),"",_EngineCycles!AE184))</f>
        <v/>
      </c>
      <c r="M184" s="23" t="str">
        <f>IF(NOT(_EngineCycles!A184&lt;&gt;""),"",IF(NOT($R184="OK"),"",_EngineCycles!O184))</f>
        <v/>
      </c>
      <c r="N184" s="32" t="str">
        <f>IF(NOT(_EngineCycles!A184&lt;&gt;""),"",IF(NOT($R184="OK"),"",IF(_EngineCycles!E184="Closed",_EngineCycles!O184,"")))</f>
        <v/>
      </c>
      <c r="O184" s="33" t="str">
        <f>IF(NOT(_EngineCycles!A184&lt;&gt;""),"",IF(NOT($R184="OK"),"",_EngineCycles!Y184))</f>
        <v/>
      </c>
      <c r="P184" s="23" t="str">
        <f>IF(NOT(_EngineCycles!A184&lt;&gt;""),"",IF(NOT($R184="OK"),"",_EngineCycles!S184))</f>
        <v/>
      </c>
      <c r="Q184" s="30" t="str">
        <f>IF(_EngineCycles!A184="","",IF($R184&lt;&gt;"OK","Review",IF(_EngineCycles!E184="Closed","Closed","Open")))</f>
        <v/>
      </c>
      <c r="R184" s="24" t="str">
        <f>IF(_EngineCycles!A184="","",IF(COUNTIFS(Trades!$B$9:$B$508,_EngineCycles!B184,Trades!$C$9:$C$508,"&lt;&gt;"&amp;$B184,Trades!$A$9:$A$508,"&lt;&gt;")&gt;0,"Ticker mismatch",IF(COUNTIFS(Trades!$B$9:$B$508,_EngineCycles!B184,Trades!$D$9:$D$508,"&lt;&gt;"&amp;$C184,Trades!$A$9:$A$508,"&lt;&gt;")&gt;0,"Currency mismatch",IF(COUNTIFS(Trades!$B$9:$B$508,_EngineCycles!B184,Trades!$S$9:$S$508,"&lt;&gt;OK",Trades!$A$9:$A$508,"&lt;&gt;")&gt;0,"Check trades","OK"))))</f>
        <v/>
      </c>
      <c r="S184" s="34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P$9:$P$508),0),"")))</f>
        <v/>
      </c>
      <c r="T184" s="31" t="str">
        <f>IF(NOT(_EngineCycles!A184&lt;&gt;""),"",IF(NOT($R184="OK"),"",_EngineCycles!W184))</f>
        <v/>
      </c>
      <c r="U184" s="22"/>
      <c r="V184" s="22"/>
      <c r="W184" s="22"/>
      <c r="X184" s="22"/>
      <c r="Y184" t="str">
        <f>IF(AND($C184=Overview!$P$2,$Q184="Open",$R184="OK"),COUNTIFS($C$9:$C184,Overview!$P$2,$Q$9:$Q184,"Open",$R$9:$R184,"OK"),"")</f>
        <v/>
      </c>
    </row>
    <row r="185" spans="1:25" ht="23.1" customHeight="1" x14ac:dyDescent="0.25">
      <c r="A185" s="18" t="str">
        <f>IF(_EngineCycles!A185="","",_EngineCycles!B185&amp;IF(_EngineCycles!C185&gt;1," / "&amp;_EngineCycles!C185,""))</f>
        <v/>
      </c>
      <c r="B185" s="18" t="str">
        <f>IF(_EngineCycles!A185="","",_EngineCycles!D185)</f>
        <v/>
      </c>
      <c r="C185" s="18" t="str">
        <f>IF(_EngineCycles!A185="","",IFERROR(INDEX(Trades!$D$9:$D$508,_EngineCycles!AG185-8),""))</f>
        <v/>
      </c>
      <c r="D185" s="25" t="str">
        <f>IF(_EngineCycles!A185="","",IF($R185&lt;&gt;"OK","Review",IF(_EngineCycles!E185="Closed","Closed",IF(_EngineCycles!P185&gt;0,IF(IFERROR(LOOKUP(2,1/((_EngineTrades!$AU$9:$AU$508=_EngineCycles!A185)),_EngineTrades!$AQ$9:$AQ$508),0)&gt;0,"Covered Call","Shares Held"),"Cash-Secured Put"))))</f>
        <v/>
      </c>
      <c r="E185" s="26" t="str">
        <f>IF(NOT(_EngineCycles!A185&lt;&gt;""),"",IF(NOT($R185="OK"),"",_EngineCycles!P185))</f>
        <v/>
      </c>
      <c r="F185" s="17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AH$9:$AH$508),0),"")))</f>
        <v/>
      </c>
      <c r="G185" s="17" t="str">
        <f>IF(NOT(_EngineCycles!A185&lt;&gt;""),"",IF(NOT($R185="OK"),"",_EngineCycles!Q185))</f>
        <v/>
      </c>
      <c r="H185" s="27" t="str">
        <f>IF(NOT(_EngineCycles!A185&lt;&gt;""),"",IF(NOT($R185="OK"),"",_EngineCycles!J185))</f>
        <v/>
      </c>
      <c r="I185" s="17" t="str">
        <f>IF(NOT(_EngineCycles!A185&lt;&gt;""),"",IF(NOT($R185="OK"),"",_EngineCycles!I185))</f>
        <v/>
      </c>
      <c r="J185" s="17" t="str">
        <f>IF(NOT(_EngineCycles!A185&lt;&gt;""),"",IF(NOT($R185="OK"),"",_EngineCycles!L185))</f>
        <v/>
      </c>
      <c r="K185" s="17" t="str">
        <f>IF(NOT(_EngineCycles!A185&lt;&gt;""),"",IF(NOT($R185="OK"),"",_EngineCycles!U185))</f>
        <v/>
      </c>
      <c r="L185" s="27" t="str">
        <f>IF(NOT(_EngineCycles!A185&lt;&gt;""),"",IF(NOT($R185="OK"),"",_EngineCycles!AE185))</f>
        <v/>
      </c>
      <c r="M185" s="17" t="str">
        <f>IF(NOT(_EngineCycles!A185&lt;&gt;""),"",IF(NOT($R185="OK"),"",_EngineCycles!O185))</f>
        <v/>
      </c>
      <c r="N185" s="27" t="str">
        <f>IF(NOT(_EngineCycles!A185&lt;&gt;""),"",IF(NOT($R185="OK"),"",IF(_EngineCycles!E185="Closed",_EngineCycles!O185,"")))</f>
        <v/>
      </c>
      <c r="O185" s="28" t="str">
        <f>IF(NOT(_EngineCycles!A185&lt;&gt;""),"",IF(NOT($R185="OK"),"",_EngineCycles!Y185))</f>
        <v/>
      </c>
      <c r="P185" s="17" t="str">
        <f>IF(NOT(_EngineCycles!A185&lt;&gt;""),"",IF(NOT($R185="OK"),"",_EngineCycles!S185))</f>
        <v/>
      </c>
      <c r="Q185" s="25" t="str">
        <f>IF(_EngineCycles!A185="","",IF($R185&lt;&gt;"OK","Review",IF(_EngineCycles!E185="Closed","Closed","Open")))</f>
        <v/>
      </c>
      <c r="R185" s="18" t="str">
        <f>IF(_EngineCycles!A185="","",IF(COUNTIFS(Trades!$B$9:$B$508,_EngineCycles!B185,Trades!$C$9:$C$508,"&lt;&gt;"&amp;$B185,Trades!$A$9:$A$508,"&lt;&gt;")&gt;0,"Ticker mismatch",IF(COUNTIFS(Trades!$B$9:$B$508,_EngineCycles!B185,Trades!$D$9:$D$508,"&lt;&gt;"&amp;$C185,Trades!$A$9:$A$508,"&lt;&gt;")&gt;0,"Currency mismatch",IF(COUNTIFS(Trades!$B$9:$B$508,_EngineCycles!B185,Trades!$S$9:$S$508,"&lt;&gt;OK",Trades!$A$9:$A$508,"&lt;&gt;")&gt;0,"Check trades","OK"))))</f>
        <v/>
      </c>
      <c r="S185" s="29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P$9:$P$508),0),"")))</f>
        <v/>
      </c>
      <c r="T185" s="26" t="str">
        <f>IF(NOT(_EngineCycles!A185&lt;&gt;""),"",IF(NOT($R185="OK"),"",_EngineCycles!W185))</f>
        <v/>
      </c>
      <c r="U185" s="16"/>
      <c r="V185" s="16"/>
      <c r="W185" s="16"/>
      <c r="X185" s="16"/>
      <c r="Y185" t="str">
        <f>IF(AND($C185=Overview!$P$2,$Q185="Open",$R185="OK"),COUNTIFS($C$9:$C185,Overview!$P$2,$Q$9:$Q185,"Open",$R$9:$R185,"OK"),"")</f>
        <v/>
      </c>
    </row>
    <row r="186" spans="1:25" ht="23.1" customHeight="1" x14ac:dyDescent="0.25">
      <c r="A186" s="24" t="str">
        <f>IF(_EngineCycles!A186="","",_EngineCycles!B186&amp;IF(_EngineCycles!C186&gt;1," / "&amp;_EngineCycles!C186,""))</f>
        <v/>
      </c>
      <c r="B186" s="24" t="str">
        <f>IF(_EngineCycles!A186="","",_EngineCycles!D186)</f>
        <v/>
      </c>
      <c r="C186" s="24" t="str">
        <f>IF(_EngineCycles!A186="","",IFERROR(INDEX(Trades!$D$9:$D$508,_EngineCycles!AG186-8),""))</f>
        <v/>
      </c>
      <c r="D186" s="30" t="str">
        <f>IF(_EngineCycles!A186="","",IF($R186&lt;&gt;"OK","Review",IF(_EngineCycles!E186="Closed","Closed",IF(_EngineCycles!P186&gt;0,IF(IFERROR(LOOKUP(2,1/((_EngineTrades!$AU$9:$AU$508=_EngineCycles!A186)),_EngineTrades!$AQ$9:$AQ$508),0)&gt;0,"Covered Call","Shares Held"),"Cash-Secured Put"))))</f>
        <v/>
      </c>
      <c r="E186" s="31" t="str">
        <f>IF(NOT(_EngineCycles!A186&lt;&gt;""),"",IF(NOT($R186="OK"),"",_EngineCycles!P186))</f>
        <v/>
      </c>
      <c r="F186" s="23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AH$9:$AH$508),0),"")))</f>
        <v/>
      </c>
      <c r="G186" s="23" t="str">
        <f>IF(NOT(_EngineCycles!A186&lt;&gt;""),"",IF(NOT($R186="OK"),"",_EngineCycles!Q186))</f>
        <v/>
      </c>
      <c r="H186" s="32" t="str">
        <f>IF(NOT(_EngineCycles!A186&lt;&gt;""),"",IF(NOT($R186="OK"),"",_EngineCycles!J186))</f>
        <v/>
      </c>
      <c r="I186" s="23" t="str">
        <f>IF(NOT(_EngineCycles!A186&lt;&gt;""),"",IF(NOT($R186="OK"),"",_EngineCycles!I186))</f>
        <v/>
      </c>
      <c r="J186" s="23" t="str">
        <f>IF(NOT(_EngineCycles!A186&lt;&gt;""),"",IF(NOT($R186="OK"),"",_EngineCycles!L186))</f>
        <v/>
      </c>
      <c r="K186" s="23" t="str">
        <f>IF(NOT(_EngineCycles!A186&lt;&gt;""),"",IF(NOT($R186="OK"),"",_EngineCycles!U186))</f>
        <v/>
      </c>
      <c r="L186" s="32" t="str">
        <f>IF(NOT(_EngineCycles!A186&lt;&gt;""),"",IF(NOT($R186="OK"),"",_EngineCycles!AE186))</f>
        <v/>
      </c>
      <c r="M186" s="23" t="str">
        <f>IF(NOT(_EngineCycles!A186&lt;&gt;""),"",IF(NOT($R186="OK"),"",_EngineCycles!O186))</f>
        <v/>
      </c>
      <c r="N186" s="32" t="str">
        <f>IF(NOT(_EngineCycles!A186&lt;&gt;""),"",IF(NOT($R186="OK"),"",IF(_EngineCycles!E186="Closed",_EngineCycles!O186,"")))</f>
        <v/>
      </c>
      <c r="O186" s="33" t="str">
        <f>IF(NOT(_EngineCycles!A186&lt;&gt;""),"",IF(NOT($R186="OK"),"",_EngineCycles!Y186))</f>
        <v/>
      </c>
      <c r="P186" s="23" t="str">
        <f>IF(NOT(_EngineCycles!A186&lt;&gt;""),"",IF(NOT($R186="OK"),"",_EngineCycles!S186))</f>
        <v/>
      </c>
      <c r="Q186" s="30" t="str">
        <f>IF(_EngineCycles!A186="","",IF($R186&lt;&gt;"OK","Review",IF(_EngineCycles!E186="Closed","Closed","Open")))</f>
        <v/>
      </c>
      <c r="R186" s="24" t="str">
        <f>IF(_EngineCycles!A186="","",IF(COUNTIFS(Trades!$B$9:$B$508,_EngineCycles!B186,Trades!$C$9:$C$508,"&lt;&gt;"&amp;$B186,Trades!$A$9:$A$508,"&lt;&gt;")&gt;0,"Ticker mismatch",IF(COUNTIFS(Trades!$B$9:$B$508,_EngineCycles!B186,Trades!$D$9:$D$508,"&lt;&gt;"&amp;$C186,Trades!$A$9:$A$508,"&lt;&gt;")&gt;0,"Currency mismatch",IF(COUNTIFS(Trades!$B$9:$B$508,_EngineCycles!B186,Trades!$S$9:$S$508,"&lt;&gt;OK",Trades!$A$9:$A$508,"&lt;&gt;")&gt;0,"Check trades","OK"))))</f>
        <v/>
      </c>
      <c r="S186" s="34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P$9:$P$508),0),"")))</f>
        <v/>
      </c>
      <c r="T186" s="31" t="str">
        <f>IF(NOT(_EngineCycles!A186&lt;&gt;""),"",IF(NOT($R186="OK"),"",_EngineCycles!W186))</f>
        <v/>
      </c>
      <c r="U186" s="22"/>
      <c r="V186" s="22"/>
      <c r="W186" s="22"/>
      <c r="X186" s="22"/>
      <c r="Y186" t="str">
        <f>IF(AND($C186=Overview!$P$2,$Q186="Open",$R186="OK"),COUNTIFS($C$9:$C186,Overview!$P$2,$Q$9:$Q186,"Open",$R$9:$R186,"OK"),"")</f>
        <v/>
      </c>
    </row>
    <row r="187" spans="1:25" ht="23.1" customHeight="1" x14ac:dyDescent="0.25">
      <c r="A187" s="18" t="str">
        <f>IF(_EngineCycles!A187="","",_EngineCycles!B187&amp;IF(_EngineCycles!C187&gt;1," / "&amp;_EngineCycles!C187,""))</f>
        <v/>
      </c>
      <c r="B187" s="18" t="str">
        <f>IF(_EngineCycles!A187="","",_EngineCycles!D187)</f>
        <v/>
      </c>
      <c r="C187" s="18" t="str">
        <f>IF(_EngineCycles!A187="","",IFERROR(INDEX(Trades!$D$9:$D$508,_EngineCycles!AG187-8),""))</f>
        <v/>
      </c>
      <c r="D187" s="25" t="str">
        <f>IF(_EngineCycles!A187="","",IF($R187&lt;&gt;"OK","Review",IF(_EngineCycles!E187="Closed","Closed",IF(_EngineCycles!P187&gt;0,IF(IFERROR(LOOKUP(2,1/((_EngineTrades!$AU$9:$AU$508=_EngineCycles!A187)),_EngineTrades!$AQ$9:$AQ$508),0)&gt;0,"Covered Call","Shares Held"),"Cash-Secured Put"))))</f>
        <v/>
      </c>
      <c r="E187" s="26" t="str">
        <f>IF(NOT(_EngineCycles!A187&lt;&gt;""),"",IF(NOT($R187="OK"),"",_EngineCycles!P187))</f>
        <v/>
      </c>
      <c r="F187" s="17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AH$9:$AH$508),0),"")))</f>
        <v/>
      </c>
      <c r="G187" s="17" t="str">
        <f>IF(NOT(_EngineCycles!A187&lt;&gt;""),"",IF(NOT($R187="OK"),"",_EngineCycles!Q187))</f>
        <v/>
      </c>
      <c r="H187" s="27" t="str">
        <f>IF(NOT(_EngineCycles!A187&lt;&gt;""),"",IF(NOT($R187="OK"),"",_EngineCycles!J187))</f>
        <v/>
      </c>
      <c r="I187" s="17" t="str">
        <f>IF(NOT(_EngineCycles!A187&lt;&gt;""),"",IF(NOT($R187="OK"),"",_EngineCycles!I187))</f>
        <v/>
      </c>
      <c r="J187" s="17" t="str">
        <f>IF(NOT(_EngineCycles!A187&lt;&gt;""),"",IF(NOT($R187="OK"),"",_EngineCycles!L187))</f>
        <v/>
      </c>
      <c r="K187" s="17" t="str">
        <f>IF(NOT(_EngineCycles!A187&lt;&gt;""),"",IF(NOT($R187="OK"),"",_EngineCycles!U187))</f>
        <v/>
      </c>
      <c r="L187" s="27" t="str">
        <f>IF(NOT(_EngineCycles!A187&lt;&gt;""),"",IF(NOT($R187="OK"),"",_EngineCycles!AE187))</f>
        <v/>
      </c>
      <c r="M187" s="17" t="str">
        <f>IF(NOT(_EngineCycles!A187&lt;&gt;""),"",IF(NOT($R187="OK"),"",_EngineCycles!O187))</f>
        <v/>
      </c>
      <c r="N187" s="27" t="str">
        <f>IF(NOT(_EngineCycles!A187&lt;&gt;""),"",IF(NOT($R187="OK"),"",IF(_EngineCycles!E187="Closed",_EngineCycles!O187,"")))</f>
        <v/>
      </c>
      <c r="O187" s="28" t="str">
        <f>IF(NOT(_EngineCycles!A187&lt;&gt;""),"",IF(NOT($R187="OK"),"",_EngineCycles!Y187))</f>
        <v/>
      </c>
      <c r="P187" s="17" t="str">
        <f>IF(NOT(_EngineCycles!A187&lt;&gt;""),"",IF(NOT($R187="OK"),"",_EngineCycles!S187))</f>
        <v/>
      </c>
      <c r="Q187" s="25" t="str">
        <f>IF(_EngineCycles!A187="","",IF($R187&lt;&gt;"OK","Review",IF(_EngineCycles!E187="Closed","Closed","Open")))</f>
        <v/>
      </c>
      <c r="R187" s="18" t="str">
        <f>IF(_EngineCycles!A187="","",IF(COUNTIFS(Trades!$B$9:$B$508,_EngineCycles!B187,Trades!$C$9:$C$508,"&lt;&gt;"&amp;$B187,Trades!$A$9:$A$508,"&lt;&gt;")&gt;0,"Ticker mismatch",IF(COUNTIFS(Trades!$B$9:$B$508,_EngineCycles!B187,Trades!$D$9:$D$508,"&lt;&gt;"&amp;$C187,Trades!$A$9:$A$508,"&lt;&gt;")&gt;0,"Currency mismatch",IF(COUNTIFS(Trades!$B$9:$B$508,_EngineCycles!B187,Trades!$S$9:$S$508,"&lt;&gt;OK",Trades!$A$9:$A$508,"&lt;&gt;")&gt;0,"Check trades","OK"))))</f>
        <v/>
      </c>
      <c r="S187" s="29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P$9:$P$508),0),"")))</f>
        <v/>
      </c>
      <c r="T187" s="26" t="str">
        <f>IF(NOT(_EngineCycles!A187&lt;&gt;""),"",IF(NOT($R187="OK"),"",_EngineCycles!W187))</f>
        <v/>
      </c>
      <c r="U187" s="16"/>
      <c r="V187" s="16"/>
      <c r="W187" s="16"/>
      <c r="X187" s="16"/>
      <c r="Y187" t="str">
        <f>IF(AND($C187=Overview!$P$2,$Q187="Open",$R187="OK"),COUNTIFS($C$9:$C187,Overview!$P$2,$Q$9:$Q187,"Open",$R$9:$R187,"OK"),"")</f>
        <v/>
      </c>
    </row>
    <row r="188" spans="1:25" ht="23.1" customHeight="1" x14ac:dyDescent="0.25">
      <c r="A188" s="24" t="str">
        <f>IF(_EngineCycles!A188="","",_EngineCycles!B188&amp;IF(_EngineCycles!C188&gt;1," / "&amp;_EngineCycles!C188,""))</f>
        <v/>
      </c>
      <c r="B188" s="24" t="str">
        <f>IF(_EngineCycles!A188="","",_EngineCycles!D188)</f>
        <v/>
      </c>
      <c r="C188" s="24" t="str">
        <f>IF(_EngineCycles!A188="","",IFERROR(INDEX(Trades!$D$9:$D$508,_EngineCycles!AG188-8),""))</f>
        <v/>
      </c>
      <c r="D188" s="30" t="str">
        <f>IF(_EngineCycles!A188="","",IF($R188&lt;&gt;"OK","Review",IF(_EngineCycles!E188="Closed","Closed",IF(_EngineCycles!P188&gt;0,IF(IFERROR(LOOKUP(2,1/((_EngineTrades!$AU$9:$AU$508=_EngineCycles!A188)),_EngineTrades!$AQ$9:$AQ$508),0)&gt;0,"Covered Call","Shares Held"),"Cash-Secured Put"))))</f>
        <v/>
      </c>
      <c r="E188" s="31" t="str">
        <f>IF(NOT(_EngineCycles!A188&lt;&gt;""),"",IF(NOT($R188="OK"),"",_EngineCycles!P188))</f>
        <v/>
      </c>
      <c r="F188" s="23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AH$9:$AH$508),0),"")))</f>
        <v/>
      </c>
      <c r="G188" s="23" t="str">
        <f>IF(NOT(_EngineCycles!A188&lt;&gt;""),"",IF(NOT($R188="OK"),"",_EngineCycles!Q188))</f>
        <v/>
      </c>
      <c r="H188" s="32" t="str">
        <f>IF(NOT(_EngineCycles!A188&lt;&gt;""),"",IF(NOT($R188="OK"),"",_EngineCycles!J188))</f>
        <v/>
      </c>
      <c r="I188" s="23" t="str">
        <f>IF(NOT(_EngineCycles!A188&lt;&gt;""),"",IF(NOT($R188="OK"),"",_EngineCycles!I188))</f>
        <v/>
      </c>
      <c r="J188" s="23" t="str">
        <f>IF(NOT(_EngineCycles!A188&lt;&gt;""),"",IF(NOT($R188="OK"),"",_EngineCycles!L188))</f>
        <v/>
      </c>
      <c r="K188" s="23" t="str">
        <f>IF(NOT(_EngineCycles!A188&lt;&gt;""),"",IF(NOT($R188="OK"),"",_EngineCycles!U188))</f>
        <v/>
      </c>
      <c r="L188" s="32" t="str">
        <f>IF(NOT(_EngineCycles!A188&lt;&gt;""),"",IF(NOT($R188="OK"),"",_EngineCycles!AE188))</f>
        <v/>
      </c>
      <c r="M188" s="23" t="str">
        <f>IF(NOT(_EngineCycles!A188&lt;&gt;""),"",IF(NOT($R188="OK"),"",_EngineCycles!O188))</f>
        <v/>
      </c>
      <c r="N188" s="32" t="str">
        <f>IF(NOT(_EngineCycles!A188&lt;&gt;""),"",IF(NOT($R188="OK"),"",IF(_EngineCycles!E188="Closed",_EngineCycles!O188,"")))</f>
        <v/>
      </c>
      <c r="O188" s="33" t="str">
        <f>IF(NOT(_EngineCycles!A188&lt;&gt;""),"",IF(NOT($R188="OK"),"",_EngineCycles!Y188))</f>
        <v/>
      </c>
      <c r="P188" s="23" t="str">
        <f>IF(NOT(_EngineCycles!A188&lt;&gt;""),"",IF(NOT($R188="OK"),"",_EngineCycles!S188))</f>
        <v/>
      </c>
      <c r="Q188" s="30" t="str">
        <f>IF(_EngineCycles!A188="","",IF($R188&lt;&gt;"OK","Review",IF(_EngineCycles!E188="Closed","Closed","Open")))</f>
        <v/>
      </c>
      <c r="R188" s="24" t="str">
        <f>IF(_EngineCycles!A188="","",IF(COUNTIFS(Trades!$B$9:$B$508,_EngineCycles!B188,Trades!$C$9:$C$508,"&lt;&gt;"&amp;$B188,Trades!$A$9:$A$508,"&lt;&gt;")&gt;0,"Ticker mismatch",IF(COUNTIFS(Trades!$B$9:$B$508,_EngineCycles!B188,Trades!$D$9:$D$508,"&lt;&gt;"&amp;$C188,Trades!$A$9:$A$508,"&lt;&gt;")&gt;0,"Currency mismatch",IF(COUNTIFS(Trades!$B$9:$B$508,_EngineCycles!B188,Trades!$S$9:$S$508,"&lt;&gt;OK",Trades!$A$9:$A$508,"&lt;&gt;")&gt;0,"Check trades","OK"))))</f>
        <v/>
      </c>
      <c r="S188" s="34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P$9:$P$508),0),"")))</f>
        <v/>
      </c>
      <c r="T188" s="31" t="str">
        <f>IF(NOT(_EngineCycles!A188&lt;&gt;""),"",IF(NOT($R188="OK"),"",_EngineCycles!W188))</f>
        <v/>
      </c>
      <c r="U188" s="22"/>
      <c r="V188" s="22"/>
      <c r="W188" s="22"/>
      <c r="X188" s="22"/>
      <c r="Y188" t="str">
        <f>IF(AND($C188=Overview!$P$2,$Q188="Open",$R188="OK"),COUNTIFS($C$9:$C188,Overview!$P$2,$Q$9:$Q188,"Open",$R$9:$R188,"OK"),"")</f>
        <v/>
      </c>
    </row>
    <row r="189" spans="1:25" ht="23.1" customHeight="1" x14ac:dyDescent="0.25">
      <c r="A189" s="18" t="str">
        <f>IF(_EngineCycles!A189="","",_EngineCycles!B189&amp;IF(_EngineCycles!C189&gt;1," / "&amp;_EngineCycles!C189,""))</f>
        <v/>
      </c>
      <c r="B189" s="18" t="str">
        <f>IF(_EngineCycles!A189="","",_EngineCycles!D189)</f>
        <v/>
      </c>
      <c r="C189" s="18" t="str">
        <f>IF(_EngineCycles!A189="","",IFERROR(INDEX(Trades!$D$9:$D$508,_EngineCycles!AG189-8),""))</f>
        <v/>
      </c>
      <c r="D189" s="25" t="str">
        <f>IF(_EngineCycles!A189="","",IF($R189&lt;&gt;"OK","Review",IF(_EngineCycles!E189="Closed","Closed",IF(_EngineCycles!P189&gt;0,IF(IFERROR(LOOKUP(2,1/((_EngineTrades!$AU$9:$AU$508=_EngineCycles!A189)),_EngineTrades!$AQ$9:$AQ$508),0)&gt;0,"Covered Call","Shares Held"),"Cash-Secured Put"))))</f>
        <v/>
      </c>
      <c r="E189" s="26" t="str">
        <f>IF(NOT(_EngineCycles!A189&lt;&gt;""),"",IF(NOT($R189="OK"),"",_EngineCycles!P189))</f>
        <v/>
      </c>
      <c r="F189" s="17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AH$9:$AH$508),0),"")))</f>
        <v/>
      </c>
      <c r="G189" s="17" t="str">
        <f>IF(NOT(_EngineCycles!A189&lt;&gt;""),"",IF(NOT($R189="OK"),"",_EngineCycles!Q189))</f>
        <v/>
      </c>
      <c r="H189" s="27" t="str">
        <f>IF(NOT(_EngineCycles!A189&lt;&gt;""),"",IF(NOT($R189="OK"),"",_EngineCycles!J189))</f>
        <v/>
      </c>
      <c r="I189" s="17" t="str">
        <f>IF(NOT(_EngineCycles!A189&lt;&gt;""),"",IF(NOT($R189="OK"),"",_EngineCycles!I189))</f>
        <v/>
      </c>
      <c r="J189" s="17" t="str">
        <f>IF(NOT(_EngineCycles!A189&lt;&gt;""),"",IF(NOT($R189="OK"),"",_EngineCycles!L189))</f>
        <v/>
      </c>
      <c r="K189" s="17" t="str">
        <f>IF(NOT(_EngineCycles!A189&lt;&gt;""),"",IF(NOT($R189="OK"),"",_EngineCycles!U189))</f>
        <v/>
      </c>
      <c r="L189" s="27" t="str">
        <f>IF(NOT(_EngineCycles!A189&lt;&gt;""),"",IF(NOT($R189="OK"),"",_EngineCycles!AE189))</f>
        <v/>
      </c>
      <c r="M189" s="17" t="str">
        <f>IF(NOT(_EngineCycles!A189&lt;&gt;""),"",IF(NOT($R189="OK"),"",_EngineCycles!O189))</f>
        <v/>
      </c>
      <c r="N189" s="27" t="str">
        <f>IF(NOT(_EngineCycles!A189&lt;&gt;""),"",IF(NOT($R189="OK"),"",IF(_EngineCycles!E189="Closed",_EngineCycles!O189,"")))</f>
        <v/>
      </c>
      <c r="O189" s="28" t="str">
        <f>IF(NOT(_EngineCycles!A189&lt;&gt;""),"",IF(NOT($R189="OK"),"",_EngineCycles!Y189))</f>
        <v/>
      </c>
      <c r="P189" s="17" t="str">
        <f>IF(NOT(_EngineCycles!A189&lt;&gt;""),"",IF(NOT($R189="OK"),"",_EngineCycles!S189))</f>
        <v/>
      </c>
      <c r="Q189" s="25" t="str">
        <f>IF(_EngineCycles!A189="","",IF($R189&lt;&gt;"OK","Review",IF(_EngineCycles!E189="Closed","Closed","Open")))</f>
        <v/>
      </c>
      <c r="R189" s="18" t="str">
        <f>IF(_EngineCycles!A189="","",IF(COUNTIFS(Trades!$B$9:$B$508,_EngineCycles!B189,Trades!$C$9:$C$508,"&lt;&gt;"&amp;$B189,Trades!$A$9:$A$508,"&lt;&gt;")&gt;0,"Ticker mismatch",IF(COUNTIFS(Trades!$B$9:$B$508,_EngineCycles!B189,Trades!$D$9:$D$508,"&lt;&gt;"&amp;$C189,Trades!$A$9:$A$508,"&lt;&gt;")&gt;0,"Currency mismatch",IF(COUNTIFS(Trades!$B$9:$B$508,_EngineCycles!B189,Trades!$S$9:$S$508,"&lt;&gt;OK",Trades!$A$9:$A$508,"&lt;&gt;")&gt;0,"Check trades","OK"))))</f>
        <v/>
      </c>
      <c r="S189" s="29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P$9:$P$508),0),"")))</f>
        <v/>
      </c>
      <c r="T189" s="26" t="str">
        <f>IF(NOT(_EngineCycles!A189&lt;&gt;""),"",IF(NOT($R189="OK"),"",_EngineCycles!W189))</f>
        <v/>
      </c>
      <c r="U189" s="16"/>
      <c r="V189" s="16"/>
      <c r="W189" s="16"/>
      <c r="X189" s="16"/>
      <c r="Y189" t="str">
        <f>IF(AND($C189=Overview!$P$2,$Q189="Open",$R189="OK"),COUNTIFS($C$9:$C189,Overview!$P$2,$Q$9:$Q189,"Open",$R$9:$R189,"OK"),"")</f>
        <v/>
      </c>
    </row>
    <row r="190" spans="1:25" ht="23.1" customHeight="1" x14ac:dyDescent="0.25">
      <c r="A190" s="24" t="str">
        <f>IF(_EngineCycles!A190="","",_EngineCycles!B190&amp;IF(_EngineCycles!C190&gt;1," / "&amp;_EngineCycles!C190,""))</f>
        <v/>
      </c>
      <c r="B190" s="24" t="str">
        <f>IF(_EngineCycles!A190="","",_EngineCycles!D190)</f>
        <v/>
      </c>
      <c r="C190" s="24" t="str">
        <f>IF(_EngineCycles!A190="","",IFERROR(INDEX(Trades!$D$9:$D$508,_EngineCycles!AG190-8),""))</f>
        <v/>
      </c>
      <c r="D190" s="30" t="str">
        <f>IF(_EngineCycles!A190="","",IF($R190&lt;&gt;"OK","Review",IF(_EngineCycles!E190="Closed","Closed",IF(_EngineCycles!P190&gt;0,IF(IFERROR(LOOKUP(2,1/((_EngineTrades!$AU$9:$AU$508=_EngineCycles!A190)),_EngineTrades!$AQ$9:$AQ$508),0)&gt;0,"Covered Call","Shares Held"),"Cash-Secured Put"))))</f>
        <v/>
      </c>
      <c r="E190" s="31" t="str">
        <f>IF(NOT(_EngineCycles!A190&lt;&gt;""),"",IF(NOT($R190="OK"),"",_EngineCycles!P190))</f>
        <v/>
      </c>
      <c r="F190" s="23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AH$9:$AH$508),0),"")))</f>
        <v/>
      </c>
      <c r="G190" s="23" t="str">
        <f>IF(NOT(_EngineCycles!A190&lt;&gt;""),"",IF(NOT($R190="OK"),"",_EngineCycles!Q190))</f>
        <v/>
      </c>
      <c r="H190" s="32" t="str">
        <f>IF(NOT(_EngineCycles!A190&lt;&gt;""),"",IF(NOT($R190="OK"),"",_EngineCycles!J190))</f>
        <v/>
      </c>
      <c r="I190" s="23" t="str">
        <f>IF(NOT(_EngineCycles!A190&lt;&gt;""),"",IF(NOT($R190="OK"),"",_EngineCycles!I190))</f>
        <v/>
      </c>
      <c r="J190" s="23" t="str">
        <f>IF(NOT(_EngineCycles!A190&lt;&gt;""),"",IF(NOT($R190="OK"),"",_EngineCycles!L190))</f>
        <v/>
      </c>
      <c r="K190" s="23" t="str">
        <f>IF(NOT(_EngineCycles!A190&lt;&gt;""),"",IF(NOT($R190="OK"),"",_EngineCycles!U190))</f>
        <v/>
      </c>
      <c r="L190" s="32" t="str">
        <f>IF(NOT(_EngineCycles!A190&lt;&gt;""),"",IF(NOT($R190="OK"),"",_EngineCycles!AE190))</f>
        <v/>
      </c>
      <c r="M190" s="23" t="str">
        <f>IF(NOT(_EngineCycles!A190&lt;&gt;""),"",IF(NOT($R190="OK"),"",_EngineCycles!O190))</f>
        <v/>
      </c>
      <c r="N190" s="32" t="str">
        <f>IF(NOT(_EngineCycles!A190&lt;&gt;""),"",IF(NOT($R190="OK"),"",IF(_EngineCycles!E190="Closed",_EngineCycles!O190,"")))</f>
        <v/>
      </c>
      <c r="O190" s="33" t="str">
        <f>IF(NOT(_EngineCycles!A190&lt;&gt;""),"",IF(NOT($R190="OK"),"",_EngineCycles!Y190))</f>
        <v/>
      </c>
      <c r="P190" s="23" t="str">
        <f>IF(NOT(_EngineCycles!A190&lt;&gt;""),"",IF(NOT($R190="OK"),"",_EngineCycles!S190))</f>
        <v/>
      </c>
      <c r="Q190" s="30" t="str">
        <f>IF(_EngineCycles!A190="","",IF($R190&lt;&gt;"OK","Review",IF(_EngineCycles!E190="Closed","Closed","Open")))</f>
        <v/>
      </c>
      <c r="R190" s="24" t="str">
        <f>IF(_EngineCycles!A190="","",IF(COUNTIFS(Trades!$B$9:$B$508,_EngineCycles!B190,Trades!$C$9:$C$508,"&lt;&gt;"&amp;$B190,Trades!$A$9:$A$508,"&lt;&gt;")&gt;0,"Ticker mismatch",IF(COUNTIFS(Trades!$B$9:$B$508,_EngineCycles!B190,Trades!$D$9:$D$508,"&lt;&gt;"&amp;$C190,Trades!$A$9:$A$508,"&lt;&gt;")&gt;0,"Currency mismatch",IF(COUNTIFS(Trades!$B$9:$B$508,_EngineCycles!B190,Trades!$S$9:$S$508,"&lt;&gt;OK",Trades!$A$9:$A$508,"&lt;&gt;")&gt;0,"Check trades","OK"))))</f>
        <v/>
      </c>
      <c r="S190" s="34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P$9:$P$508),0),"")))</f>
        <v/>
      </c>
      <c r="T190" s="31" t="str">
        <f>IF(NOT(_EngineCycles!A190&lt;&gt;""),"",IF(NOT($R190="OK"),"",_EngineCycles!W190))</f>
        <v/>
      </c>
      <c r="U190" s="22"/>
      <c r="V190" s="22"/>
      <c r="W190" s="22"/>
      <c r="X190" s="22"/>
      <c r="Y190" t="str">
        <f>IF(AND($C190=Overview!$P$2,$Q190="Open",$R190="OK"),COUNTIFS($C$9:$C190,Overview!$P$2,$Q$9:$Q190,"Open",$R$9:$R190,"OK"),"")</f>
        <v/>
      </c>
    </row>
    <row r="191" spans="1:25" ht="23.1" customHeight="1" x14ac:dyDescent="0.25">
      <c r="A191" s="18" t="str">
        <f>IF(_EngineCycles!A191="","",_EngineCycles!B191&amp;IF(_EngineCycles!C191&gt;1," / "&amp;_EngineCycles!C191,""))</f>
        <v/>
      </c>
      <c r="B191" s="18" t="str">
        <f>IF(_EngineCycles!A191="","",_EngineCycles!D191)</f>
        <v/>
      </c>
      <c r="C191" s="18" t="str">
        <f>IF(_EngineCycles!A191="","",IFERROR(INDEX(Trades!$D$9:$D$508,_EngineCycles!AG191-8),""))</f>
        <v/>
      </c>
      <c r="D191" s="25" t="str">
        <f>IF(_EngineCycles!A191="","",IF($R191&lt;&gt;"OK","Review",IF(_EngineCycles!E191="Closed","Closed",IF(_EngineCycles!P191&gt;0,IF(IFERROR(LOOKUP(2,1/((_EngineTrades!$AU$9:$AU$508=_EngineCycles!A191)),_EngineTrades!$AQ$9:$AQ$508),0)&gt;0,"Covered Call","Shares Held"),"Cash-Secured Put"))))</f>
        <v/>
      </c>
      <c r="E191" s="26" t="str">
        <f>IF(NOT(_EngineCycles!A191&lt;&gt;""),"",IF(NOT($R191="OK"),"",_EngineCycles!P191))</f>
        <v/>
      </c>
      <c r="F191" s="17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AH$9:$AH$508),0),"")))</f>
        <v/>
      </c>
      <c r="G191" s="17" t="str">
        <f>IF(NOT(_EngineCycles!A191&lt;&gt;""),"",IF(NOT($R191="OK"),"",_EngineCycles!Q191))</f>
        <v/>
      </c>
      <c r="H191" s="27" t="str">
        <f>IF(NOT(_EngineCycles!A191&lt;&gt;""),"",IF(NOT($R191="OK"),"",_EngineCycles!J191))</f>
        <v/>
      </c>
      <c r="I191" s="17" t="str">
        <f>IF(NOT(_EngineCycles!A191&lt;&gt;""),"",IF(NOT($R191="OK"),"",_EngineCycles!I191))</f>
        <v/>
      </c>
      <c r="J191" s="17" t="str">
        <f>IF(NOT(_EngineCycles!A191&lt;&gt;""),"",IF(NOT($R191="OK"),"",_EngineCycles!L191))</f>
        <v/>
      </c>
      <c r="K191" s="17" t="str">
        <f>IF(NOT(_EngineCycles!A191&lt;&gt;""),"",IF(NOT($R191="OK"),"",_EngineCycles!U191))</f>
        <v/>
      </c>
      <c r="L191" s="27" t="str">
        <f>IF(NOT(_EngineCycles!A191&lt;&gt;""),"",IF(NOT($R191="OK"),"",_EngineCycles!AE191))</f>
        <v/>
      </c>
      <c r="M191" s="17" t="str">
        <f>IF(NOT(_EngineCycles!A191&lt;&gt;""),"",IF(NOT($R191="OK"),"",_EngineCycles!O191))</f>
        <v/>
      </c>
      <c r="N191" s="27" t="str">
        <f>IF(NOT(_EngineCycles!A191&lt;&gt;""),"",IF(NOT($R191="OK"),"",IF(_EngineCycles!E191="Closed",_EngineCycles!O191,"")))</f>
        <v/>
      </c>
      <c r="O191" s="28" t="str">
        <f>IF(NOT(_EngineCycles!A191&lt;&gt;""),"",IF(NOT($R191="OK"),"",_EngineCycles!Y191))</f>
        <v/>
      </c>
      <c r="P191" s="17" t="str">
        <f>IF(NOT(_EngineCycles!A191&lt;&gt;""),"",IF(NOT($R191="OK"),"",_EngineCycles!S191))</f>
        <v/>
      </c>
      <c r="Q191" s="25" t="str">
        <f>IF(_EngineCycles!A191="","",IF($R191&lt;&gt;"OK","Review",IF(_EngineCycles!E191="Closed","Closed","Open")))</f>
        <v/>
      </c>
      <c r="R191" s="18" t="str">
        <f>IF(_EngineCycles!A191="","",IF(COUNTIFS(Trades!$B$9:$B$508,_EngineCycles!B191,Trades!$C$9:$C$508,"&lt;&gt;"&amp;$B191,Trades!$A$9:$A$508,"&lt;&gt;")&gt;0,"Ticker mismatch",IF(COUNTIFS(Trades!$B$9:$B$508,_EngineCycles!B191,Trades!$D$9:$D$508,"&lt;&gt;"&amp;$C191,Trades!$A$9:$A$508,"&lt;&gt;")&gt;0,"Currency mismatch",IF(COUNTIFS(Trades!$B$9:$B$508,_EngineCycles!B191,Trades!$S$9:$S$508,"&lt;&gt;OK",Trades!$A$9:$A$508,"&lt;&gt;")&gt;0,"Check trades","OK"))))</f>
        <v/>
      </c>
      <c r="S191" s="29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P$9:$P$508),0),"")))</f>
        <v/>
      </c>
      <c r="T191" s="26" t="str">
        <f>IF(NOT(_EngineCycles!A191&lt;&gt;""),"",IF(NOT($R191="OK"),"",_EngineCycles!W191))</f>
        <v/>
      </c>
      <c r="U191" s="16"/>
      <c r="V191" s="16"/>
      <c r="W191" s="16"/>
      <c r="X191" s="16"/>
      <c r="Y191" t="str">
        <f>IF(AND($C191=Overview!$P$2,$Q191="Open",$R191="OK"),COUNTIFS($C$9:$C191,Overview!$P$2,$Q$9:$Q191,"Open",$R$9:$R191,"OK"),"")</f>
        <v/>
      </c>
    </row>
    <row r="192" spans="1:25" ht="23.1" customHeight="1" x14ac:dyDescent="0.25">
      <c r="A192" s="24" t="str">
        <f>IF(_EngineCycles!A192="","",_EngineCycles!B192&amp;IF(_EngineCycles!C192&gt;1," / "&amp;_EngineCycles!C192,""))</f>
        <v/>
      </c>
      <c r="B192" s="24" t="str">
        <f>IF(_EngineCycles!A192="","",_EngineCycles!D192)</f>
        <v/>
      </c>
      <c r="C192" s="24" t="str">
        <f>IF(_EngineCycles!A192="","",IFERROR(INDEX(Trades!$D$9:$D$508,_EngineCycles!AG192-8),""))</f>
        <v/>
      </c>
      <c r="D192" s="30" t="str">
        <f>IF(_EngineCycles!A192="","",IF($R192&lt;&gt;"OK","Review",IF(_EngineCycles!E192="Closed","Closed",IF(_EngineCycles!P192&gt;0,IF(IFERROR(LOOKUP(2,1/((_EngineTrades!$AU$9:$AU$508=_EngineCycles!A192)),_EngineTrades!$AQ$9:$AQ$508),0)&gt;0,"Covered Call","Shares Held"),"Cash-Secured Put"))))</f>
        <v/>
      </c>
      <c r="E192" s="31" t="str">
        <f>IF(NOT(_EngineCycles!A192&lt;&gt;""),"",IF(NOT($R192="OK"),"",_EngineCycles!P192))</f>
        <v/>
      </c>
      <c r="F192" s="23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AH$9:$AH$508),0),"")))</f>
        <v/>
      </c>
      <c r="G192" s="23" t="str">
        <f>IF(NOT(_EngineCycles!A192&lt;&gt;""),"",IF(NOT($R192="OK"),"",_EngineCycles!Q192))</f>
        <v/>
      </c>
      <c r="H192" s="32" t="str">
        <f>IF(NOT(_EngineCycles!A192&lt;&gt;""),"",IF(NOT($R192="OK"),"",_EngineCycles!J192))</f>
        <v/>
      </c>
      <c r="I192" s="23" t="str">
        <f>IF(NOT(_EngineCycles!A192&lt;&gt;""),"",IF(NOT($R192="OK"),"",_EngineCycles!I192))</f>
        <v/>
      </c>
      <c r="J192" s="23" t="str">
        <f>IF(NOT(_EngineCycles!A192&lt;&gt;""),"",IF(NOT($R192="OK"),"",_EngineCycles!L192))</f>
        <v/>
      </c>
      <c r="K192" s="23" t="str">
        <f>IF(NOT(_EngineCycles!A192&lt;&gt;""),"",IF(NOT($R192="OK"),"",_EngineCycles!U192))</f>
        <v/>
      </c>
      <c r="L192" s="32" t="str">
        <f>IF(NOT(_EngineCycles!A192&lt;&gt;""),"",IF(NOT($R192="OK"),"",_EngineCycles!AE192))</f>
        <v/>
      </c>
      <c r="M192" s="23" t="str">
        <f>IF(NOT(_EngineCycles!A192&lt;&gt;""),"",IF(NOT($R192="OK"),"",_EngineCycles!O192))</f>
        <v/>
      </c>
      <c r="N192" s="32" t="str">
        <f>IF(NOT(_EngineCycles!A192&lt;&gt;""),"",IF(NOT($R192="OK"),"",IF(_EngineCycles!E192="Closed",_EngineCycles!O192,"")))</f>
        <v/>
      </c>
      <c r="O192" s="33" t="str">
        <f>IF(NOT(_EngineCycles!A192&lt;&gt;""),"",IF(NOT($R192="OK"),"",_EngineCycles!Y192))</f>
        <v/>
      </c>
      <c r="P192" s="23" t="str">
        <f>IF(NOT(_EngineCycles!A192&lt;&gt;""),"",IF(NOT($R192="OK"),"",_EngineCycles!S192))</f>
        <v/>
      </c>
      <c r="Q192" s="30" t="str">
        <f>IF(_EngineCycles!A192="","",IF($R192&lt;&gt;"OK","Review",IF(_EngineCycles!E192="Closed","Closed","Open")))</f>
        <v/>
      </c>
      <c r="R192" s="24" t="str">
        <f>IF(_EngineCycles!A192="","",IF(COUNTIFS(Trades!$B$9:$B$508,_EngineCycles!B192,Trades!$C$9:$C$508,"&lt;&gt;"&amp;$B192,Trades!$A$9:$A$508,"&lt;&gt;")&gt;0,"Ticker mismatch",IF(COUNTIFS(Trades!$B$9:$B$508,_EngineCycles!B192,Trades!$D$9:$D$508,"&lt;&gt;"&amp;$C192,Trades!$A$9:$A$508,"&lt;&gt;")&gt;0,"Currency mismatch",IF(COUNTIFS(Trades!$B$9:$B$508,_EngineCycles!B192,Trades!$S$9:$S$508,"&lt;&gt;OK",Trades!$A$9:$A$508,"&lt;&gt;")&gt;0,"Check trades","OK"))))</f>
        <v/>
      </c>
      <c r="S192" s="34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P$9:$P$508),0),"")))</f>
        <v/>
      </c>
      <c r="T192" s="31" t="str">
        <f>IF(NOT(_EngineCycles!A192&lt;&gt;""),"",IF(NOT($R192="OK"),"",_EngineCycles!W192))</f>
        <v/>
      </c>
      <c r="U192" s="22"/>
      <c r="V192" s="22"/>
      <c r="W192" s="22"/>
      <c r="X192" s="22"/>
      <c r="Y192" t="str">
        <f>IF(AND($C192=Overview!$P$2,$Q192="Open",$R192="OK"),COUNTIFS($C$9:$C192,Overview!$P$2,$Q$9:$Q192,"Open",$R$9:$R192,"OK"),"")</f>
        <v/>
      </c>
    </row>
    <row r="193" spans="1:25" ht="23.1" customHeight="1" x14ac:dyDescent="0.25">
      <c r="A193" s="18" t="str">
        <f>IF(_EngineCycles!A193="","",_EngineCycles!B193&amp;IF(_EngineCycles!C193&gt;1," / "&amp;_EngineCycles!C193,""))</f>
        <v/>
      </c>
      <c r="B193" s="18" t="str">
        <f>IF(_EngineCycles!A193="","",_EngineCycles!D193)</f>
        <v/>
      </c>
      <c r="C193" s="18" t="str">
        <f>IF(_EngineCycles!A193="","",IFERROR(INDEX(Trades!$D$9:$D$508,_EngineCycles!AG193-8),""))</f>
        <v/>
      </c>
      <c r="D193" s="25" t="str">
        <f>IF(_EngineCycles!A193="","",IF($R193&lt;&gt;"OK","Review",IF(_EngineCycles!E193="Closed","Closed",IF(_EngineCycles!P193&gt;0,IF(IFERROR(LOOKUP(2,1/((_EngineTrades!$AU$9:$AU$508=_EngineCycles!A193)),_EngineTrades!$AQ$9:$AQ$508),0)&gt;0,"Covered Call","Shares Held"),"Cash-Secured Put"))))</f>
        <v/>
      </c>
      <c r="E193" s="26" t="str">
        <f>IF(NOT(_EngineCycles!A193&lt;&gt;""),"",IF(NOT($R193="OK"),"",_EngineCycles!P193))</f>
        <v/>
      </c>
      <c r="F193" s="17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AH$9:$AH$508),0),"")))</f>
        <v/>
      </c>
      <c r="G193" s="17" t="str">
        <f>IF(NOT(_EngineCycles!A193&lt;&gt;""),"",IF(NOT($R193="OK"),"",_EngineCycles!Q193))</f>
        <v/>
      </c>
      <c r="H193" s="27" t="str">
        <f>IF(NOT(_EngineCycles!A193&lt;&gt;""),"",IF(NOT($R193="OK"),"",_EngineCycles!J193))</f>
        <v/>
      </c>
      <c r="I193" s="17" t="str">
        <f>IF(NOT(_EngineCycles!A193&lt;&gt;""),"",IF(NOT($R193="OK"),"",_EngineCycles!I193))</f>
        <v/>
      </c>
      <c r="J193" s="17" t="str">
        <f>IF(NOT(_EngineCycles!A193&lt;&gt;""),"",IF(NOT($R193="OK"),"",_EngineCycles!L193))</f>
        <v/>
      </c>
      <c r="K193" s="17" t="str">
        <f>IF(NOT(_EngineCycles!A193&lt;&gt;""),"",IF(NOT($R193="OK"),"",_EngineCycles!U193))</f>
        <v/>
      </c>
      <c r="L193" s="27" t="str">
        <f>IF(NOT(_EngineCycles!A193&lt;&gt;""),"",IF(NOT($R193="OK"),"",_EngineCycles!AE193))</f>
        <v/>
      </c>
      <c r="M193" s="17" t="str">
        <f>IF(NOT(_EngineCycles!A193&lt;&gt;""),"",IF(NOT($R193="OK"),"",_EngineCycles!O193))</f>
        <v/>
      </c>
      <c r="N193" s="27" t="str">
        <f>IF(NOT(_EngineCycles!A193&lt;&gt;""),"",IF(NOT($R193="OK"),"",IF(_EngineCycles!E193="Closed",_EngineCycles!O193,"")))</f>
        <v/>
      </c>
      <c r="O193" s="28" t="str">
        <f>IF(NOT(_EngineCycles!A193&lt;&gt;""),"",IF(NOT($R193="OK"),"",_EngineCycles!Y193))</f>
        <v/>
      </c>
      <c r="P193" s="17" t="str">
        <f>IF(NOT(_EngineCycles!A193&lt;&gt;""),"",IF(NOT($R193="OK"),"",_EngineCycles!S193))</f>
        <v/>
      </c>
      <c r="Q193" s="25" t="str">
        <f>IF(_EngineCycles!A193="","",IF($R193&lt;&gt;"OK","Review",IF(_EngineCycles!E193="Closed","Closed","Open")))</f>
        <v/>
      </c>
      <c r="R193" s="18" t="str">
        <f>IF(_EngineCycles!A193="","",IF(COUNTIFS(Trades!$B$9:$B$508,_EngineCycles!B193,Trades!$C$9:$C$508,"&lt;&gt;"&amp;$B193,Trades!$A$9:$A$508,"&lt;&gt;")&gt;0,"Ticker mismatch",IF(COUNTIFS(Trades!$B$9:$B$508,_EngineCycles!B193,Trades!$D$9:$D$508,"&lt;&gt;"&amp;$C193,Trades!$A$9:$A$508,"&lt;&gt;")&gt;0,"Currency mismatch",IF(COUNTIFS(Trades!$B$9:$B$508,_EngineCycles!B193,Trades!$S$9:$S$508,"&lt;&gt;OK",Trades!$A$9:$A$508,"&lt;&gt;")&gt;0,"Check trades","OK"))))</f>
        <v/>
      </c>
      <c r="S193" s="29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P$9:$P$508),0),"")))</f>
        <v/>
      </c>
      <c r="T193" s="26" t="str">
        <f>IF(NOT(_EngineCycles!A193&lt;&gt;""),"",IF(NOT($R193="OK"),"",_EngineCycles!W193))</f>
        <v/>
      </c>
      <c r="U193" s="16"/>
      <c r="V193" s="16"/>
      <c r="W193" s="16"/>
      <c r="X193" s="16"/>
      <c r="Y193" t="str">
        <f>IF(AND($C193=Overview!$P$2,$Q193="Open",$R193="OK"),COUNTIFS($C$9:$C193,Overview!$P$2,$Q$9:$Q193,"Open",$R$9:$R193,"OK"),"")</f>
        <v/>
      </c>
    </row>
    <row r="194" spans="1:25" ht="23.1" customHeight="1" x14ac:dyDescent="0.25">
      <c r="A194" s="24" t="str">
        <f>IF(_EngineCycles!A194="","",_EngineCycles!B194&amp;IF(_EngineCycles!C194&gt;1," / "&amp;_EngineCycles!C194,""))</f>
        <v/>
      </c>
      <c r="B194" s="24" t="str">
        <f>IF(_EngineCycles!A194="","",_EngineCycles!D194)</f>
        <v/>
      </c>
      <c r="C194" s="24" t="str">
        <f>IF(_EngineCycles!A194="","",IFERROR(INDEX(Trades!$D$9:$D$508,_EngineCycles!AG194-8),""))</f>
        <v/>
      </c>
      <c r="D194" s="30" t="str">
        <f>IF(_EngineCycles!A194="","",IF($R194&lt;&gt;"OK","Review",IF(_EngineCycles!E194="Closed","Closed",IF(_EngineCycles!P194&gt;0,IF(IFERROR(LOOKUP(2,1/((_EngineTrades!$AU$9:$AU$508=_EngineCycles!A194)),_EngineTrades!$AQ$9:$AQ$508),0)&gt;0,"Covered Call","Shares Held"),"Cash-Secured Put"))))</f>
        <v/>
      </c>
      <c r="E194" s="31" t="str">
        <f>IF(NOT(_EngineCycles!A194&lt;&gt;""),"",IF(NOT($R194="OK"),"",_EngineCycles!P194))</f>
        <v/>
      </c>
      <c r="F194" s="23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AH$9:$AH$508),0),"")))</f>
        <v/>
      </c>
      <c r="G194" s="23" t="str">
        <f>IF(NOT(_EngineCycles!A194&lt;&gt;""),"",IF(NOT($R194="OK"),"",_EngineCycles!Q194))</f>
        <v/>
      </c>
      <c r="H194" s="32" t="str">
        <f>IF(NOT(_EngineCycles!A194&lt;&gt;""),"",IF(NOT($R194="OK"),"",_EngineCycles!J194))</f>
        <v/>
      </c>
      <c r="I194" s="23" t="str">
        <f>IF(NOT(_EngineCycles!A194&lt;&gt;""),"",IF(NOT($R194="OK"),"",_EngineCycles!I194))</f>
        <v/>
      </c>
      <c r="J194" s="23" t="str">
        <f>IF(NOT(_EngineCycles!A194&lt;&gt;""),"",IF(NOT($R194="OK"),"",_EngineCycles!L194))</f>
        <v/>
      </c>
      <c r="K194" s="23" t="str">
        <f>IF(NOT(_EngineCycles!A194&lt;&gt;""),"",IF(NOT($R194="OK"),"",_EngineCycles!U194))</f>
        <v/>
      </c>
      <c r="L194" s="32" t="str">
        <f>IF(NOT(_EngineCycles!A194&lt;&gt;""),"",IF(NOT($R194="OK"),"",_EngineCycles!AE194))</f>
        <v/>
      </c>
      <c r="M194" s="23" t="str">
        <f>IF(NOT(_EngineCycles!A194&lt;&gt;""),"",IF(NOT($R194="OK"),"",_EngineCycles!O194))</f>
        <v/>
      </c>
      <c r="N194" s="32" t="str">
        <f>IF(NOT(_EngineCycles!A194&lt;&gt;""),"",IF(NOT($R194="OK"),"",IF(_EngineCycles!E194="Closed",_EngineCycles!O194,"")))</f>
        <v/>
      </c>
      <c r="O194" s="33" t="str">
        <f>IF(NOT(_EngineCycles!A194&lt;&gt;""),"",IF(NOT($R194="OK"),"",_EngineCycles!Y194))</f>
        <v/>
      </c>
      <c r="P194" s="23" t="str">
        <f>IF(NOT(_EngineCycles!A194&lt;&gt;""),"",IF(NOT($R194="OK"),"",_EngineCycles!S194))</f>
        <v/>
      </c>
      <c r="Q194" s="30" t="str">
        <f>IF(_EngineCycles!A194="","",IF($R194&lt;&gt;"OK","Review",IF(_EngineCycles!E194="Closed","Closed","Open")))</f>
        <v/>
      </c>
      <c r="R194" s="24" t="str">
        <f>IF(_EngineCycles!A194="","",IF(COUNTIFS(Trades!$B$9:$B$508,_EngineCycles!B194,Trades!$C$9:$C$508,"&lt;&gt;"&amp;$B194,Trades!$A$9:$A$508,"&lt;&gt;")&gt;0,"Ticker mismatch",IF(COUNTIFS(Trades!$B$9:$B$508,_EngineCycles!B194,Trades!$D$9:$D$508,"&lt;&gt;"&amp;$C194,Trades!$A$9:$A$508,"&lt;&gt;")&gt;0,"Currency mismatch",IF(COUNTIFS(Trades!$B$9:$B$508,_EngineCycles!B194,Trades!$S$9:$S$508,"&lt;&gt;OK",Trades!$A$9:$A$508,"&lt;&gt;")&gt;0,"Check trades","OK"))))</f>
        <v/>
      </c>
      <c r="S194" s="34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P$9:$P$508),0),"")))</f>
        <v/>
      </c>
      <c r="T194" s="31" t="str">
        <f>IF(NOT(_EngineCycles!A194&lt;&gt;""),"",IF(NOT($R194="OK"),"",_EngineCycles!W194))</f>
        <v/>
      </c>
      <c r="U194" s="22"/>
      <c r="V194" s="22"/>
      <c r="W194" s="22"/>
      <c r="X194" s="22"/>
      <c r="Y194" t="str">
        <f>IF(AND($C194=Overview!$P$2,$Q194="Open",$R194="OK"),COUNTIFS($C$9:$C194,Overview!$P$2,$Q$9:$Q194,"Open",$R$9:$R194,"OK"),"")</f>
        <v/>
      </c>
    </row>
    <row r="195" spans="1:25" ht="23.1" customHeight="1" x14ac:dyDescent="0.25">
      <c r="A195" s="18" t="str">
        <f>IF(_EngineCycles!A195="","",_EngineCycles!B195&amp;IF(_EngineCycles!C195&gt;1," / "&amp;_EngineCycles!C195,""))</f>
        <v/>
      </c>
      <c r="B195" s="18" t="str">
        <f>IF(_EngineCycles!A195="","",_EngineCycles!D195)</f>
        <v/>
      </c>
      <c r="C195" s="18" t="str">
        <f>IF(_EngineCycles!A195="","",IFERROR(INDEX(Trades!$D$9:$D$508,_EngineCycles!AG195-8),""))</f>
        <v/>
      </c>
      <c r="D195" s="25" t="str">
        <f>IF(_EngineCycles!A195="","",IF($R195&lt;&gt;"OK","Review",IF(_EngineCycles!E195="Closed","Closed",IF(_EngineCycles!P195&gt;0,IF(IFERROR(LOOKUP(2,1/((_EngineTrades!$AU$9:$AU$508=_EngineCycles!A195)),_EngineTrades!$AQ$9:$AQ$508),0)&gt;0,"Covered Call","Shares Held"),"Cash-Secured Put"))))</f>
        <v/>
      </c>
      <c r="E195" s="26" t="str">
        <f>IF(NOT(_EngineCycles!A195&lt;&gt;""),"",IF(NOT($R195="OK"),"",_EngineCycles!P195))</f>
        <v/>
      </c>
      <c r="F195" s="17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AH$9:$AH$508),0),"")))</f>
        <v/>
      </c>
      <c r="G195" s="17" t="str">
        <f>IF(NOT(_EngineCycles!A195&lt;&gt;""),"",IF(NOT($R195="OK"),"",_EngineCycles!Q195))</f>
        <v/>
      </c>
      <c r="H195" s="27" t="str">
        <f>IF(NOT(_EngineCycles!A195&lt;&gt;""),"",IF(NOT($R195="OK"),"",_EngineCycles!J195))</f>
        <v/>
      </c>
      <c r="I195" s="17" t="str">
        <f>IF(NOT(_EngineCycles!A195&lt;&gt;""),"",IF(NOT($R195="OK"),"",_EngineCycles!I195))</f>
        <v/>
      </c>
      <c r="J195" s="17" t="str">
        <f>IF(NOT(_EngineCycles!A195&lt;&gt;""),"",IF(NOT($R195="OK"),"",_EngineCycles!L195))</f>
        <v/>
      </c>
      <c r="K195" s="17" t="str">
        <f>IF(NOT(_EngineCycles!A195&lt;&gt;""),"",IF(NOT($R195="OK"),"",_EngineCycles!U195))</f>
        <v/>
      </c>
      <c r="L195" s="27" t="str">
        <f>IF(NOT(_EngineCycles!A195&lt;&gt;""),"",IF(NOT($R195="OK"),"",_EngineCycles!AE195))</f>
        <v/>
      </c>
      <c r="M195" s="17" t="str">
        <f>IF(NOT(_EngineCycles!A195&lt;&gt;""),"",IF(NOT($R195="OK"),"",_EngineCycles!O195))</f>
        <v/>
      </c>
      <c r="N195" s="27" t="str">
        <f>IF(NOT(_EngineCycles!A195&lt;&gt;""),"",IF(NOT($R195="OK"),"",IF(_EngineCycles!E195="Closed",_EngineCycles!O195,"")))</f>
        <v/>
      </c>
      <c r="O195" s="28" t="str">
        <f>IF(NOT(_EngineCycles!A195&lt;&gt;""),"",IF(NOT($R195="OK"),"",_EngineCycles!Y195))</f>
        <v/>
      </c>
      <c r="P195" s="17" t="str">
        <f>IF(NOT(_EngineCycles!A195&lt;&gt;""),"",IF(NOT($R195="OK"),"",_EngineCycles!S195))</f>
        <v/>
      </c>
      <c r="Q195" s="25" t="str">
        <f>IF(_EngineCycles!A195="","",IF($R195&lt;&gt;"OK","Review",IF(_EngineCycles!E195="Closed","Closed","Open")))</f>
        <v/>
      </c>
      <c r="R195" s="18" t="str">
        <f>IF(_EngineCycles!A195="","",IF(COUNTIFS(Trades!$B$9:$B$508,_EngineCycles!B195,Trades!$C$9:$C$508,"&lt;&gt;"&amp;$B195,Trades!$A$9:$A$508,"&lt;&gt;")&gt;0,"Ticker mismatch",IF(COUNTIFS(Trades!$B$9:$B$508,_EngineCycles!B195,Trades!$D$9:$D$508,"&lt;&gt;"&amp;$C195,Trades!$A$9:$A$508,"&lt;&gt;")&gt;0,"Currency mismatch",IF(COUNTIFS(Trades!$B$9:$B$508,_EngineCycles!B195,Trades!$S$9:$S$508,"&lt;&gt;OK",Trades!$A$9:$A$508,"&lt;&gt;")&gt;0,"Check trades","OK"))))</f>
        <v/>
      </c>
      <c r="S195" s="29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P$9:$P$508),0),"")))</f>
        <v/>
      </c>
      <c r="T195" s="26" t="str">
        <f>IF(NOT(_EngineCycles!A195&lt;&gt;""),"",IF(NOT($R195="OK"),"",_EngineCycles!W195))</f>
        <v/>
      </c>
      <c r="U195" s="16"/>
      <c r="V195" s="16"/>
      <c r="W195" s="16"/>
      <c r="X195" s="16"/>
      <c r="Y195" t="str">
        <f>IF(AND($C195=Overview!$P$2,$Q195="Open",$R195="OK"),COUNTIFS($C$9:$C195,Overview!$P$2,$Q$9:$Q195,"Open",$R$9:$R195,"OK"),"")</f>
        <v/>
      </c>
    </row>
    <row r="196" spans="1:25" ht="23.1" customHeight="1" x14ac:dyDescent="0.25">
      <c r="A196" s="24" t="str">
        <f>IF(_EngineCycles!A196="","",_EngineCycles!B196&amp;IF(_EngineCycles!C196&gt;1," / "&amp;_EngineCycles!C196,""))</f>
        <v/>
      </c>
      <c r="B196" s="24" t="str">
        <f>IF(_EngineCycles!A196="","",_EngineCycles!D196)</f>
        <v/>
      </c>
      <c r="C196" s="24" t="str">
        <f>IF(_EngineCycles!A196="","",IFERROR(INDEX(Trades!$D$9:$D$508,_EngineCycles!AG196-8),""))</f>
        <v/>
      </c>
      <c r="D196" s="30" t="str">
        <f>IF(_EngineCycles!A196="","",IF($R196&lt;&gt;"OK","Review",IF(_EngineCycles!E196="Closed","Closed",IF(_EngineCycles!P196&gt;0,IF(IFERROR(LOOKUP(2,1/((_EngineTrades!$AU$9:$AU$508=_EngineCycles!A196)),_EngineTrades!$AQ$9:$AQ$508),0)&gt;0,"Covered Call","Shares Held"),"Cash-Secured Put"))))</f>
        <v/>
      </c>
      <c r="E196" s="31" t="str">
        <f>IF(NOT(_EngineCycles!A196&lt;&gt;""),"",IF(NOT($R196="OK"),"",_EngineCycles!P196))</f>
        <v/>
      </c>
      <c r="F196" s="23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AH$9:$AH$508),0),"")))</f>
        <v/>
      </c>
      <c r="G196" s="23" t="str">
        <f>IF(NOT(_EngineCycles!A196&lt;&gt;""),"",IF(NOT($R196="OK"),"",_EngineCycles!Q196))</f>
        <v/>
      </c>
      <c r="H196" s="32" t="str">
        <f>IF(NOT(_EngineCycles!A196&lt;&gt;""),"",IF(NOT($R196="OK"),"",_EngineCycles!J196))</f>
        <v/>
      </c>
      <c r="I196" s="23" t="str">
        <f>IF(NOT(_EngineCycles!A196&lt;&gt;""),"",IF(NOT($R196="OK"),"",_EngineCycles!I196))</f>
        <v/>
      </c>
      <c r="J196" s="23" t="str">
        <f>IF(NOT(_EngineCycles!A196&lt;&gt;""),"",IF(NOT($R196="OK"),"",_EngineCycles!L196))</f>
        <v/>
      </c>
      <c r="K196" s="23" t="str">
        <f>IF(NOT(_EngineCycles!A196&lt;&gt;""),"",IF(NOT($R196="OK"),"",_EngineCycles!U196))</f>
        <v/>
      </c>
      <c r="L196" s="32" t="str">
        <f>IF(NOT(_EngineCycles!A196&lt;&gt;""),"",IF(NOT($R196="OK"),"",_EngineCycles!AE196))</f>
        <v/>
      </c>
      <c r="M196" s="23" t="str">
        <f>IF(NOT(_EngineCycles!A196&lt;&gt;""),"",IF(NOT($R196="OK"),"",_EngineCycles!O196))</f>
        <v/>
      </c>
      <c r="N196" s="32" t="str">
        <f>IF(NOT(_EngineCycles!A196&lt;&gt;""),"",IF(NOT($R196="OK"),"",IF(_EngineCycles!E196="Closed",_EngineCycles!O196,"")))</f>
        <v/>
      </c>
      <c r="O196" s="33" t="str">
        <f>IF(NOT(_EngineCycles!A196&lt;&gt;""),"",IF(NOT($R196="OK"),"",_EngineCycles!Y196))</f>
        <v/>
      </c>
      <c r="P196" s="23" t="str">
        <f>IF(NOT(_EngineCycles!A196&lt;&gt;""),"",IF(NOT($R196="OK"),"",_EngineCycles!S196))</f>
        <v/>
      </c>
      <c r="Q196" s="30" t="str">
        <f>IF(_EngineCycles!A196="","",IF($R196&lt;&gt;"OK","Review",IF(_EngineCycles!E196="Closed","Closed","Open")))</f>
        <v/>
      </c>
      <c r="R196" s="24" t="str">
        <f>IF(_EngineCycles!A196="","",IF(COUNTIFS(Trades!$B$9:$B$508,_EngineCycles!B196,Trades!$C$9:$C$508,"&lt;&gt;"&amp;$B196,Trades!$A$9:$A$508,"&lt;&gt;")&gt;0,"Ticker mismatch",IF(COUNTIFS(Trades!$B$9:$B$508,_EngineCycles!B196,Trades!$D$9:$D$508,"&lt;&gt;"&amp;$C196,Trades!$A$9:$A$508,"&lt;&gt;")&gt;0,"Currency mismatch",IF(COUNTIFS(Trades!$B$9:$B$508,_EngineCycles!B196,Trades!$S$9:$S$508,"&lt;&gt;OK",Trades!$A$9:$A$508,"&lt;&gt;")&gt;0,"Check trades","OK"))))</f>
        <v/>
      </c>
      <c r="S196" s="34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P$9:$P$508),0),"")))</f>
        <v/>
      </c>
      <c r="T196" s="31" t="str">
        <f>IF(NOT(_EngineCycles!A196&lt;&gt;""),"",IF(NOT($R196="OK"),"",_EngineCycles!W196))</f>
        <v/>
      </c>
      <c r="U196" s="22"/>
      <c r="V196" s="22"/>
      <c r="W196" s="22"/>
      <c r="X196" s="22"/>
      <c r="Y196" t="str">
        <f>IF(AND($C196=Overview!$P$2,$Q196="Open",$R196="OK"),COUNTIFS($C$9:$C196,Overview!$P$2,$Q$9:$Q196,"Open",$R$9:$R196,"OK"),"")</f>
        <v/>
      </c>
    </row>
    <row r="197" spans="1:25" ht="23.1" customHeight="1" x14ac:dyDescent="0.25">
      <c r="A197" s="18" t="str">
        <f>IF(_EngineCycles!A197="","",_EngineCycles!B197&amp;IF(_EngineCycles!C197&gt;1," / "&amp;_EngineCycles!C197,""))</f>
        <v/>
      </c>
      <c r="B197" s="18" t="str">
        <f>IF(_EngineCycles!A197="","",_EngineCycles!D197)</f>
        <v/>
      </c>
      <c r="C197" s="18" t="str">
        <f>IF(_EngineCycles!A197="","",IFERROR(INDEX(Trades!$D$9:$D$508,_EngineCycles!AG197-8),""))</f>
        <v/>
      </c>
      <c r="D197" s="25" t="str">
        <f>IF(_EngineCycles!A197="","",IF($R197&lt;&gt;"OK","Review",IF(_EngineCycles!E197="Closed","Closed",IF(_EngineCycles!P197&gt;0,IF(IFERROR(LOOKUP(2,1/((_EngineTrades!$AU$9:$AU$508=_EngineCycles!A197)),_EngineTrades!$AQ$9:$AQ$508),0)&gt;0,"Covered Call","Shares Held"),"Cash-Secured Put"))))</f>
        <v/>
      </c>
      <c r="E197" s="26" t="str">
        <f>IF(NOT(_EngineCycles!A197&lt;&gt;""),"",IF(NOT($R197="OK"),"",_EngineCycles!P197))</f>
        <v/>
      </c>
      <c r="F197" s="17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AH$9:$AH$508),0),"")))</f>
        <v/>
      </c>
      <c r="G197" s="17" t="str">
        <f>IF(NOT(_EngineCycles!A197&lt;&gt;""),"",IF(NOT($R197="OK"),"",_EngineCycles!Q197))</f>
        <v/>
      </c>
      <c r="H197" s="27" t="str">
        <f>IF(NOT(_EngineCycles!A197&lt;&gt;""),"",IF(NOT($R197="OK"),"",_EngineCycles!J197))</f>
        <v/>
      </c>
      <c r="I197" s="17" t="str">
        <f>IF(NOT(_EngineCycles!A197&lt;&gt;""),"",IF(NOT($R197="OK"),"",_EngineCycles!I197))</f>
        <v/>
      </c>
      <c r="J197" s="17" t="str">
        <f>IF(NOT(_EngineCycles!A197&lt;&gt;""),"",IF(NOT($R197="OK"),"",_EngineCycles!L197))</f>
        <v/>
      </c>
      <c r="K197" s="17" t="str">
        <f>IF(NOT(_EngineCycles!A197&lt;&gt;""),"",IF(NOT($R197="OK"),"",_EngineCycles!U197))</f>
        <v/>
      </c>
      <c r="L197" s="27" t="str">
        <f>IF(NOT(_EngineCycles!A197&lt;&gt;""),"",IF(NOT($R197="OK"),"",_EngineCycles!AE197))</f>
        <v/>
      </c>
      <c r="M197" s="17" t="str">
        <f>IF(NOT(_EngineCycles!A197&lt;&gt;""),"",IF(NOT($R197="OK"),"",_EngineCycles!O197))</f>
        <v/>
      </c>
      <c r="N197" s="27" t="str">
        <f>IF(NOT(_EngineCycles!A197&lt;&gt;""),"",IF(NOT($R197="OK"),"",IF(_EngineCycles!E197="Closed",_EngineCycles!O197,"")))</f>
        <v/>
      </c>
      <c r="O197" s="28" t="str">
        <f>IF(NOT(_EngineCycles!A197&lt;&gt;""),"",IF(NOT($R197="OK"),"",_EngineCycles!Y197))</f>
        <v/>
      </c>
      <c r="P197" s="17" t="str">
        <f>IF(NOT(_EngineCycles!A197&lt;&gt;""),"",IF(NOT($R197="OK"),"",_EngineCycles!S197))</f>
        <v/>
      </c>
      <c r="Q197" s="25" t="str">
        <f>IF(_EngineCycles!A197="","",IF($R197&lt;&gt;"OK","Review",IF(_EngineCycles!E197="Closed","Closed","Open")))</f>
        <v/>
      </c>
      <c r="R197" s="18" t="str">
        <f>IF(_EngineCycles!A197="","",IF(COUNTIFS(Trades!$B$9:$B$508,_EngineCycles!B197,Trades!$C$9:$C$508,"&lt;&gt;"&amp;$B197,Trades!$A$9:$A$508,"&lt;&gt;")&gt;0,"Ticker mismatch",IF(COUNTIFS(Trades!$B$9:$B$508,_EngineCycles!B197,Trades!$D$9:$D$508,"&lt;&gt;"&amp;$C197,Trades!$A$9:$A$508,"&lt;&gt;")&gt;0,"Currency mismatch",IF(COUNTIFS(Trades!$B$9:$B$508,_EngineCycles!B197,Trades!$S$9:$S$508,"&lt;&gt;OK",Trades!$A$9:$A$508,"&lt;&gt;")&gt;0,"Check trades","OK"))))</f>
        <v/>
      </c>
      <c r="S197" s="29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P$9:$P$508),0),"")))</f>
        <v/>
      </c>
      <c r="T197" s="26" t="str">
        <f>IF(NOT(_EngineCycles!A197&lt;&gt;""),"",IF(NOT($R197="OK"),"",_EngineCycles!W197))</f>
        <v/>
      </c>
      <c r="U197" s="16"/>
      <c r="V197" s="16"/>
      <c r="W197" s="16"/>
      <c r="X197" s="16"/>
      <c r="Y197" t="str">
        <f>IF(AND($C197=Overview!$P$2,$Q197="Open",$R197="OK"),COUNTIFS($C$9:$C197,Overview!$P$2,$Q$9:$Q197,"Open",$R$9:$R197,"OK"),"")</f>
        <v/>
      </c>
    </row>
    <row r="198" spans="1:25" ht="23.1" customHeight="1" x14ac:dyDescent="0.25">
      <c r="A198" s="24" t="str">
        <f>IF(_EngineCycles!A198="","",_EngineCycles!B198&amp;IF(_EngineCycles!C198&gt;1," / "&amp;_EngineCycles!C198,""))</f>
        <v/>
      </c>
      <c r="B198" s="24" t="str">
        <f>IF(_EngineCycles!A198="","",_EngineCycles!D198)</f>
        <v/>
      </c>
      <c r="C198" s="24" t="str">
        <f>IF(_EngineCycles!A198="","",IFERROR(INDEX(Trades!$D$9:$D$508,_EngineCycles!AG198-8),""))</f>
        <v/>
      </c>
      <c r="D198" s="30" t="str">
        <f>IF(_EngineCycles!A198="","",IF($R198&lt;&gt;"OK","Review",IF(_EngineCycles!E198="Closed","Closed",IF(_EngineCycles!P198&gt;0,IF(IFERROR(LOOKUP(2,1/((_EngineTrades!$AU$9:$AU$508=_EngineCycles!A198)),_EngineTrades!$AQ$9:$AQ$508),0)&gt;0,"Covered Call","Shares Held"),"Cash-Secured Put"))))</f>
        <v/>
      </c>
      <c r="E198" s="31" t="str">
        <f>IF(NOT(_EngineCycles!A198&lt;&gt;""),"",IF(NOT($R198="OK"),"",_EngineCycles!P198))</f>
        <v/>
      </c>
      <c r="F198" s="23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AH$9:$AH$508),0),"")))</f>
        <v/>
      </c>
      <c r="G198" s="23" t="str">
        <f>IF(NOT(_EngineCycles!A198&lt;&gt;""),"",IF(NOT($R198="OK"),"",_EngineCycles!Q198))</f>
        <v/>
      </c>
      <c r="H198" s="32" t="str">
        <f>IF(NOT(_EngineCycles!A198&lt;&gt;""),"",IF(NOT($R198="OK"),"",_EngineCycles!J198))</f>
        <v/>
      </c>
      <c r="I198" s="23" t="str">
        <f>IF(NOT(_EngineCycles!A198&lt;&gt;""),"",IF(NOT($R198="OK"),"",_EngineCycles!I198))</f>
        <v/>
      </c>
      <c r="J198" s="23" t="str">
        <f>IF(NOT(_EngineCycles!A198&lt;&gt;""),"",IF(NOT($R198="OK"),"",_EngineCycles!L198))</f>
        <v/>
      </c>
      <c r="K198" s="23" t="str">
        <f>IF(NOT(_EngineCycles!A198&lt;&gt;""),"",IF(NOT($R198="OK"),"",_EngineCycles!U198))</f>
        <v/>
      </c>
      <c r="L198" s="32" t="str">
        <f>IF(NOT(_EngineCycles!A198&lt;&gt;""),"",IF(NOT($R198="OK"),"",_EngineCycles!AE198))</f>
        <v/>
      </c>
      <c r="M198" s="23" t="str">
        <f>IF(NOT(_EngineCycles!A198&lt;&gt;""),"",IF(NOT($R198="OK"),"",_EngineCycles!O198))</f>
        <v/>
      </c>
      <c r="N198" s="32" t="str">
        <f>IF(NOT(_EngineCycles!A198&lt;&gt;""),"",IF(NOT($R198="OK"),"",IF(_EngineCycles!E198="Closed",_EngineCycles!O198,"")))</f>
        <v/>
      </c>
      <c r="O198" s="33" t="str">
        <f>IF(NOT(_EngineCycles!A198&lt;&gt;""),"",IF(NOT($R198="OK"),"",_EngineCycles!Y198))</f>
        <v/>
      </c>
      <c r="P198" s="23" t="str">
        <f>IF(NOT(_EngineCycles!A198&lt;&gt;""),"",IF(NOT($R198="OK"),"",_EngineCycles!S198))</f>
        <v/>
      </c>
      <c r="Q198" s="30" t="str">
        <f>IF(_EngineCycles!A198="","",IF($R198&lt;&gt;"OK","Review",IF(_EngineCycles!E198="Closed","Closed","Open")))</f>
        <v/>
      </c>
      <c r="R198" s="24" t="str">
        <f>IF(_EngineCycles!A198="","",IF(COUNTIFS(Trades!$B$9:$B$508,_EngineCycles!B198,Trades!$C$9:$C$508,"&lt;&gt;"&amp;$B198,Trades!$A$9:$A$508,"&lt;&gt;")&gt;0,"Ticker mismatch",IF(COUNTIFS(Trades!$B$9:$B$508,_EngineCycles!B198,Trades!$D$9:$D$508,"&lt;&gt;"&amp;$C198,Trades!$A$9:$A$508,"&lt;&gt;")&gt;0,"Currency mismatch",IF(COUNTIFS(Trades!$B$9:$B$508,_EngineCycles!B198,Trades!$S$9:$S$508,"&lt;&gt;OK",Trades!$A$9:$A$508,"&lt;&gt;")&gt;0,"Check trades","OK"))))</f>
        <v/>
      </c>
      <c r="S198" s="34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P$9:$P$508),0),"")))</f>
        <v/>
      </c>
      <c r="T198" s="31" t="str">
        <f>IF(NOT(_EngineCycles!A198&lt;&gt;""),"",IF(NOT($R198="OK"),"",_EngineCycles!W198))</f>
        <v/>
      </c>
      <c r="U198" s="22"/>
      <c r="V198" s="22"/>
      <c r="W198" s="22"/>
      <c r="X198" s="22"/>
      <c r="Y198" t="str">
        <f>IF(AND($C198=Overview!$P$2,$Q198="Open",$R198="OK"),COUNTIFS($C$9:$C198,Overview!$P$2,$Q$9:$Q198,"Open",$R$9:$R198,"OK"),"")</f>
        <v/>
      </c>
    </row>
    <row r="199" spans="1:25" ht="23.1" customHeight="1" x14ac:dyDescent="0.25">
      <c r="A199" s="18" t="str">
        <f>IF(_EngineCycles!A199="","",_EngineCycles!B199&amp;IF(_EngineCycles!C199&gt;1," / "&amp;_EngineCycles!C199,""))</f>
        <v/>
      </c>
      <c r="B199" s="18" t="str">
        <f>IF(_EngineCycles!A199="","",_EngineCycles!D199)</f>
        <v/>
      </c>
      <c r="C199" s="18" t="str">
        <f>IF(_EngineCycles!A199="","",IFERROR(INDEX(Trades!$D$9:$D$508,_EngineCycles!AG199-8),""))</f>
        <v/>
      </c>
      <c r="D199" s="25" t="str">
        <f>IF(_EngineCycles!A199="","",IF($R199&lt;&gt;"OK","Review",IF(_EngineCycles!E199="Closed","Closed",IF(_EngineCycles!P199&gt;0,IF(IFERROR(LOOKUP(2,1/((_EngineTrades!$AU$9:$AU$508=_EngineCycles!A199)),_EngineTrades!$AQ$9:$AQ$508),0)&gt;0,"Covered Call","Shares Held"),"Cash-Secured Put"))))</f>
        <v/>
      </c>
      <c r="E199" s="26" t="str">
        <f>IF(NOT(_EngineCycles!A199&lt;&gt;""),"",IF(NOT($R199="OK"),"",_EngineCycles!P199))</f>
        <v/>
      </c>
      <c r="F199" s="17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AH$9:$AH$508),0),"")))</f>
        <v/>
      </c>
      <c r="G199" s="17" t="str">
        <f>IF(NOT(_EngineCycles!A199&lt;&gt;""),"",IF(NOT($R199="OK"),"",_EngineCycles!Q199))</f>
        <v/>
      </c>
      <c r="H199" s="27" t="str">
        <f>IF(NOT(_EngineCycles!A199&lt;&gt;""),"",IF(NOT($R199="OK"),"",_EngineCycles!J199))</f>
        <v/>
      </c>
      <c r="I199" s="17" t="str">
        <f>IF(NOT(_EngineCycles!A199&lt;&gt;""),"",IF(NOT($R199="OK"),"",_EngineCycles!I199))</f>
        <v/>
      </c>
      <c r="J199" s="17" t="str">
        <f>IF(NOT(_EngineCycles!A199&lt;&gt;""),"",IF(NOT($R199="OK"),"",_EngineCycles!L199))</f>
        <v/>
      </c>
      <c r="K199" s="17" t="str">
        <f>IF(NOT(_EngineCycles!A199&lt;&gt;""),"",IF(NOT($R199="OK"),"",_EngineCycles!U199))</f>
        <v/>
      </c>
      <c r="L199" s="27" t="str">
        <f>IF(NOT(_EngineCycles!A199&lt;&gt;""),"",IF(NOT($R199="OK"),"",_EngineCycles!AE199))</f>
        <v/>
      </c>
      <c r="M199" s="17" t="str">
        <f>IF(NOT(_EngineCycles!A199&lt;&gt;""),"",IF(NOT($R199="OK"),"",_EngineCycles!O199))</f>
        <v/>
      </c>
      <c r="N199" s="27" t="str">
        <f>IF(NOT(_EngineCycles!A199&lt;&gt;""),"",IF(NOT($R199="OK"),"",IF(_EngineCycles!E199="Closed",_EngineCycles!O199,"")))</f>
        <v/>
      </c>
      <c r="O199" s="28" t="str">
        <f>IF(NOT(_EngineCycles!A199&lt;&gt;""),"",IF(NOT($R199="OK"),"",_EngineCycles!Y199))</f>
        <v/>
      </c>
      <c r="P199" s="17" t="str">
        <f>IF(NOT(_EngineCycles!A199&lt;&gt;""),"",IF(NOT($R199="OK"),"",_EngineCycles!S199))</f>
        <v/>
      </c>
      <c r="Q199" s="25" t="str">
        <f>IF(_EngineCycles!A199="","",IF($R199&lt;&gt;"OK","Review",IF(_EngineCycles!E199="Closed","Closed","Open")))</f>
        <v/>
      </c>
      <c r="R199" s="18" t="str">
        <f>IF(_EngineCycles!A199="","",IF(COUNTIFS(Trades!$B$9:$B$508,_EngineCycles!B199,Trades!$C$9:$C$508,"&lt;&gt;"&amp;$B199,Trades!$A$9:$A$508,"&lt;&gt;")&gt;0,"Ticker mismatch",IF(COUNTIFS(Trades!$B$9:$B$508,_EngineCycles!B199,Trades!$D$9:$D$508,"&lt;&gt;"&amp;$C199,Trades!$A$9:$A$508,"&lt;&gt;")&gt;0,"Currency mismatch",IF(COUNTIFS(Trades!$B$9:$B$508,_EngineCycles!B199,Trades!$S$9:$S$508,"&lt;&gt;OK",Trades!$A$9:$A$508,"&lt;&gt;")&gt;0,"Check trades","OK"))))</f>
        <v/>
      </c>
      <c r="S199" s="29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P$9:$P$508),0),"")))</f>
        <v/>
      </c>
      <c r="T199" s="26" t="str">
        <f>IF(NOT(_EngineCycles!A199&lt;&gt;""),"",IF(NOT($R199="OK"),"",_EngineCycles!W199))</f>
        <v/>
      </c>
      <c r="U199" s="16"/>
      <c r="V199" s="16"/>
      <c r="W199" s="16"/>
      <c r="X199" s="16"/>
      <c r="Y199" t="str">
        <f>IF(AND($C199=Overview!$P$2,$Q199="Open",$R199="OK"),COUNTIFS($C$9:$C199,Overview!$P$2,$Q$9:$Q199,"Open",$R$9:$R199,"OK"),"")</f>
        <v/>
      </c>
    </row>
    <row r="200" spans="1:25" ht="23.1" customHeight="1" x14ac:dyDescent="0.25">
      <c r="A200" s="24" t="str">
        <f>IF(_EngineCycles!A200="","",_EngineCycles!B200&amp;IF(_EngineCycles!C200&gt;1," / "&amp;_EngineCycles!C200,""))</f>
        <v/>
      </c>
      <c r="B200" s="24" t="str">
        <f>IF(_EngineCycles!A200="","",_EngineCycles!D200)</f>
        <v/>
      </c>
      <c r="C200" s="24" t="str">
        <f>IF(_EngineCycles!A200="","",IFERROR(INDEX(Trades!$D$9:$D$508,_EngineCycles!AG200-8),""))</f>
        <v/>
      </c>
      <c r="D200" s="30" t="str">
        <f>IF(_EngineCycles!A200="","",IF($R200&lt;&gt;"OK","Review",IF(_EngineCycles!E200="Closed","Closed",IF(_EngineCycles!P200&gt;0,IF(IFERROR(LOOKUP(2,1/((_EngineTrades!$AU$9:$AU$508=_EngineCycles!A200)),_EngineTrades!$AQ$9:$AQ$508),0)&gt;0,"Covered Call","Shares Held"),"Cash-Secured Put"))))</f>
        <v/>
      </c>
      <c r="E200" s="31" t="str">
        <f>IF(NOT(_EngineCycles!A200&lt;&gt;""),"",IF(NOT($R200="OK"),"",_EngineCycles!P200))</f>
        <v/>
      </c>
      <c r="F200" s="23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AH$9:$AH$508),0),"")))</f>
        <v/>
      </c>
      <c r="G200" s="23" t="str">
        <f>IF(NOT(_EngineCycles!A200&lt;&gt;""),"",IF(NOT($R200="OK"),"",_EngineCycles!Q200))</f>
        <v/>
      </c>
      <c r="H200" s="32" t="str">
        <f>IF(NOT(_EngineCycles!A200&lt;&gt;""),"",IF(NOT($R200="OK"),"",_EngineCycles!J200))</f>
        <v/>
      </c>
      <c r="I200" s="23" t="str">
        <f>IF(NOT(_EngineCycles!A200&lt;&gt;""),"",IF(NOT($R200="OK"),"",_EngineCycles!I200))</f>
        <v/>
      </c>
      <c r="J200" s="23" t="str">
        <f>IF(NOT(_EngineCycles!A200&lt;&gt;""),"",IF(NOT($R200="OK"),"",_EngineCycles!L200))</f>
        <v/>
      </c>
      <c r="K200" s="23" t="str">
        <f>IF(NOT(_EngineCycles!A200&lt;&gt;""),"",IF(NOT($R200="OK"),"",_EngineCycles!U200))</f>
        <v/>
      </c>
      <c r="L200" s="32" t="str">
        <f>IF(NOT(_EngineCycles!A200&lt;&gt;""),"",IF(NOT($R200="OK"),"",_EngineCycles!AE200))</f>
        <v/>
      </c>
      <c r="M200" s="23" t="str">
        <f>IF(NOT(_EngineCycles!A200&lt;&gt;""),"",IF(NOT($R200="OK"),"",_EngineCycles!O200))</f>
        <v/>
      </c>
      <c r="N200" s="32" t="str">
        <f>IF(NOT(_EngineCycles!A200&lt;&gt;""),"",IF(NOT($R200="OK"),"",IF(_EngineCycles!E200="Closed",_EngineCycles!O200,"")))</f>
        <v/>
      </c>
      <c r="O200" s="33" t="str">
        <f>IF(NOT(_EngineCycles!A200&lt;&gt;""),"",IF(NOT($R200="OK"),"",_EngineCycles!Y200))</f>
        <v/>
      </c>
      <c r="P200" s="23" t="str">
        <f>IF(NOT(_EngineCycles!A200&lt;&gt;""),"",IF(NOT($R200="OK"),"",_EngineCycles!S200))</f>
        <v/>
      </c>
      <c r="Q200" s="30" t="str">
        <f>IF(_EngineCycles!A200="","",IF($R200&lt;&gt;"OK","Review",IF(_EngineCycles!E200="Closed","Closed","Open")))</f>
        <v/>
      </c>
      <c r="R200" s="24" t="str">
        <f>IF(_EngineCycles!A200="","",IF(COUNTIFS(Trades!$B$9:$B$508,_EngineCycles!B200,Trades!$C$9:$C$508,"&lt;&gt;"&amp;$B200,Trades!$A$9:$A$508,"&lt;&gt;")&gt;0,"Ticker mismatch",IF(COUNTIFS(Trades!$B$9:$B$508,_EngineCycles!B200,Trades!$D$9:$D$508,"&lt;&gt;"&amp;$C200,Trades!$A$9:$A$508,"&lt;&gt;")&gt;0,"Currency mismatch",IF(COUNTIFS(Trades!$B$9:$B$508,_EngineCycles!B200,Trades!$S$9:$S$508,"&lt;&gt;OK",Trades!$A$9:$A$508,"&lt;&gt;")&gt;0,"Check trades","OK"))))</f>
        <v/>
      </c>
      <c r="S200" s="34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P$9:$P$508),0),"")))</f>
        <v/>
      </c>
      <c r="T200" s="31" t="str">
        <f>IF(NOT(_EngineCycles!A200&lt;&gt;""),"",IF(NOT($R200="OK"),"",_EngineCycles!W200))</f>
        <v/>
      </c>
      <c r="U200" s="22"/>
      <c r="V200" s="22"/>
      <c r="W200" s="22"/>
      <c r="X200" s="22"/>
      <c r="Y200" t="str">
        <f>IF(AND($C200=Overview!$P$2,$Q200="Open",$R200="OK"),COUNTIFS($C$9:$C200,Overview!$P$2,$Q$9:$Q200,"Open",$R$9:$R200,"OK"),"")</f>
        <v/>
      </c>
    </row>
    <row r="201" spans="1:25" ht="23.1" customHeight="1" x14ac:dyDescent="0.25">
      <c r="A201" s="18" t="str">
        <f>IF(_EngineCycles!A201="","",_EngineCycles!B201&amp;IF(_EngineCycles!C201&gt;1," / "&amp;_EngineCycles!C201,""))</f>
        <v/>
      </c>
      <c r="B201" s="18" t="str">
        <f>IF(_EngineCycles!A201="","",_EngineCycles!D201)</f>
        <v/>
      </c>
      <c r="C201" s="18" t="str">
        <f>IF(_EngineCycles!A201="","",IFERROR(INDEX(Trades!$D$9:$D$508,_EngineCycles!AG201-8),""))</f>
        <v/>
      </c>
      <c r="D201" s="25" t="str">
        <f>IF(_EngineCycles!A201="","",IF($R201&lt;&gt;"OK","Review",IF(_EngineCycles!E201="Closed","Closed",IF(_EngineCycles!P201&gt;0,IF(IFERROR(LOOKUP(2,1/((_EngineTrades!$AU$9:$AU$508=_EngineCycles!A201)),_EngineTrades!$AQ$9:$AQ$508),0)&gt;0,"Covered Call","Shares Held"),"Cash-Secured Put"))))</f>
        <v/>
      </c>
      <c r="E201" s="26" t="str">
        <f>IF(NOT(_EngineCycles!A201&lt;&gt;""),"",IF(NOT($R201="OK"),"",_EngineCycles!P201))</f>
        <v/>
      </c>
      <c r="F201" s="17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AH$9:$AH$508),0),"")))</f>
        <v/>
      </c>
      <c r="G201" s="17" t="str">
        <f>IF(NOT(_EngineCycles!A201&lt;&gt;""),"",IF(NOT($R201="OK"),"",_EngineCycles!Q201))</f>
        <v/>
      </c>
      <c r="H201" s="27" t="str">
        <f>IF(NOT(_EngineCycles!A201&lt;&gt;""),"",IF(NOT($R201="OK"),"",_EngineCycles!J201))</f>
        <v/>
      </c>
      <c r="I201" s="17" t="str">
        <f>IF(NOT(_EngineCycles!A201&lt;&gt;""),"",IF(NOT($R201="OK"),"",_EngineCycles!I201))</f>
        <v/>
      </c>
      <c r="J201" s="17" t="str">
        <f>IF(NOT(_EngineCycles!A201&lt;&gt;""),"",IF(NOT($R201="OK"),"",_EngineCycles!L201))</f>
        <v/>
      </c>
      <c r="K201" s="17" t="str">
        <f>IF(NOT(_EngineCycles!A201&lt;&gt;""),"",IF(NOT($R201="OK"),"",_EngineCycles!U201))</f>
        <v/>
      </c>
      <c r="L201" s="27" t="str">
        <f>IF(NOT(_EngineCycles!A201&lt;&gt;""),"",IF(NOT($R201="OK"),"",_EngineCycles!AE201))</f>
        <v/>
      </c>
      <c r="M201" s="17" t="str">
        <f>IF(NOT(_EngineCycles!A201&lt;&gt;""),"",IF(NOT($R201="OK"),"",_EngineCycles!O201))</f>
        <v/>
      </c>
      <c r="N201" s="27" t="str">
        <f>IF(NOT(_EngineCycles!A201&lt;&gt;""),"",IF(NOT($R201="OK"),"",IF(_EngineCycles!E201="Closed",_EngineCycles!O201,"")))</f>
        <v/>
      </c>
      <c r="O201" s="28" t="str">
        <f>IF(NOT(_EngineCycles!A201&lt;&gt;""),"",IF(NOT($R201="OK"),"",_EngineCycles!Y201))</f>
        <v/>
      </c>
      <c r="P201" s="17" t="str">
        <f>IF(NOT(_EngineCycles!A201&lt;&gt;""),"",IF(NOT($R201="OK"),"",_EngineCycles!S201))</f>
        <v/>
      </c>
      <c r="Q201" s="25" t="str">
        <f>IF(_EngineCycles!A201="","",IF($R201&lt;&gt;"OK","Review",IF(_EngineCycles!E201="Closed","Closed","Open")))</f>
        <v/>
      </c>
      <c r="R201" s="18" t="str">
        <f>IF(_EngineCycles!A201="","",IF(COUNTIFS(Trades!$B$9:$B$508,_EngineCycles!B201,Trades!$C$9:$C$508,"&lt;&gt;"&amp;$B201,Trades!$A$9:$A$508,"&lt;&gt;")&gt;0,"Ticker mismatch",IF(COUNTIFS(Trades!$B$9:$B$508,_EngineCycles!B201,Trades!$D$9:$D$508,"&lt;&gt;"&amp;$C201,Trades!$A$9:$A$508,"&lt;&gt;")&gt;0,"Currency mismatch",IF(COUNTIFS(Trades!$B$9:$B$508,_EngineCycles!B201,Trades!$S$9:$S$508,"&lt;&gt;OK",Trades!$A$9:$A$508,"&lt;&gt;")&gt;0,"Check trades","OK"))))</f>
        <v/>
      </c>
      <c r="S201" s="29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P$9:$P$508),0),"")))</f>
        <v/>
      </c>
      <c r="T201" s="26" t="str">
        <f>IF(NOT(_EngineCycles!A201&lt;&gt;""),"",IF(NOT($R201="OK"),"",_EngineCycles!W201))</f>
        <v/>
      </c>
      <c r="U201" s="16"/>
      <c r="V201" s="16"/>
      <c r="W201" s="16"/>
      <c r="X201" s="16"/>
      <c r="Y201" t="str">
        <f>IF(AND($C201=Overview!$P$2,$Q201="Open",$R201="OK"),COUNTIFS($C$9:$C201,Overview!$P$2,$Q$9:$Q201,"Open",$R$9:$R201,"OK"),"")</f>
        <v/>
      </c>
    </row>
    <row r="202" spans="1:25" ht="23.1" customHeight="1" x14ac:dyDescent="0.25">
      <c r="A202" s="24" t="str">
        <f>IF(_EngineCycles!A202="","",_EngineCycles!B202&amp;IF(_EngineCycles!C202&gt;1," / "&amp;_EngineCycles!C202,""))</f>
        <v/>
      </c>
      <c r="B202" s="24" t="str">
        <f>IF(_EngineCycles!A202="","",_EngineCycles!D202)</f>
        <v/>
      </c>
      <c r="C202" s="24" t="str">
        <f>IF(_EngineCycles!A202="","",IFERROR(INDEX(Trades!$D$9:$D$508,_EngineCycles!AG202-8),""))</f>
        <v/>
      </c>
      <c r="D202" s="30" t="str">
        <f>IF(_EngineCycles!A202="","",IF($R202&lt;&gt;"OK","Review",IF(_EngineCycles!E202="Closed","Closed",IF(_EngineCycles!P202&gt;0,IF(IFERROR(LOOKUP(2,1/((_EngineTrades!$AU$9:$AU$508=_EngineCycles!A202)),_EngineTrades!$AQ$9:$AQ$508),0)&gt;0,"Covered Call","Shares Held"),"Cash-Secured Put"))))</f>
        <v/>
      </c>
      <c r="E202" s="31" t="str">
        <f>IF(NOT(_EngineCycles!A202&lt;&gt;""),"",IF(NOT($R202="OK"),"",_EngineCycles!P202))</f>
        <v/>
      </c>
      <c r="F202" s="23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AH$9:$AH$508),0),"")))</f>
        <v/>
      </c>
      <c r="G202" s="23" t="str">
        <f>IF(NOT(_EngineCycles!A202&lt;&gt;""),"",IF(NOT($R202="OK"),"",_EngineCycles!Q202))</f>
        <v/>
      </c>
      <c r="H202" s="32" t="str">
        <f>IF(NOT(_EngineCycles!A202&lt;&gt;""),"",IF(NOT($R202="OK"),"",_EngineCycles!J202))</f>
        <v/>
      </c>
      <c r="I202" s="23" t="str">
        <f>IF(NOT(_EngineCycles!A202&lt;&gt;""),"",IF(NOT($R202="OK"),"",_EngineCycles!I202))</f>
        <v/>
      </c>
      <c r="J202" s="23" t="str">
        <f>IF(NOT(_EngineCycles!A202&lt;&gt;""),"",IF(NOT($R202="OK"),"",_EngineCycles!L202))</f>
        <v/>
      </c>
      <c r="K202" s="23" t="str">
        <f>IF(NOT(_EngineCycles!A202&lt;&gt;""),"",IF(NOT($R202="OK"),"",_EngineCycles!U202))</f>
        <v/>
      </c>
      <c r="L202" s="32" t="str">
        <f>IF(NOT(_EngineCycles!A202&lt;&gt;""),"",IF(NOT($R202="OK"),"",_EngineCycles!AE202))</f>
        <v/>
      </c>
      <c r="M202" s="23" t="str">
        <f>IF(NOT(_EngineCycles!A202&lt;&gt;""),"",IF(NOT($R202="OK"),"",_EngineCycles!O202))</f>
        <v/>
      </c>
      <c r="N202" s="32" t="str">
        <f>IF(NOT(_EngineCycles!A202&lt;&gt;""),"",IF(NOT($R202="OK"),"",IF(_EngineCycles!E202="Closed",_EngineCycles!O202,"")))</f>
        <v/>
      </c>
      <c r="O202" s="33" t="str">
        <f>IF(NOT(_EngineCycles!A202&lt;&gt;""),"",IF(NOT($R202="OK"),"",_EngineCycles!Y202))</f>
        <v/>
      </c>
      <c r="P202" s="23" t="str">
        <f>IF(NOT(_EngineCycles!A202&lt;&gt;""),"",IF(NOT($R202="OK"),"",_EngineCycles!S202))</f>
        <v/>
      </c>
      <c r="Q202" s="30" t="str">
        <f>IF(_EngineCycles!A202="","",IF($R202&lt;&gt;"OK","Review",IF(_EngineCycles!E202="Closed","Closed","Open")))</f>
        <v/>
      </c>
      <c r="R202" s="24" t="str">
        <f>IF(_EngineCycles!A202="","",IF(COUNTIFS(Trades!$B$9:$B$508,_EngineCycles!B202,Trades!$C$9:$C$508,"&lt;&gt;"&amp;$B202,Trades!$A$9:$A$508,"&lt;&gt;")&gt;0,"Ticker mismatch",IF(COUNTIFS(Trades!$B$9:$B$508,_EngineCycles!B202,Trades!$D$9:$D$508,"&lt;&gt;"&amp;$C202,Trades!$A$9:$A$508,"&lt;&gt;")&gt;0,"Currency mismatch",IF(COUNTIFS(Trades!$B$9:$B$508,_EngineCycles!B202,Trades!$S$9:$S$508,"&lt;&gt;OK",Trades!$A$9:$A$508,"&lt;&gt;")&gt;0,"Check trades","OK"))))</f>
        <v/>
      </c>
      <c r="S202" s="34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P$9:$P$508),0),"")))</f>
        <v/>
      </c>
      <c r="T202" s="31" t="str">
        <f>IF(NOT(_EngineCycles!A202&lt;&gt;""),"",IF(NOT($R202="OK"),"",_EngineCycles!W202))</f>
        <v/>
      </c>
      <c r="U202" s="22"/>
      <c r="V202" s="22"/>
      <c r="W202" s="22"/>
      <c r="X202" s="22"/>
      <c r="Y202" t="str">
        <f>IF(AND($C202=Overview!$P$2,$Q202="Open",$R202="OK"),COUNTIFS($C$9:$C202,Overview!$P$2,$Q$9:$Q202,"Open",$R$9:$R202,"OK"),"")</f>
        <v/>
      </c>
    </row>
    <row r="203" spans="1:25" ht="23.1" customHeight="1" x14ac:dyDescent="0.25">
      <c r="A203" s="18" t="str">
        <f>IF(_EngineCycles!A203="","",_EngineCycles!B203&amp;IF(_EngineCycles!C203&gt;1," / "&amp;_EngineCycles!C203,""))</f>
        <v/>
      </c>
      <c r="B203" s="18" t="str">
        <f>IF(_EngineCycles!A203="","",_EngineCycles!D203)</f>
        <v/>
      </c>
      <c r="C203" s="18" t="str">
        <f>IF(_EngineCycles!A203="","",IFERROR(INDEX(Trades!$D$9:$D$508,_EngineCycles!AG203-8),""))</f>
        <v/>
      </c>
      <c r="D203" s="25" t="str">
        <f>IF(_EngineCycles!A203="","",IF($R203&lt;&gt;"OK","Review",IF(_EngineCycles!E203="Closed","Closed",IF(_EngineCycles!P203&gt;0,IF(IFERROR(LOOKUP(2,1/((_EngineTrades!$AU$9:$AU$508=_EngineCycles!A203)),_EngineTrades!$AQ$9:$AQ$508),0)&gt;0,"Covered Call","Shares Held"),"Cash-Secured Put"))))</f>
        <v/>
      </c>
      <c r="E203" s="26" t="str">
        <f>IF(NOT(_EngineCycles!A203&lt;&gt;""),"",IF(NOT($R203="OK"),"",_EngineCycles!P203))</f>
        <v/>
      </c>
      <c r="F203" s="17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AH$9:$AH$508),0),"")))</f>
        <v/>
      </c>
      <c r="G203" s="17" t="str">
        <f>IF(NOT(_EngineCycles!A203&lt;&gt;""),"",IF(NOT($R203="OK"),"",_EngineCycles!Q203))</f>
        <v/>
      </c>
      <c r="H203" s="27" t="str">
        <f>IF(NOT(_EngineCycles!A203&lt;&gt;""),"",IF(NOT($R203="OK"),"",_EngineCycles!J203))</f>
        <v/>
      </c>
      <c r="I203" s="17" t="str">
        <f>IF(NOT(_EngineCycles!A203&lt;&gt;""),"",IF(NOT($R203="OK"),"",_EngineCycles!I203))</f>
        <v/>
      </c>
      <c r="J203" s="17" t="str">
        <f>IF(NOT(_EngineCycles!A203&lt;&gt;""),"",IF(NOT($R203="OK"),"",_EngineCycles!L203))</f>
        <v/>
      </c>
      <c r="K203" s="17" t="str">
        <f>IF(NOT(_EngineCycles!A203&lt;&gt;""),"",IF(NOT($R203="OK"),"",_EngineCycles!U203))</f>
        <v/>
      </c>
      <c r="L203" s="27" t="str">
        <f>IF(NOT(_EngineCycles!A203&lt;&gt;""),"",IF(NOT($R203="OK"),"",_EngineCycles!AE203))</f>
        <v/>
      </c>
      <c r="M203" s="17" t="str">
        <f>IF(NOT(_EngineCycles!A203&lt;&gt;""),"",IF(NOT($R203="OK"),"",_EngineCycles!O203))</f>
        <v/>
      </c>
      <c r="N203" s="27" t="str">
        <f>IF(NOT(_EngineCycles!A203&lt;&gt;""),"",IF(NOT($R203="OK"),"",IF(_EngineCycles!E203="Closed",_EngineCycles!O203,"")))</f>
        <v/>
      </c>
      <c r="O203" s="28" t="str">
        <f>IF(NOT(_EngineCycles!A203&lt;&gt;""),"",IF(NOT($R203="OK"),"",_EngineCycles!Y203))</f>
        <v/>
      </c>
      <c r="P203" s="17" t="str">
        <f>IF(NOT(_EngineCycles!A203&lt;&gt;""),"",IF(NOT($R203="OK"),"",_EngineCycles!S203))</f>
        <v/>
      </c>
      <c r="Q203" s="25" t="str">
        <f>IF(_EngineCycles!A203="","",IF($R203&lt;&gt;"OK","Review",IF(_EngineCycles!E203="Closed","Closed","Open")))</f>
        <v/>
      </c>
      <c r="R203" s="18" t="str">
        <f>IF(_EngineCycles!A203="","",IF(COUNTIFS(Trades!$B$9:$B$508,_EngineCycles!B203,Trades!$C$9:$C$508,"&lt;&gt;"&amp;$B203,Trades!$A$9:$A$508,"&lt;&gt;")&gt;0,"Ticker mismatch",IF(COUNTIFS(Trades!$B$9:$B$508,_EngineCycles!B203,Trades!$D$9:$D$508,"&lt;&gt;"&amp;$C203,Trades!$A$9:$A$508,"&lt;&gt;")&gt;0,"Currency mismatch",IF(COUNTIFS(Trades!$B$9:$B$508,_EngineCycles!B203,Trades!$S$9:$S$508,"&lt;&gt;OK",Trades!$A$9:$A$508,"&lt;&gt;")&gt;0,"Check trades","OK"))))</f>
        <v/>
      </c>
      <c r="S203" s="29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P$9:$P$508),0),"")))</f>
        <v/>
      </c>
      <c r="T203" s="26" t="str">
        <f>IF(NOT(_EngineCycles!A203&lt;&gt;""),"",IF(NOT($R203="OK"),"",_EngineCycles!W203))</f>
        <v/>
      </c>
      <c r="U203" s="16"/>
      <c r="V203" s="16"/>
      <c r="W203" s="16"/>
      <c r="X203" s="16"/>
      <c r="Y203" t="str">
        <f>IF(AND($C203=Overview!$P$2,$Q203="Open",$R203="OK"),COUNTIFS($C$9:$C203,Overview!$P$2,$Q$9:$Q203,"Open",$R$9:$R203,"OK"),"")</f>
        <v/>
      </c>
    </row>
    <row r="204" spans="1:25" ht="23.1" customHeight="1" x14ac:dyDescent="0.25">
      <c r="A204" s="24" t="str">
        <f>IF(_EngineCycles!A204="","",_EngineCycles!B204&amp;IF(_EngineCycles!C204&gt;1," / "&amp;_EngineCycles!C204,""))</f>
        <v/>
      </c>
      <c r="B204" s="24" t="str">
        <f>IF(_EngineCycles!A204="","",_EngineCycles!D204)</f>
        <v/>
      </c>
      <c r="C204" s="24" t="str">
        <f>IF(_EngineCycles!A204="","",IFERROR(INDEX(Trades!$D$9:$D$508,_EngineCycles!AG204-8),""))</f>
        <v/>
      </c>
      <c r="D204" s="30" t="str">
        <f>IF(_EngineCycles!A204="","",IF($R204&lt;&gt;"OK","Review",IF(_EngineCycles!E204="Closed","Closed",IF(_EngineCycles!P204&gt;0,IF(IFERROR(LOOKUP(2,1/((_EngineTrades!$AU$9:$AU$508=_EngineCycles!A204)),_EngineTrades!$AQ$9:$AQ$508),0)&gt;0,"Covered Call","Shares Held"),"Cash-Secured Put"))))</f>
        <v/>
      </c>
      <c r="E204" s="31" t="str">
        <f>IF(NOT(_EngineCycles!A204&lt;&gt;""),"",IF(NOT($R204="OK"),"",_EngineCycles!P204))</f>
        <v/>
      </c>
      <c r="F204" s="23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AH$9:$AH$508),0),"")))</f>
        <v/>
      </c>
      <c r="G204" s="23" t="str">
        <f>IF(NOT(_EngineCycles!A204&lt;&gt;""),"",IF(NOT($R204="OK"),"",_EngineCycles!Q204))</f>
        <v/>
      </c>
      <c r="H204" s="32" t="str">
        <f>IF(NOT(_EngineCycles!A204&lt;&gt;""),"",IF(NOT($R204="OK"),"",_EngineCycles!J204))</f>
        <v/>
      </c>
      <c r="I204" s="23" t="str">
        <f>IF(NOT(_EngineCycles!A204&lt;&gt;""),"",IF(NOT($R204="OK"),"",_EngineCycles!I204))</f>
        <v/>
      </c>
      <c r="J204" s="23" t="str">
        <f>IF(NOT(_EngineCycles!A204&lt;&gt;""),"",IF(NOT($R204="OK"),"",_EngineCycles!L204))</f>
        <v/>
      </c>
      <c r="K204" s="23" t="str">
        <f>IF(NOT(_EngineCycles!A204&lt;&gt;""),"",IF(NOT($R204="OK"),"",_EngineCycles!U204))</f>
        <v/>
      </c>
      <c r="L204" s="32" t="str">
        <f>IF(NOT(_EngineCycles!A204&lt;&gt;""),"",IF(NOT($R204="OK"),"",_EngineCycles!AE204))</f>
        <v/>
      </c>
      <c r="M204" s="23" t="str">
        <f>IF(NOT(_EngineCycles!A204&lt;&gt;""),"",IF(NOT($R204="OK"),"",_EngineCycles!O204))</f>
        <v/>
      </c>
      <c r="N204" s="32" t="str">
        <f>IF(NOT(_EngineCycles!A204&lt;&gt;""),"",IF(NOT($R204="OK"),"",IF(_EngineCycles!E204="Closed",_EngineCycles!O204,"")))</f>
        <v/>
      </c>
      <c r="O204" s="33" t="str">
        <f>IF(NOT(_EngineCycles!A204&lt;&gt;""),"",IF(NOT($R204="OK"),"",_EngineCycles!Y204))</f>
        <v/>
      </c>
      <c r="P204" s="23" t="str">
        <f>IF(NOT(_EngineCycles!A204&lt;&gt;""),"",IF(NOT($R204="OK"),"",_EngineCycles!S204))</f>
        <v/>
      </c>
      <c r="Q204" s="30" t="str">
        <f>IF(_EngineCycles!A204="","",IF($R204&lt;&gt;"OK","Review",IF(_EngineCycles!E204="Closed","Closed","Open")))</f>
        <v/>
      </c>
      <c r="R204" s="24" t="str">
        <f>IF(_EngineCycles!A204="","",IF(COUNTIFS(Trades!$B$9:$B$508,_EngineCycles!B204,Trades!$C$9:$C$508,"&lt;&gt;"&amp;$B204,Trades!$A$9:$A$508,"&lt;&gt;")&gt;0,"Ticker mismatch",IF(COUNTIFS(Trades!$B$9:$B$508,_EngineCycles!B204,Trades!$D$9:$D$508,"&lt;&gt;"&amp;$C204,Trades!$A$9:$A$508,"&lt;&gt;")&gt;0,"Currency mismatch",IF(COUNTIFS(Trades!$B$9:$B$508,_EngineCycles!B204,Trades!$S$9:$S$508,"&lt;&gt;OK",Trades!$A$9:$A$508,"&lt;&gt;")&gt;0,"Check trades","OK"))))</f>
        <v/>
      </c>
      <c r="S204" s="34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P$9:$P$508),0),"")))</f>
        <v/>
      </c>
      <c r="T204" s="31" t="str">
        <f>IF(NOT(_EngineCycles!A204&lt;&gt;""),"",IF(NOT($R204="OK"),"",_EngineCycles!W204))</f>
        <v/>
      </c>
      <c r="U204" s="22"/>
      <c r="V204" s="22"/>
      <c r="W204" s="22"/>
      <c r="X204" s="22"/>
      <c r="Y204" t="str">
        <f>IF(AND($C204=Overview!$P$2,$Q204="Open",$R204="OK"),COUNTIFS($C$9:$C204,Overview!$P$2,$Q$9:$Q204,"Open",$R$9:$R204,"OK"),"")</f>
        <v/>
      </c>
    </row>
    <row r="205" spans="1:25" ht="23.1" customHeight="1" x14ac:dyDescent="0.25">
      <c r="A205" s="18" t="str">
        <f>IF(_EngineCycles!A205="","",_EngineCycles!B205&amp;IF(_EngineCycles!C205&gt;1," / "&amp;_EngineCycles!C205,""))</f>
        <v/>
      </c>
      <c r="B205" s="18" t="str">
        <f>IF(_EngineCycles!A205="","",_EngineCycles!D205)</f>
        <v/>
      </c>
      <c r="C205" s="18" t="str">
        <f>IF(_EngineCycles!A205="","",IFERROR(INDEX(Trades!$D$9:$D$508,_EngineCycles!AG205-8),""))</f>
        <v/>
      </c>
      <c r="D205" s="25" t="str">
        <f>IF(_EngineCycles!A205="","",IF($R205&lt;&gt;"OK","Review",IF(_EngineCycles!E205="Closed","Closed",IF(_EngineCycles!P205&gt;0,IF(IFERROR(LOOKUP(2,1/((_EngineTrades!$AU$9:$AU$508=_EngineCycles!A205)),_EngineTrades!$AQ$9:$AQ$508),0)&gt;0,"Covered Call","Shares Held"),"Cash-Secured Put"))))</f>
        <v/>
      </c>
      <c r="E205" s="26" t="str">
        <f>IF(NOT(_EngineCycles!A205&lt;&gt;""),"",IF(NOT($R205="OK"),"",_EngineCycles!P205))</f>
        <v/>
      </c>
      <c r="F205" s="17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AH$9:$AH$508),0),"")))</f>
        <v/>
      </c>
      <c r="G205" s="17" t="str">
        <f>IF(NOT(_EngineCycles!A205&lt;&gt;""),"",IF(NOT($R205="OK"),"",_EngineCycles!Q205))</f>
        <v/>
      </c>
      <c r="H205" s="27" t="str">
        <f>IF(NOT(_EngineCycles!A205&lt;&gt;""),"",IF(NOT($R205="OK"),"",_EngineCycles!J205))</f>
        <v/>
      </c>
      <c r="I205" s="17" t="str">
        <f>IF(NOT(_EngineCycles!A205&lt;&gt;""),"",IF(NOT($R205="OK"),"",_EngineCycles!I205))</f>
        <v/>
      </c>
      <c r="J205" s="17" t="str">
        <f>IF(NOT(_EngineCycles!A205&lt;&gt;""),"",IF(NOT($R205="OK"),"",_EngineCycles!L205))</f>
        <v/>
      </c>
      <c r="K205" s="17" t="str">
        <f>IF(NOT(_EngineCycles!A205&lt;&gt;""),"",IF(NOT($R205="OK"),"",_EngineCycles!U205))</f>
        <v/>
      </c>
      <c r="L205" s="27" t="str">
        <f>IF(NOT(_EngineCycles!A205&lt;&gt;""),"",IF(NOT($R205="OK"),"",_EngineCycles!AE205))</f>
        <v/>
      </c>
      <c r="M205" s="17" t="str">
        <f>IF(NOT(_EngineCycles!A205&lt;&gt;""),"",IF(NOT($R205="OK"),"",_EngineCycles!O205))</f>
        <v/>
      </c>
      <c r="N205" s="27" t="str">
        <f>IF(NOT(_EngineCycles!A205&lt;&gt;""),"",IF(NOT($R205="OK"),"",IF(_EngineCycles!E205="Closed",_EngineCycles!O205,"")))</f>
        <v/>
      </c>
      <c r="O205" s="28" t="str">
        <f>IF(NOT(_EngineCycles!A205&lt;&gt;""),"",IF(NOT($R205="OK"),"",_EngineCycles!Y205))</f>
        <v/>
      </c>
      <c r="P205" s="17" t="str">
        <f>IF(NOT(_EngineCycles!A205&lt;&gt;""),"",IF(NOT($R205="OK"),"",_EngineCycles!S205))</f>
        <v/>
      </c>
      <c r="Q205" s="25" t="str">
        <f>IF(_EngineCycles!A205="","",IF($R205&lt;&gt;"OK","Review",IF(_EngineCycles!E205="Closed","Closed","Open")))</f>
        <v/>
      </c>
      <c r="R205" s="18" t="str">
        <f>IF(_EngineCycles!A205="","",IF(COUNTIFS(Trades!$B$9:$B$508,_EngineCycles!B205,Trades!$C$9:$C$508,"&lt;&gt;"&amp;$B205,Trades!$A$9:$A$508,"&lt;&gt;")&gt;0,"Ticker mismatch",IF(COUNTIFS(Trades!$B$9:$B$508,_EngineCycles!B205,Trades!$D$9:$D$508,"&lt;&gt;"&amp;$C205,Trades!$A$9:$A$508,"&lt;&gt;")&gt;0,"Currency mismatch",IF(COUNTIFS(Trades!$B$9:$B$508,_EngineCycles!B205,Trades!$S$9:$S$508,"&lt;&gt;OK",Trades!$A$9:$A$508,"&lt;&gt;")&gt;0,"Check trades","OK"))))</f>
        <v/>
      </c>
      <c r="S205" s="29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P$9:$P$508),0),"")))</f>
        <v/>
      </c>
      <c r="T205" s="26" t="str">
        <f>IF(NOT(_EngineCycles!A205&lt;&gt;""),"",IF(NOT($R205="OK"),"",_EngineCycles!W205))</f>
        <v/>
      </c>
      <c r="U205" s="16"/>
      <c r="V205" s="16"/>
      <c r="W205" s="16"/>
      <c r="X205" s="16"/>
      <c r="Y205" t="str">
        <f>IF(AND($C205=Overview!$P$2,$Q205="Open",$R205="OK"),COUNTIFS($C$9:$C205,Overview!$P$2,$Q$9:$Q205,"Open",$R$9:$R205,"OK"),"")</f>
        <v/>
      </c>
    </row>
    <row r="206" spans="1:25" ht="23.1" customHeight="1" x14ac:dyDescent="0.25">
      <c r="A206" s="24" t="str">
        <f>IF(_EngineCycles!A206="","",_EngineCycles!B206&amp;IF(_EngineCycles!C206&gt;1," / "&amp;_EngineCycles!C206,""))</f>
        <v/>
      </c>
      <c r="B206" s="24" t="str">
        <f>IF(_EngineCycles!A206="","",_EngineCycles!D206)</f>
        <v/>
      </c>
      <c r="C206" s="24" t="str">
        <f>IF(_EngineCycles!A206="","",IFERROR(INDEX(Trades!$D$9:$D$508,_EngineCycles!AG206-8),""))</f>
        <v/>
      </c>
      <c r="D206" s="30" t="str">
        <f>IF(_EngineCycles!A206="","",IF($R206&lt;&gt;"OK","Review",IF(_EngineCycles!E206="Closed","Closed",IF(_EngineCycles!P206&gt;0,IF(IFERROR(LOOKUP(2,1/((_EngineTrades!$AU$9:$AU$508=_EngineCycles!A206)),_EngineTrades!$AQ$9:$AQ$508),0)&gt;0,"Covered Call","Shares Held"),"Cash-Secured Put"))))</f>
        <v/>
      </c>
      <c r="E206" s="31" t="str">
        <f>IF(NOT(_EngineCycles!A206&lt;&gt;""),"",IF(NOT($R206="OK"),"",_EngineCycles!P206))</f>
        <v/>
      </c>
      <c r="F206" s="23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AH$9:$AH$508),0),"")))</f>
        <v/>
      </c>
      <c r="G206" s="23" t="str">
        <f>IF(NOT(_EngineCycles!A206&lt;&gt;""),"",IF(NOT($R206="OK"),"",_EngineCycles!Q206))</f>
        <v/>
      </c>
      <c r="H206" s="32" t="str">
        <f>IF(NOT(_EngineCycles!A206&lt;&gt;""),"",IF(NOT($R206="OK"),"",_EngineCycles!J206))</f>
        <v/>
      </c>
      <c r="I206" s="23" t="str">
        <f>IF(NOT(_EngineCycles!A206&lt;&gt;""),"",IF(NOT($R206="OK"),"",_EngineCycles!I206))</f>
        <v/>
      </c>
      <c r="J206" s="23" t="str">
        <f>IF(NOT(_EngineCycles!A206&lt;&gt;""),"",IF(NOT($R206="OK"),"",_EngineCycles!L206))</f>
        <v/>
      </c>
      <c r="K206" s="23" t="str">
        <f>IF(NOT(_EngineCycles!A206&lt;&gt;""),"",IF(NOT($R206="OK"),"",_EngineCycles!U206))</f>
        <v/>
      </c>
      <c r="L206" s="32" t="str">
        <f>IF(NOT(_EngineCycles!A206&lt;&gt;""),"",IF(NOT($R206="OK"),"",_EngineCycles!AE206))</f>
        <v/>
      </c>
      <c r="M206" s="23" t="str">
        <f>IF(NOT(_EngineCycles!A206&lt;&gt;""),"",IF(NOT($R206="OK"),"",_EngineCycles!O206))</f>
        <v/>
      </c>
      <c r="N206" s="32" t="str">
        <f>IF(NOT(_EngineCycles!A206&lt;&gt;""),"",IF(NOT($R206="OK"),"",IF(_EngineCycles!E206="Closed",_EngineCycles!O206,"")))</f>
        <v/>
      </c>
      <c r="O206" s="33" t="str">
        <f>IF(NOT(_EngineCycles!A206&lt;&gt;""),"",IF(NOT($R206="OK"),"",_EngineCycles!Y206))</f>
        <v/>
      </c>
      <c r="P206" s="23" t="str">
        <f>IF(NOT(_EngineCycles!A206&lt;&gt;""),"",IF(NOT($R206="OK"),"",_EngineCycles!S206))</f>
        <v/>
      </c>
      <c r="Q206" s="30" t="str">
        <f>IF(_EngineCycles!A206="","",IF($R206&lt;&gt;"OK","Review",IF(_EngineCycles!E206="Closed","Closed","Open")))</f>
        <v/>
      </c>
      <c r="R206" s="24" t="str">
        <f>IF(_EngineCycles!A206="","",IF(COUNTIFS(Trades!$B$9:$B$508,_EngineCycles!B206,Trades!$C$9:$C$508,"&lt;&gt;"&amp;$B206,Trades!$A$9:$A$508,"&lt;&gt;")&gt;0,"Ticker mismatch",IF(COUNTIFS(Trades!$B$9:$B$508,_EngineCycles!B206,Trades!$D$9:$D$508,"&lt;&gt;"&amp;$C206,Trades!$A$9:$A$508,"&lt;&gt;")&gt;0,"Currency mismatch",IF(COUNTIFS(Trades!$B$9:$B$508,_EngineCycles!B206,Trades!$S$9:$S$508,"&lt;&gt;OK",Trades!$A$9:$A$508,"&lt;&gt;")&gt;0,"Check trades","OK"))))</f>
        <v/>
      </c>
      <c r="S206" s="34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P$9:$P$508),0),"")))</f>
        <v/>
      </c>
      <c r="T206" s="31" t="str">
        <f>IF(NOT(_EngineCycles!A206&lt;&gt;""),"",IF(NOT($R206="OK"),"",_EngineCycles!W206))</f>
        <v/>
      </c>
      <c r="U206" s="22"/>
      <c r="V206" s="22"/>
      <c r="W206" s="22"/>
      <c r="X206" s="22"/>
      <c r="Y206" t="str">
        <f>IF(AND($C206=Overview!$P$2,$Q206="Open",$R206="OK"),COUNTIFS($C$9:$C206,Overview!$P$2,$Q$9:$Q206,"Open",$R$9:$R206,"OK"),"")</f>
        <v/>
      </c>
    </row>
    <row r="207" spans="1:25" ht="23.1" customHeight="1" x14ac:dyDescent="0.25">
      <c r="A207" s="18" t="str">
        <f>IF(_EngineCycles!A207="","",_EngineCycles!B207&amp;IF(_EngineCycles!C207&gt;1," / "&amp;_EngineCycles!C207,""))</f>
        <v/>
      </c>
      <c r="B207" s="18" t="str">
        <f>IF(_EngineCycles!A207="","",_EngineCycles!D207)</f>
        <v/>
      </c>
      <c r="C207" s="18" t="str">
        <f>IF(_EngineCycles!A207="","",IFERROR(INDEX(Trades!$D$9:$D$508,_EngineCycles!AG207-8),""))</f>
        <v/>
      </c>
      <c r="D207" s="25" t="str">
        <f>IF(_EngineCycles!A207="","",IF($R207&lt;&gt;"OK","Review",IF(_EngineCycles!E207="Closed","Closed",IF(_EngineCycles!P207&gt;0,IF(IFERROR(LOOKUP(2,1/((_EngineTrades!$AU$9:$AU$508=_EngineCycles!A207)),_EngineTrades!$AQ$9:$AQ$508),0)&gt;0,"Covered Call","Shares Held"),"Cash-Secured Put"))))</f>
        <v/>
      </c>
      <c r="E207" s="26" t="str">
        <f>IF(NOT(_EngineCycles!A207&lt;&gt;""),"",IF(NOT($R207="OK"),"",_EngineCycles!P207))</f>
        <v/>
      </c>
      <c r="F207" s="17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AH$9:$AH$508),0),"")))</f>
        <v/>
      </c>
      <c r="G207" s="17" t="str">
        <f>IF(NOT(_EngineCycles!A207&lt;&gt;""),"",IF(NOT($R207="OK"),"",_EngineCycles!Q207))</f>
        <v/>
      </c>
      <c r="H207" s="27" t="str">
        <f>IF(NOT(_EngineCycles!A207&lt;&gt;""),"",IF(NOT($R207="OK"),"",_EngineCycles!J207))</f>
        <v/>
      </c>
      <c r="I207" s="17" t="str">
        <f>IF(NOT(_EngineCycles!A207&lt;&gt;""),"",IF(NOT($R207="OK"),"",_EngineCycles!I207))</f>
        <v/>
      </c>
      <c r="J207" s="17" t="str">
        <f>IF(NOT(_EngineCycles!A207&lt;&gt;""),"",IF(NOT($R207="OK"),"",_EngineCycles!L207))</f>
        <v/>
      </c>
      <c r="K207" s="17" t="str">
        <f>IF(NOT(_EngineCycles!A207&lt;&gt;""),"",IF(NOT($R207="OK"),"",_EngineCycles!U207))</f>
        <v/>
      </c>
      <c r="L207" s="27" t="str">
        <f>IF(NOT(_EngineCycles!A207&lt;&gt;""),"",IF(NOT($R207="OK"),"",_EngineCycles!AE207))</f>
        <v/>
      </c>
      <c r="M207" s="17" t="str">
        <f>IF(NOT(_EngineCycles!A207&lt;&gt;""),"",IF(NOT($R207="OK"),"",_EngineCycles!O207))</f>
        <v/>
      </c>
      <c r="N207" s="27" t="str">
        <f>IF(NOT(_EngineCycles!A207&lt;&gt;""),"",IF(NOT($R207="OK"),"",IF(_EngineCycles!E207="Closed",_EngineCycles!O207,"")))</f>
        <v/>
      </c>
      <c r="O207" s="28" t="str">
        <f>IF(NOT(_EngineCycles!A207&lt;&gt;""),"",IF(NOT($R207="OK"),"",_EngineCycles!Y207))</f>
        <v/>
      </c>
      <c r="P207" s="17" t="str">
        <f>IF(NOT(_EngineCycles!A207&lt;&gt;""),"",IF(NOT($R207="OK"),"",_EngineCycles!S207))</f>
        <v/>
      </c>
      <c r="Q207" s="25" t="str">
        <f>IF(_EngineCycles!A207="","",IF($R207&lt;&gt;"OK","Review",IF(_EngineCycles!E207="Closed","Closed","Open")))</f>
        <v/>
      </c>
      <c r="R207" s="18" t="str">
        <f>IF(_EngineCycles!A207="","",IF(COUNTIFS(Trades!$B$9:$B$508,_EngineCycles!B207,Trades!$C$9:$C$508,"&lt;&gt;"&amp;$B207,Trades!$A$9:$A$508,"&lt;&gt;")&gt;0,"Ticker mismatch",IF(COUNTIFS(Trades!$B$9:$B$508,_EngineCycles!B207,Trades!$D$9:$D$508,"&lt;&gt;"&amp;$C207,Trades!$A$9:$A$508,"&lt;&gt;")&gt;0,"Currency mismatch",IF(COUNTIFS(Trades!$B$9:$B$508,_EngineCycles!B207,Trades!$S$9:$S$508,"&lt;&gt;OK",Trades!$A$9:$A$508,"&lt;&gt;")&gt;0,"Check trades","OK"))))</f>
        <v/>
      </c>
      <c r="S207" s="29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P$9:$P$508),0),"")))</f>
        <v/>
      </c>
      <c r="T207" s="26" t="str">
        <f>IF(NOT(_EngineCycles!A207&lt;&gt;""),"",IF(NOT($R207="OK"),"",_EngineCycles!W207))</f>
        <v/>
      </c>
      <c r="U207" s="16"/>
      <c r="V207" s="16"/>
      <c r="W207" s="16"/>
      <c r="X207" s="16"/>
      <c r="Y207" t="str">
        <f>IF(AND($C207=Overview!$P$2,$Q207="Open",$R207="OK"),COUNTIFS($C$9:$C207,Overview!$P$2,$Q$9:$Q207,"Open",$R$9:$R207,"OK"),"")</f>
        <v/>
      </c>
    </row>
    <row r="208" spans="1:25" ht="23.1" customHeight="1" x14ac:dyDescent="0.25">
      <c r="A208" s="24" t="str">
        <f>IF(_EngineCycles!A208="","",_EngineCycles!B208&amp;IF(_EngineCycles!C208&gt;1," / "&amp;_EngineCycles!C208,""))</f>
        <v/>
      </c>
      <c r="B208" s="24" t="str">
        <f>IF(_EngineCycles!A208="","",_EngineCycles!D208)</f>
        <v/>
      </c>
      <c r="C208" s="24" t="str">
        <f>IF(_EngineCycles!A208="","",IFERROR(INDEX(Trades!$D$9:$D$508,_EngineCycles!AG208-8),""))</f>
        <v/>
      </c>
      <c r="D208" s="30" t="str">
        <f>IF(_EngineCycles!A208="","",IF($R208&lt;&gt;"OK","Review",IF(_EngineCycles!E208="Closed","Closed",IF(_EngineCycles!P208&gt;0,IF(IFERROR(LOOKUP(2,1/((_EngineTrades!$AU$9:$AU$508=_EngineCycles!A208)),_EngineTrades!$AQ$9:$AQ$508),0)&gt;0,"Covered Call","Shares Held"),"Cash-Secured Put"))))</f>
        <v/>
      </c>
      <c r="E208" s="31" t="str">
        <f>IF(NOT(_EngineCycles!A208&lt;&gt;""),"",IF(NOT($R208="OK"),"",_EngineCycles!P208))</f>
        <v/>
      </c>
      <c r="F208" s="23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AH$9:$AH$508),0),"")))</f>
        <v/>
      </c>
      <c r="G208" s="23" t="str">
        <f>IF(NOT(_EngineCycles!A208&lt;&gt;""),"",IF(NOT($R208="OK"),"",_EngineCycles!Q208))</f>
        <v/>
      </c>
      <c r="H208" s="32" t="str">
        <f>IF(NOT(_EngineCycles!A208&lt;&gt;""),"",IF(NOT($R208="OK"),"",_EngineCycles!J208))</f>
        <v/>
      </c>
      <c r="I208" s="23" t="str">
        <f>IF(NOT(_EngineCycles!A208&lt;&gt;""),"",IF(NOT($R208="OK"),"",_EngineCycles!I208))</f>
        <v/>
      </c>
      <c r="J208" s="23" t="str">
        <f>IF(NOT(_EngineCycles!A208&lt;&gt;""),"",IF(NOT($R208="OK"),"",_EngineCycles!L208))</f>
        <v/>
      </c>
      <c r="K208" s="23" t="str">
        <f>IF(NOT(_EngineCycles!A208&lt;&gt;""),"",IF(NOT($R208="OK"),"",_EngineCycles!U208))</f>
        <v/>
      </c>
      <c r="L208" s="32" t="str">
        <f>IF(NOT(_EngineCycles!A208&lt;&gt;""),"",IF(NOT($R208="OK"),"",_EngineCycles!AE208))</f>
        <v/>
      </c>
      <c r="M208" s="23" t="str">
        <f>IF(NOT(_EngineCycles!A208&lt;&gt;""),"",IF(NOT($R208="OK"),"",_EngineCycles!O208))</f>
        <v/>
      </c>
      <c r="N208" s="32" t="str">
        <f>IF(NOT(_EngineCycles!A208&lt;&gt;""),"",IF(NOT($R208="OK"),"",IF(_EngineCycles!E208="Closed",_EngineCycles!O208,"")))</f>
        <v/>
      </c>
      <c r="O208" s="33" t="str">
        <f>IF(NOT(_EngineCycles!A208&lt;&gt;""),"",IF(NOT($R208="OK"),"",_EngineCycles!Y208))</f>
        <v/>
      </c>
      <c r="P208" s="23" t="str">
        <f>IF(NOT(_EngineCycles!A208&lt;&gt;""),"",IF(NOT($R208="OK"),"",_EngineCycles!S208))</f>
        <v/>
      </c>
      <c r="Q208" s="30" t="str">
        <f>IF(_EngineCycles!A208="","",IF($R208&lt;&gt;"OK","Review",IF(_EngineCycles!E208="Closed","Closed","Open")))</f>
        <v/>
      </c>
      <c r="R208" s="24" t="str">
        <f>IF(_EngineCycles!A208="","",IF(COUNTIFS(Trades!$B$9:$B$508,_EngineCycles!B208,Trades!$C$9:$C$508,"&lt;&gt;"&amp;$B208,Trades!$A$9:$A$508,"&lt;&gt;")&gt;0,"Ticker mismatch",IF(COUNTIFS(Trades!$B$9:$B$508,_EngineCycles!B208,Trades!$D$9:$D$508,"&lt;&gt;"&amp;$C208,Trades!$A$9:$A$508,"&lt;&gt;")&gt;0,"Currency mismatch",IF(COUNTIFS(Trades!$B$9:$B$508,_EngineCycles!B208,Trades!$S$9:$S$508,"&lt;&gt;OK",Trades!$A$9:$A$508,"&lt;&gt;")&gt;0,"Check trades","OK"))))</f>
        <v/>
      </c>
      <c r="S208" s="34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P$9:$P$508),0),"")))</f>
        <v/>
      </c>
      <c r="T208" s="31" t="str">
        <f>IF(NOT(_EngineCycles!A208&lt;&gt;""),"",IF(NOT($R208="OK"),"",_EngineCycles!W208))</f>
        <v/>
      </c>
      <c r="U208" s="22"/>
      <c r="V208" s="22"/>
      <c r="W208" s="22"/>
      <c r="X208" s="22"/>
      <c r="Y208" t="str">
        <f>IF(AND($C208=Overview!$P$2,$Q208="Open",$R208="OK"),COUNTIFS($C$9:$C208,Overview!$P$2,$Q$9:$Q208,"Open",$R$9:$R208,"OK"),"")</f>
        <v/>
      </c>
    </row>
  </sheetData>
  <autoFilter ref="A8:X208" xr:uid="{00000000-0009-0000-0000-000002000000}"/>
  <mergeCells count="5">
    <mergeCell ref="A1:X1"/>
    <mergeCell ref="A2:X2"/>
    <mergeCell ref="A3:X3"/>
    <mergeCell ref="A4:X4"/>
    <mergeCell ref="A7:Q7"/>
  </mergeCells>
  <conditionalFormatting sqref="D9:D208">
    <cfRule type="expression" dxfId="10" priority="4">
      <formula>D9="Cash-Secured Put"</formula>
    </cfRule>
    <cfRule type="expression" dxfId="9" priority="5">
      <formula>D9="Covered Call"</formula>
    </cfRule>
    <cfRule type="expression" dxfId="8" priority="6">
      <formula>OR(D9="Geschlossen",D9="Closed")</formula>
    </cfRule>
  </conditionalFormatting>
  <conditionalFormatting sqref="N9:N208">
    <cfRule type="expression" dxfId="7" priority="1">
      <formula>AND(ISNUMBER(N9),N9&lt;0)</formula>
    </cfRule>
    <cfRule type="expression" dxfId="6" priority="2">
      <formula>AND(ISNUMBER(N9),N9&gt;0)</formula>
    </cfRule>
  </conditionalFormatting>
  <conditionalFormatting sqref="Q9:Q208">
    <cfRule type="expression" dxfId="5" priority="7">
      <formula>OR(Q9="Geschlossen",Q9="Closed")</formula>
    </cfRule>
    <cfRule type="expression" dxfId="4" priority="8">
      <formula>OR(Q9="Offen",Q9="Open")</formula>
    </cfRule>
  </conditionalFormatting>
  <conditionalFormatting sqref="R9:R208">
    <cfRule type="expression" dxfId="3" priority="3">
      <formula>AND(R9&lt;&gt;"",R9&lt;&gt;"OK")</formula>
    </cfRule>
  </conditionalFormatting>
  <dataValidations count="2">
    <dataValidation type="decimal" operator="greaterThanOrEqual" allowBlank="1" showErrorMessage="1" errorTitle="Invalid input" error="Enter a nonnegative number." sqref="X9:X208 U9:V208" xr:uid="{00000000-0002-0000-0200-000000000000}">
      <formula1>0</formula1>
    </dataValidation>
    <dataValidation type="decimal" allowBlank="1" sqref="W9:W208" xr:uid="{00000000-0002-0000-0200-000002000000}">
      <formula1>-1000000</formula1>
      <formula2>1000000</formula2>
    </dataValidation>
  </dataValidations>
  <pageMargins left="0.7" right="0.7" top="0.78740157499999996" bottom="0.7874015749999999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8"/>
  <sheetViews>
    <sheetView showGridLines="0" workbookViewId="0"/>
  </sheetViews>
  <sheetFormatPr baseColWidth="10" defaultColWidth="9.140625" defaultRowHeight="21.95" customHeight="1" x14ac:dyDescent="0.25"/>
  <cols>
    <col min="1" max="12" width="12" customWidth="1"/>
  </cols>
  <sheetData>
    <row r="1" spans="1:12" ht="36.950000000000003" customHeight="1" x14ac:dyDescent="0.25">
      <c r="A1" s="100" t="s">
        <v>136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29.1" customHeight="1" x14ac:dyDescent="0.25">
      <c r="A2" s="101" t="s">
        <v>137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4" spans="1:12" ht="30" customHeight="1" x14ac:dyDescent="0.25">
      <c r="A4" s="102" t="s">
        <v>138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30" customHeight="1" x14ac:dyDescent="0.25">
      <c r="A5" s="103" t="s">
        <v>139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7" spans="1:12" ht="30" customHeight="1" x14ac:dyDescent="0.25">
      <c r="A7" s="102" t="s">
        <v>140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 ht="30" customHeight="1" x14ac:dyDescent="0.25">
      <c r="A8" s="103" t="s">
        <v>141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1:12" ht="30" customHeight="1" x14ac:dyDescent="0.25">
      <c r="A9" s="104" t="s">
        <v>142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  <row r="10" spans="1:12" ht="41.1" customHeight="1" x14ac:dyDescent="0.25">
      <c r="A10" s="103" t="s">
        <v>143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2" ht="41.1" customHeight="1" x14ac:dyDescent="0.25">
      <c r="A11" s="104" t="s">
        <v>144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</row>
    <row r="13" spans="1:12" ht="30" customHeight="1" x14ac:dyDescent="0.25">
      <c r="A13" s="102" t="s">
        <v>145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2" ht="41.1" customHeight="1" x14ac:dyDescent="0.25">
      <c r="A14" s="103" t="s">
        <v>146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</row>
    <row r="15" spans="1:12" ht="41.1" customHeight="1" x14ac:dyDescent="0.25">
      <c r="A15" s="104" t="s">
        <v>147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1:12" ht="41.1" customHeight="1" x14ac:dyDescent="0.25">
      <c r="A16" s="103" t="s">
        <v>148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</row>
    <row r="17" spans="1:12" ht="30" customHeight="1" x14ac:dyDescent="0.25">
      <c r="A17" s="102" t="s">
        <v>149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 ht="41.1" customHeight="1" x14ac:dyDescent="0.25">
      <c r="A18" s="103" t="s">
        <v>150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1:12" ht="30" customHeight="1" x14ac:dyDescent="0.25">
      <c r="A19" s="104" t="s">
        <v>151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</row>
    <row r="20" spans="1:12" ht="41.1" customHeight="1" x14ac:dyDescent="0.25">
      <c r="A20" s="103" t="s">
        <v>152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</row>
    <row r="21" spans="1:12" ht="30" customHeight="1" x14ac:dyDescent="0.25">
      <c r="A21" s="104" t="s">
        <v>153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2" spans="1:12" ht="41.1" customHeight="1" x14ac:dyDescent="0.25">
      <c r="A22" s="103" t="s">
        <v>154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12" ht="30" customHeight="1" x14ac:dyDescent="0.25">
      <c r="A23" s="102" t="s">
        <v>155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 ht="41.1" customHeight="1" x14ac:dyDescent="0.25">
      <c r="A24" s="103" t="s">
        <v>156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</row>
    <row r="25" spans="1:12" ht="41.1" customHeight="1" x14ac:dyDescent="0.25">
      <c r="A25" s="104" t="s">
        <v>157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</row>
    <row r="26" spans="1:12" ht="30" customHeight="1" x14ac:dyDescent="0.25">
      <c r="A26" s="102" t="s">
        <v>158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ht="30" customHeight="1" x14ac:dyDescent="0.25">
      <c r="A27" s="103" t="s">
        <v>159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  <row r="28" spans="1:12" ht="30" customHeight="1" x14ac:dyDescent="0.25">
      <c r="A28" s="104" t="s">
        <v>160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</sheetData>
  <mergeCells count="25">
    <mergeCell ref="A24:L24"/>
    <mergeCell ref="A25:L25"/>
    <mergeCell ref="A26:L26"/>
    <mergeCell ref="A27:L27"/>
    <mergeCell ref="A28:L28"/>
    <mergeCell ref="A19:L19"/>
    <mergeCell ref="A20:L20"/>
    <mergeCell ref="A21:L21"/>
    <mergeCell ref="A22:L22"/>
    <mergeCell ref="A23:L23"/>
    <mergeCell ref="A14:L14"/>
    <mergeCell ref="A15:L15"/>
    <mergeCell ref="A16:L16"/>
    <mergeCell ref="A17:L17"/>
    <mergeCell ref="A18:L18"/>
    <mergeCell ref="A8:L8"/>
    <mergeCell ref="A9:L9"/>
    <mergeCell ref="A10:L10"/>
    <mergeCell ref="A11:L11"/>
    <mergeCell ref="A13:L13"/>
    <mergeCell ref="A1:L1"/>
    <mergeCell ref="A2:L2"/>
    <mergeCell ref="A4:L4"/>
    <mergeCell ref="A5:L5"/>
    <mergeCell ref="A7:L7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508"/>
  <sheetViews>
    <sheetView showGridLines="0" workbookViewId="0">
      <pane xSplit="5" ySplit="8" topLeftCell="F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15" customWidth="1"/>
    <col min="2" max="2" width="17" customWidth="1"/>
    <col min="3" max="3" width="12" customWidth="1"/>
    <col min="4" max="4" width="13" customWidth="1"/>
    <col min="5" max="5" width="14" customWidth="1"/>
    <col min="6" max="6" width="20" customWidth="1"/>
    <col min="7" max="7" width="24" customWidth="1"/>
    <col min="8" max="8" width="12" customWidth="1"/>
    <col min="9" max="9" width="13" customWidth="1"/>
    <col min="10" max="10" width="18" customWidth="1"/>
    <col min="11" max="11" width="17" customWidth="1"/>
    <col min="12" max="12" width="12" customWidth="1"/>
    <col min="13" max="13" width="13" customWidth="1"/>
    <col min="14" max="14" width="20" customWidth="1"/>
    <col min="15" max="15" width="12" customWidth="1"/>
    <col min="16" max="16" width="14" customWidth="1"/>
    <col min="17" max="17" width="24" customWidth="1"/>
    <col min="18" max="19" width="16" customWidth="1"/>
    <col min="20" max="20" width="10" customWidth="1"/>
    <col min="21" max="21" width="17" customWidth="1"/>
    <col min="22" max="22" width="24" customWidth="1"/>
    <col min="23" max="23" width="14" customWidth="1"/>
    <col min="24" max="24" width="17" customWidth="1"/>
    <col min="25" max="30" width="9" hidden="1" customWidth="1"/>
    <col min="32" max="51" width="9" hidden="1" customWidth="1"/>
  </cols>
  <sheetData>
    <row r="1" spans="1:51" ht="20.25" x14ac:dyDescent="0.25">
      <c r="A1" s="35" t="s">
        <v>161</v>
      </c>
    </row>
    <row r="2" spans="1:51" ht="15" x14ac:dyDescent="0.25">
      <c r="A2" s="36" t="s">
        <v>162</v>
      </c>
    </row>
    <row r="3" spans="1:51" ht="15" x14ac:dyDescent="0.25">
      <c r="A3" t="s">
        <v>163</v>
      </c>
      <c r="B3" s="37" t="str">
        <f>Overview!$P$2</f>
        <v>USD</v>
      </c>
      <c r="D3" s="38" t="s">
        <v>3</v>
      </c>
      <c r="E3" s="39">
        <f>Overview!$R$2</f>
        <v>46313</v>
      </c>
    </row>
    <row r="4" spans="1:51" ht="20.100000000000001" customHeight="1" x14ac:dyDescent="0.25">
      <c r="A4" s="105" t="s">
        <v>164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</row>
    <row r="5" spans="1:51" ht="20.100000000000001" customHeight="1" x14ac:dyDescent="0.25">
      <c r="A5" s="105" t="s">
        <v>165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51" ht="20.100000000000001" customHeight="1" x14ac:dyDescent="0.25">
      <c r="A6" s="106" t="s">
        <v>166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</row>
    <row r="8" spans="1:51" ht="33.950000000000003" customHeight="1" x14ac:dyDescent="0.25">
      <c r="A8" s="40" t="s">
        <v>66</v>
      </c>
      <c r="B8" s="40" t="s">
        <v>167</v>
      </c>
      <c r="C8" s="40" t="s">
        <v>168</v>
      </c>
      <c r="D8" s="40" t="s">
        <v>63</v>
      </c>
      <c r="E8" s="40" t="s">
        <v>169</v>
      </c>
      <c r="F8" s="40" t="s">
        <v>56</v>
      </c>
      <c r="G8" s="40" t="s">
        <v>170</v>
      </c>
      <c r="H8" s="40" t="s">
        <v>171</v>
      </c>
      <c r="I8" s="40" t="s">
        <v>58</v>
      </c>
      <c r="J8" s="40" t="s">
        <v>172</v>
      </c>
      <c r="K8" s="40" t="s">
        <v>68</v>
      </c>
      <c r="L8" s="40" t="s">
        <v>120</v>
      </c>
      <c r="M8" s="40" t="s">
        <v>64</v>
      </c>
      <c r="N8" s="40" t="s">
        <v>173</v>
      </c>
      <c r="O8" s="40" t="s">
        <v>61</v>
      </c>
      <c r="P8" s="40" t="s">
        <v>130</v>
      </c>
      <c r="Q8" s="40" t="s">
        <v>67</v>
      </c>
      <c r="R8" s="40" t="s">
        <v>17</v>
      </c>
      <c r="S8" s="40" t="s">
        <v>174</v>
      </c>
      <c r="T8" s="40" t="s">
        <v>175</v>
      </c>
      <c r="U8" s="40" t="s">
        <v>176</v>
      </c>
      <c r="V8" s="40" t="s">
        <v>70</v>
      </c>
      <c r="W8" s="40" t="s">
        <v>177</v>
      </c>
      <c r="X8" s="40" t="s">
        <v>178</v>
      </c>
    </row>
    <row r="9" spans="1:51" ht="15" x14ac:dyDescent="0.25">
      <c r="A9" s="41" t="str">
        <f>IF(Trades!$A9="","",Trades!O9)</f>
        <v>E0001</v>
      </c>
      <c r="B9" s="41" t="str">
        <f>IF(Trades!$A9="","",Trades!B9)</f>
        <v>sample-xyz</v>
      </c>
      <c r="C9" s="41" t="str">
        <f>IF(Trades!$A9="","",Trades!C9)</f>
        <v>XYZ</v>
      </c>
      <c r="D9" s="42">
        <f>IF(Trades!$A9="","",IF(Trades!$L9&gt;0,Trades!$L9,Trades!$C$6))</f>
        <v>100</v>
      </c>
      <c r="E9" s="43">
        <f>IF(Trades!$A9="","",Trades!A9)</f>
        <v>46193</v>
      </c>
      <c r="F9" s="41" t="str">
        <f>IF(Trades!$A9="","",IFERROR(INDEX(Trades!$V$2:$V$14,MATCH(Trades!$E9,Trades!$U$2:$U$14,0)),""))</f>
        <v>sell_put</v>
      </c>
      <c r="G9" s="41">
        <f>IF(Trades!$A9="","",Trades!N9)</f>
        <v>0</v>
      </c>
      <c r="H9" s="42">
        <f>IF(Trades!$A9="","",Trades!F9)</f>
        <v>1</v>
      </c>
      <c r="I9" s="44">
        <f>IF(Trades!$A9="","",Trades!G9)</f>
        <v>50</v>
      </c>
      <c r="J9" s="44">
        <f>IF(Trades!$A9="","",Trades!I9)</f>
        <v>1.5</v>
      </c>
      <c r="K9" s="44">
        <f>IF(Trades!$A9="","",Trades!Q9)</f>
        <v>0</v>
      </c>
      <c r="L9" s="42">
        <f>IF(Trades!$A9="","",Trades!F9)</f>
        <v>1</v>
      </c>
      <c r="M9" s="44">
        <f>IF(Trades!$A9="","",Trades!M9)</f>
        <v>0</v>
      </c>
      <c r="N9" s="44">
        <f>IF(Trades!$A9="","",Trades!R9)</f>
        <v>0</v>
      </c>
      <c r="O9" s="44">
        <f>IF(Trades!$A9="","",Trades!J9)</f>
        <v>0.65</v>
      </c>
      <c r="P9" s="43">
        <f>IF(Trades!$A9="","",Trades!H9)</f>
        <v>46218</v>
      </c>
      <c r="Q9" s="41" t="str">
        <f>IF(Trades!$A9="","",Trades!P9)</f>
        <v>Sample Data</v>
      </c>
      <c r="R9" s="45">
        <f t="shared" ref="R9:R72" si="0">IF($A9="","",$Y9-$Z9)</f>
        <v>150</v>
      </c>
      <c r="S9" s="45">
        <f t="shared" ref="S9:S72" si="1">IF($A9="","",$R9+$AA9-$AB9-$AC9+$AD9)</f>
        <v>149.35</v>
      </c>
      <c r="T9" s="46">
        <f>IF(OR($A9="",$B9=""),"",IF(AND(1,NOT(AND(OR($F9="dividend",$F9="fee"),0&gt;0))),0+1,0))</f>
        <v>1</v>
      </c>
      <c r="U9" s="47" t="str">
        <f t="shared" ref="U9:U72" si="2">IF($A9="","",IF($AR9,"Flat / cycle closed",IF($AM9&gt;0,"Shares held","Short option open")))</f>
        <v>Short option open</v>
      </c>
      <c r="V9" s="47" t="str">
        <f>IF($A9="","",IF(OR($B9="",$C9="",$D9="",$E9="",$F9=""),"Missing required field",IF(COUNTIFS($A$9:$A9,$A9,$B$9:$B9,$B9)&gt;1,"Duplicate event ID",IF(AND($E9&lt;&gt;0,0&gt;$E9),"Date out of order",IF(AND(OR($F9="buy_to_close",$F9="expire",$F9="roll",$F9="assignment",$F9="called_away"),$AF9=0),"Unknown lot",IF(OR(AND($F9="assignment",$AF9&gt;0,""&lt;&gt;"put"),AND($F9="called_away",$AF9&gt;0,""&lt;&gt;"call")),"Wrong option leg",IF(OR(AND(OR($F9="sell_put",$F9="sell_call"),OR($H9&lt;=0,$I9&lt;=0,$J9&lt;0)),AND(OR($F9="buy_to_close",$F9="expire",$F9="assignment",$F9="called_away"),OR($H9&lt;=0,$J9&lt;0)),AND($F9="roll",OR($H9&lt;=0,$I9&lt;=0,$J9&lt;0,$K9&lt;0)),AND(OR($F9="buy_shares",$F9="sell_shares"),OR($L9&lt;=0,$M9&lt;0)),AND(OR($F9="dividend",$F9="fee"),$N9&lt;0)),"Invalid value",IF(AND(OR($F9="sell_shares",$F9="called_away"),$AL9&lt;IF($F9="called_away",$AE9*$D9,$L9)),"Insufficient shares (capped)",IF(AND(OR($F9="buy_to_close",$F9="expire",$F9="roll",$F9="assignment",$F9="called_away"),$AF9&gt;0,$H9&gt;0),"Close quantity capped","OK")))))))))</f>
        <v>OK</v>
      </c>
      <c r="W9" s="48">
        <f t="shared" ref="W9:W72" si="3">IF($A9="","",$AM9)</f>
        <v>0</v>
      </c>
      <c r="X9" s="49">
        <f t="shared" ref="X9:X72" si="4">IF($A9="","",$AS9)</f>
        <v>5000</v>
      </c>
      <c r="Y9" s="50">
        <f t="shared" ref="Y9:Y72" si="5">IF($A9="","",IF(OR($F9="sell_put",$F9="sell_call"),$J9*$AE9*$D9,IF($F9="roll",$J9*$AE9*$D9,0)))</f>
        <v>150</v>
      </c>
      <c r="Z9" s="50">
        <f t="shared" ref="Z9:Z72" si="6">IF($A9="","",IF($F9="buy_to_close",$J9*$AE9*$D9,IF($F9="roll",$K9*$AE9*$D9,0)))</f>
        <v>0</v>
      </c>
      <c r="AA9" s="50">
        <f t="shared" ref="AA9:AA72" si="7">IF($A9="","",IF(AND($F9="dividend",$N9&gt;=0),$N9,0))</f>
        <v>0</v>
      </c>
      <c r="AB9" s="50">
        <f t="shared" ref="AB9:AB72" si="8">IF($A9="","",IF($O9&gt;=0,$O9,0)+IF(AND($F9="fee",$N9&gt;=0),$N9,0))</f>
        <v>0.65</v>
      </c>
      <c r="AC9" s="50">
        <f>IF($A9="","",IF($F9="assignment",0*$AE9*$D9,IF($F9="buy_shares",$M9*$AL9,0)))</f>
        <v>0</v>
      </c>
      <c r="AD9" s="50">
        <f>IF($A9="","",IF($F9="called_away",0*$AL9,IF($F9="sell_shares",$M9*$AL9,0)))</f>
        <v>0</v>
      </c>
      <c r="AE9" s="51">
        <f>IF($A9="","",IF(OR($F9="sell_put",$F9="sell_call"),IF(AND($H9&gt;0,$I9&gt;0,$J9&gt;=0),$H9,0),IF(OR($F9="buy_to_close",$F9="expire",$F9="roll",$F9="assignment",$F9="called_away"),IF(AND($AF9&gt;0,$H9&gt;0,IF($F9="assignment",""="put",TRUE),IF($F9="called_away",""="call",TRUE)),MIN($H9,0),0),0)))</f>
        <v>1</v>
      </c>
      <c r="AF9">
        <f>IF($A9="","",0)</f>
        <v>0</v>
      </c>
      <c r="AG9" t="str">
        <f>IF($A9="","",IF($F9="sell_put","put",IF($F9="sell_call","call",IF($F9="roll",IF($AF9&gt;0,"",""),IF($AF9&gt;0,"","")))))</f>
        <v>put</v>
      </c>
      <c r="AH9">
        <f>IF($A9="","",IF(OR($F9="sell_put",$F9="sell_call",$F9="roll"),$I9,IF($AF9&gt;0,0,0)))</f>
        <v>50</v>
      </c>
      <c r="AI9" s="51">
        <f t="shared" ref="AI9:AI72" si="9">IF($A9="","",IF(OR($F9="sell_put",$F9="sell_call"),IF(AND($H9&gt;0,$I9&gt;0,$J9&gt;=0),$H9,0),IF($F9="roll",$AE9,0)))</f>
        <v>1</v>
      </c>
      <c r="AJ9" s="51">
        <f>IF($A9="","",0)</f>
        <v>0</v>
      </c>
      <c r="AK9">
        <f>IF($A9="","",0)</f>
        <v>0</v>
      </c>
      <c r="AL9" s="51">
        <f t="shared" ref="AL9:AL72" si="10">IF($A9="","",IF($F9="assignment",$AE9*$D9,IF($F9="called_away",MIN(MAX(0,$AE9*$D9),MAX(0,$AJ9)),IF($F9="buy_shares",IF(AND($L9&gt;0,$M9&gt;=0),$L9,0),IF($F9="sell_shares",IF(AND($L9&gt;0,$M9&gt;=0),MIN($L9,MAX(0,$AJ9)),0),0)))))</f>
        <v>0</v>
      </c>
      <c r="AM9" s="51">
        <f t="shared" ref="AM9:AM72" si="11">IF($A9="","",MAX(0,$AJ9+IF(OR($F9="assignment",$F9="buy_shares"),$AL9,-$AL9)))</f>
        <v>0</v>
      </c>
      <c r="AN9">
        <f t="shared" ref="AN9:AN72" si="12">IF($A9="","",IF($AM9&lt;=0.000000001,0,MAX(0,$AK9+$AC9-IF(OR($F9="called_away",$F9="sell_shares"),IF($AJ9&gt;0,$AK9/$AJ9*$AL9,0),0))))</f>
        <v>0</v>
      </c>
      <c r="AO9" s="50">
        <f>IF($A9="","",0+IF($F9="sell_put",$I9*$AE9*$D9,IF($F9="roll",IF($AG9="put",($I9-0)*$AE9*$D9,0),IF(AND(OR($F9="buy_to_close",$F9="expire",$F9="roll",$F9="assignment",$F9="called_away"),$F9&lt;&gt;"roll",$AG9="put"),0*$AE9*$D9,0))))</f>
        <v>5000</v>
      </c>
      <c r="AP9" s="51">
        <f>IF($A9="","",0+IF($F9="sell_put",$AE9*$D9,IF(AND(OR($F9="buy_to_close",$F9="expire",$F9="roll",$F9="assignment",$F9="called_away"),$F9&lt;&gt;"roll",$AG9="put"),-$AE9*$D9,0)))</f>
        <v>100</v>
      </c>
      <c r="AQ9" s="51">
        <f>IF($A9="","",0+IF(OR($F9="sell_put",$F9="sell_call"),$AE9,0)-IF(AND(OR($F9="buy_to_close",$F9="expire",$F9="roll",$F9="assignment",$F9="called_away"),$F9&lt;&gt;"roll"),$AE9,0))</f>
        <v>1</v>
      </c>
      <c r="AR9" t="b">
        <f t="shared" ref="AR9:AR72" si="13">IF($A9="","",AND($AM9&lt;=0.000000001,$AQ9&lt;=0.000000001))</f>
        <v>0</v>
      </c>
      <c r="AS9" s="50">
        <f t="shared" ref="AS9:AS72" si="14">IF($A9="","",$AO9+$AN9)</f>
        <v>5000</v>
      </c>
      <c r="AT9" s="50">
        <f>IF($A9="","",MAX(IF($T9=0,0,0),$AS9))</f>
        <v>5000</v>
      </c>
      <c r="AU9" t="str">
        <f t="shared" ref="AU9:AU72" si="15">IF(OR($A9="",$B9="",$T9=""),"",$B9&amp;"¦"&amp;$T9)</f>
        <v>sample-xyz¦1</v>
      </c>
      <c r="AV9" s="51">
        <f>IF($AU9="",0,IF(AND(1,NOT(AND(OR($F9="dividend",$F9="fee"),0&gt;0))),ROW(),0))</f>
        <v>9</v>
      </c>
      <c r="AW9">
        <f>IF($A9="",0,IF($AV9&gt;0,0+1,0))</f>
        <v>1</v>
      </c>
      <c r="AX9">
        <f>IF($AU9="",0,IF(AND($AR9,OR(NOT(1),0=0)),ROW(),0))</f>
        <v>0</v>
      </c>
      <c r="AY9" t="str">
        <f t="shared" ref="AY9:AY72" si="16">IF(OR($A9="",$B9=""),"",LEN($B9)&amp;":"&amp;$B9&amp;$A9)</f>
        <v>10:sample-xyzE0001</v>
      </c>
    </row>
    <row r="10" spans="1:51" ht="15" x14ac:dyDescent="0.25">
      <c r="A10" s="52" t="str">
        <f>IF(Trades!$A10="","",Trades!O10)</f>
        <v>E0002</v>
      </c>
      <c r="B10" s="52" t="str">
        <f>IF(Trades!$A10="","",Trades!B10)</f>
        <v>sample-xyz</v>
      </c>
      <c r="C10" s="52" t="str">
        <f>IF(Trades!$A10="","",Trades!C10)</f>
        <v>XYZ</v>
      </c>
      <c r="D10" s="53">
        <f>IF(Trades!$A10="","",IF(Trades!$L10&gt;0,Trades!$L10,Trades!$C$6))</f>
        <v>100</v>
      </c>
      <c r="E10" s="54">
        <f>IF(Trades!$A10="","",Trades!A10)</f>
        <v>46218</v>
      </c>
      <c r="F10" s="52" t="str">
        <f>IF(Trades!$A10="","",IFERROR(INDEX(Trades!$V$2:$V$14,MATCH(Trades!$E10,Trades!$U$2:$U$14,0)),""))</f>
        <v>assignment</v>
      </c>
      <c r="G10" s="52" t="str">
        <f>IF(Trades!$A10="","",Trades!N10)</f>
        <v>E0001</v>
      </c>
      <c r="H10" s="53">
        <f>IF(Trades!$A10="","",Trades!F10)</f>
        <v>1</v>
      </c>
      <c r="I10" s="55">
        <f>IF(Trades!$A10="","",Trades!G10)</f>
        <v>0</v>
      </c>
      <c r="J10" s="55">
        <f>IF(Trades!$A10="","",Trades!I10)</f>
        <v>0</v>
      </c>
      <c r="K10" s="55">
        <f>IF(Trades!$A10="","",Trades!Q10)</f>
        <v>0</v>
      </c>
      <c r="L10" s="53">
        <f>IF(Trades!$A10="","",Trades!F10)</f>
        <v>1</v>
      </c>
      <c r="M10" s="55">
        <f>IF(Trades!$A10="","",Trades!M10)</f>
        <v>0</v>
      </c>
      <c r="N10" s="55">
        <f>IF(Trades!$A10="","",Trades!R10)</f>
        <v>0</v>
      </c>
      <c r="O10" s="55">
        <f>IF(Trades!$A10="","",Trades!J10)</f>
        <v>0</v>
      </c>
      <c r="P10" s="54">
        <f>IF(Trades!$A10="","",Trades!H10)</f>
        <v>0</v>
      </c>
      <c r="Q10" s="52" t="str">
        <f>IF(Trades!$A10="","",Trades!P10)</f>
        <v>Sample Data</v>
      </c>
      <c r="R10" s="56">
        <f t="shared" si="0"/>
        <v>0</v>
      </c>
      <c r="S10" s="56">
        <f t="shared" si="1"/>
        <v>-5000</v>
      </c>
      <c r="T10" s="57">
        <f>IF(OR($A10="",$B10=""),"",IF(AND(IFERROR(LOOKUP(2,1/($B$9:$B$9=$B10),$AR$9:$AR9),1),NOT(AND(OR($F10="dividend",$F10="fee"),IFERROR(LOOKUP(2,1/($B$9:$B$9=$B10),$T$9:$T9),0)&gt;0))),IFERROR(LOOKUP(2,1/($B$9:$B$9=$B10),$T$9:$T9),0)+1,IFERROR(LOOKUP(2,1/($B$9:$B$9=$B10),$T$9:$T9),0)))</f>
        <v>1</v>
      </c>
      <c r="U10" s="58" t="str">
        <f t="shared" si="2"/>
        <v>Shares held</v>
      </c>
      <c r="V10" s="58" t="str">
        <f>IF($A10="","",IF(OR($B10="",$C10="",$D10="",$E10="",$F10=""),"Missing required field",IF(COUNTIFS($A$9:$A10,$A10,$B$9:$B10,$B10)&gt;1,"Duplicate event ID",IF(AND($E10&lt;&gt;IFERROR(LOOKUP(2,1/($B$9:$B$9=$B10),$E$9:$E9),0),IFERROR(LOOKUP(2,1/($B$9:$B$9=$B10),$E$9:$E9),0)&gt;$E10),"Date out of order",IF(AND(OR($F10="buy_to_close",$F10="expire",$F10="roll",$F10="assignment",$F10="called_away"),$AF10=0),"Unknown lot",IF(OR(AND($F10="assignment",$AF10&gt;0,IF($AF10&gt;0,INDEX($AG$9:$AG$9,$AF10),"")&lt;&gt;"put"),AND($F10="called_away",$AF10&gt;0,IF($AF10&gt;0,INDEX($AG$9:$AG$9,$AF10),"")&lt;&gt;"call")),"Wrong option leg",IF(OR(AND(OR($F10="sell_put",$F10="sell_call"),OR($H10&lt;=0,$I10&lt;=0,$J10&lt;0)),AND(OR($F10="buy_to_close",$F10="expire",$F10="assignment",$F10="called_away"),OR($H10&lt;=0,$J10&lt;0)),AND($F10="roll",OR($H10&lt;=0,$I10&lt;=0,$J10&lt;0,$K10&lt;0)),AND(OR($F10="buy_shares",$F10="sell_shares"),OR($L10&lt;=0,$M10&lt;0)),AND(OR($F10="dividend",$F10="fee"),$N10&lt;0)),"Invalid value",IF(AND(OR($F10="sell_shares",$F10="called_away"),$AL10&lt;IF($F10="called_away",$AE10*$D10,$L10)),"Insufficient shares (capped)",IF(AND(OR($F10="buy_to_close",$F10="expire",$F10="roll",$F10="assignment",$F10="called_away"),$AF10&gt;0,$H10&gt;IF($AF10&gt;0,MAX(0,INDEX($AI$9:$AI$9,$AF10)-SUMIFS($AE$9:$AE$9,$G$9:$G$9,$G10,$B$9:$B$9,$B10)),0)),"Close quantity capped","OK")))))))))</f>
        <v>OK</v>
      </c>
      <c r="W10" s="59">
        <f t="shared" si="3"/>
        <v>100</v>
      </c>
      <c r="X10" s="60">
        <f t="shared" si="4"/>
        <v>5000</v>
      </c>
      <c r="Y10" s="50">
        <f t="shared" si="5"/>
        <v>0</v>
      </c>
      <c r="Z10" s="50">
        <f t="shared" si="6"/>
        <v>0</v>
      </c>
      <c r="AA10" s="50">
        <f t="shared" si="7"/>
        <v>0</v>
      </c>
      <c r="AB10" s="50">
        <f t="shared" si="8"/>
        <v>0</v>
      </c>
      <c r="AC10" s="50">
        <f>IF($A10="","",IF($F10="assignment",IF($AF10&gt;0,INDEX($AH$9:$AH$9,$AF10),0)*$AE10*$D10,IF($F10="buy_shares",$M10*$AL10,0)))</f>
        <v>5000</v>
      </c>
      <c r="AD10" s="50">
        <f>IF($A10="","",IF($F10="called_away",IF($AF10&gt;0,INDEX($AH$9:$AH$9,$AF10),0)*$AL10,IF($F10="sell_shares",$M10*$AL10,0)))</f>
        <v>0</v>
      </c>
      <c r="AE10" s="51">
        <f>IF($A10="","",IF(OR($F10="sell_put",$F10="sell_call"),IF(AND($H10&gt;0,$I10&gt;0,$J10&gt;=0),$H10,0),IF(OR($F10="buy_to_close",$F10="expire",$F10="roll",$F10="assignment",$F10="called_away"),IF(AND($AF10&gt;0,$H10&gt;0,IF($F10="assignment",IF($AF10&gt;0,INDEX($AG$9:$AG$9,$AF10),"")="put",TRUE),IF($F10="called_away",IF($AF10&gt;0,INDEX($AG$9:$AG$9,$AF10),"")="call",TRUE)),MIN($H10,IF($AF10&gt;0,MAX(0,INDEX($AI$9:$AI$9,$AF10)-SUMIFS($AE$9:$AE$9,$G$9:$G$9,$G10,$B$9:$B$9,$B10)),0)),0),0)))</f>
        <v>1</v>
      </c>
      <c r="AF10">
        <f>IF($A10="","",IFERROR(MATCH(LEN($B10)&amp;":"&amp;$B10&amp;$G10,$AY$9:$AY$9,0),0))</f>
        <v>1</v>
      </c>
      <c r="AG10" t="str">
        <f>IF($A10="","",IF($F10="sell_put","put",IF($F10="sell_call","call",IF($F10="roll",IF($AF10&gt;0,IF($AF10&gt;0,INDEX($AG$9:$AG$9,$AF10),""),""),IF($AF10&gt;0,IF($AF10&gt;0,INDEX($AG$9:$AG$9,$AF10),""),"")))))</f>
        <v>put</v>
      </c>
      <c r="AH10">
        <f>IF($A10="","",IF(OR($F10="sell_put",$F10="sell_call",$F10="roll"),$I10,IF($AF10&gt;0,IF($AF10&gt;0,INDEX($AH$9:$AH$9,$AF10),0),0)))</f>
        <v>50</v>
      </c>
      <c r="AI10" s="51">
        <f t="shared" si="9"/>
        <v>0</v>
      </c>
      <c r="AJ10" s="51">
        <f>IF($A10="","",IFERROR(LOOKUP(2,1/($B$9:$B$9=$B10),$AM$9:$AM9),0))</f>
        <v>0</v>
      </c>
      <c r="AK10">
        <f>IF($A10="","",IFERROR(LOOKUP(2,1/($B$9:$B$9=$B10),$AN$9:$AN9),0))</f>
        <v>0</v>
      </c>
      <c r="AL10" s="51">
        <f t="shared" si="10"/>
        <v>100</v>
      </c>
      <c r="AM10" s="51">
        <f t="shared" si="11"/>
        <v>100</v>
      </c>
      <c r="AN10">
        <f t="shared" si="12"/>
        <v>5000</v>
      </c>
      <c r="AO10" s="50">
        <f>IF($A10="","",IFERROR(LOOKUP(2,1/($B$9:$B$9=$B10),$AO$9:$AO9),0)+IF($F10="sell_put",$I10*$AE10*$D10,IF($F10="roll",IF($AG10="put",($I10-IF($AF10&gt;0,INDEX($AH$9:$AH$9,$AF10),0))*$AE10*$D10,0),IF(AND(OR($F10="buy_to_close",$F10="expire",$F10="roll",$F10="assignment",$F10="called_away"),$F10&lt;&gt;"roll",$AG10="put"),-IF($AF10&gt;0,INDEX($AH$9:$AH$9,$AF10),0)*$AE10*$D10,0))))</f>
        <v>0</v>
      </c>
      <c r="AP10" s="51">
        <f>IF($A10="","",IFERROR(LOOKUP(2,1/($B$9:$B$9=$B10),$AP$9:$AP9),0)+IF($F10="sell_put",$AE10*$D10,IF(AND(OR($F10="buy_to_close",$F10="expire",$F10="roll",$F10="assignment",$F10="called_away"),$F10&lt;&gt;"roll",$AG10="put"),-$AE10*$D10,0)))</f>
        <v>0</v>
      </c>
      <c r="AQ10" s="51">
        <f>IF($A10="","",IFERROR(LOOKUP(2,1/($B$9:$B$9=$B10),$AQ$9:$AQ9),0)+IF(OR($F10="sell_put",$F10="sell_call"),$AE10,0)-IF(AND(OR($F10="buy_to_close",$F10="expire",$F10="roll",$F10="assignment",$F10="called_away"),$F10&lt;&gt;"roll"),$AE10,0))</f>
        <v>0</v>
      </c>
      <c r="AR10" t="b">
        <f t="shared" si="13"/>
        <v>0</v>
      </c>
      <c r="AS10" s="50">
        <f t="shared" si="14"/>
        <v>5000</v>
      </c>
      <c r="AT10" s="50">
        <f>IF($A10="","",MAX(IF($T10=IFERROR(LOOKUP(2,1/($B$9:$B$9=$B10),$T$9:$T9),0),IFERROR(LOOKUP(2,1/($B$9:$B$9=$B10),$AT$9:$AT9),0),0),$AS10))</f>
        <v>5000</v>
      </c>
      <c r="AU10" t="str">
        <f t="shared" si="15"/>
        <v>sample-xyz¦1</v>
      </c>
      <c r="AV10" s="51">
        <f>IF($AU10="",0,IF(AND(IFERROR(LOOKUP(2,1/($B$9:$B$9=$B10),$AR$9:$AR9),1),NOT(AND(OR($F10="dividend",$F10="fee"),IFERROR(LOOKUP(2,1/($B$9:$B$9=$B10),$T$9:$T9),0)&gt;0))),ROW(),0))</f>
        <v>0</v>
      </c>
      <c r="AW10">
        <f>IF($A10="",0,IF($AV10&gt;0,MAX($AW$9:$AW$9)+1,MAX($AW$9:$AW$9)))</f>
        <v>1</v>
      </c>
      <c r="AX10">
        <f>IF($AU10="",0,IF(AND($AR10,OR(NOT(IFERROR(LOOKUP(2,1/($B$9:$B$9=$B10),$AR$9:$AR9),1)),IFERROR(LOOKUP(2,1/($B$9:$B$9=$B10),$T$9:$T9),0)=0)),ROW(),0))</f>
        <v>0</v>
      </c>
      <c r="AY10" t="str">
        <f t="shared" si="16"/>
        <v>10:sample-xyzE0002</v>
      </c>
    </row>
    <row r="11" spans="1:51" ht="15" x14ac:dyDescent="0.25">
      <c r="A11" s="41" t="str">
        <f>IF(Trades!$A11="","",Trades!O11)</f>
        <v>E0003</v>
      </c>
      <c r="B11" s="41" t="str">
        <f>IF(Trades!$A11="","",Trades!B11)</f>
        <v>sample-xyz</v>
      </c>
      <c r="C11" s="41" t="str">
        <f>IF(Trades!$A11="","",Trades!C11)</f>
        <v>XYZ</v>
      </c>
      <c r="D11" s="42">
        <f>IF(Trades!$A11="","",IF(Trades!$L11&gt;0,Trades!$L11,Trades!$C$6))</f>
        <v>100</v>
      </c>
      <c r="E11" s="43">
        <f>IF(Trades!$A11="","",Trades!A11)</f>
        <v>46221</v>
      </c>
      <c r="F11" s="41" t="str">
        <f>IF(Trades!$A11="","",IFERROR(INDEX(Trades!$V$2:$V$14,MATCH(Trades!$E11,Trades!$U$2:$U$14,0)),""))</f>
        <v>sell_call</v>
      </c>
      <c r="G11" s="41">
        <f>IF(Trades!$A11="","",Trades!N11)</f>
        <v>0</v>
      </c>
      <c r="H11" s="42">
        <f>IF(Trades!$A11="","",Trades!F11)</f>
        <v>1</v>
      </c>
      <c r="I11" s="44">
        <f>IF(Trades!$A11="","",Trades!G11)</f>
        <v>52</v>
      </c>
      <c r="J11" s="44">
        <f>IF(Trades!$A11="","",Trades!I11)</f>
        <v>1</v>
      </c>
      <c r="K11" s="44">
        <f>IF(Trades!$A11="","",Trades!Q11)</f>
        <v>0</v>
      </c>
      <c r="L11" s="42">
        <f>IF(Trades!$A11="","",Trades!F11)</f>
        <v>1</v>
      </c>
      <c r="M11" s="44">
        <f>IF(Trades!$A11="","",Trades!M11)</f>
        <v>0</v>
      </c>
      <c r="N11" s="44">
        <f>IF(Trades!$A11="","",Trades!R11)</f>
        <v>0</v>
      </c>
      <c r="O11" s="44">
        <f>IF(Trades!$A11="","",Trades!J11)</f>
        <v>0.65</v>
      </c>
      <c r="P11" s="43">
        <f>IF(Trades!$A11="","",Trades!H11)</f>
        <v>46246</v>
      </c>
      <c r="Q11" s="41" t="str">
        <f>IF(Trades!$A11="","",Trades!P11)</f>
        <v>Sample Data</v>
      </c>
      <c r="R11" s="45">
        <f t="shared" si="0"/>
        <v>100</v>
      </c>
      <c r="S11" s="45">
        <f t="shared" si="1"/>
        <v>99.35</v>
      </c>
      <c r="T11" s="46">
        <f>IF(OR($A11="",$B11=""),"",IF(AND(IFERROR(LOOKUP(2,1/($B$9:$B$10=$B11),$AR$9:$AR10),1),NOT(AND(OR($F11="dividend",$F11="fee"),IFERROR(LOOKUP(2,1/($B$9:$B$10=$B11),$T$9:$T10),0)&gt;0))),IFERROR(LOOKUP(2,1/($B$9:$B$10=$B11),$T$9:$T10),0)+1,IFERROR(LOOKUP(2,1/($B$9:$B$10=$B11),$T$9:$T10),0)))</f>
        <v>1</v>
      </c>
      <c r="U11" s="47" t="str">
        <f t="shared" si="2"/>
        <v>Shares held</v>
      </c>
      <c r="V11" s="47" t="str">
        <f>IF($A11="","",IF(OR($B11="",$C11="",$D11="",$E11="",$F11=""),"Missing required field",IF(COUNTIFS($A$9:$A11,$A11,$B$9:$B11,$B11)&gt;1,"Duplicate event ID",IF(AND($E11&lt;&gt;IFERROR(LOOKUP(2,1/($B$9:$B$10=$B11),$E$9:$E10),0),IFERROR(LOOKUP(2,1/($B$9:$B$10=$B11),$E$9:$E10),0)&gt;$E11),"Date out of order",IF(AND(OR($F11="buy_to_close",$F11="expire",$F11="roll",$F11="assignment",$F11="called_away"),$AF11=0),"Unknown lot",IF(OR(AND($F11="assignment",$AF11&gt;0,IF($AF11&gt;0,INDEX($AG$9:$AG$10,$AF11),"")&lt;&gt;"put"),AND($F11="called_away",$AF11&gt;0,IF($AF11&gt;0,INDEX($AG$9:$AG$10,$AF11),"")&lt;&gt;"call")),"Wrong option leg",IF(OR(AND(OR($F11="sell_put",$F11="sell_call"),OR($H11&lt;=0,$I11&lt;=0,$J11&lt;0)),AND(OR($F11="buy_to_close",$F11="expire",$F11="assignment",$F11="called_away"),OR($H11&lt;=0,$J11&lt;0)),AND($F11="roll",OR($H11&lt;=0,$I11&lt;=0,$J11&lt;0,$K11&lt;0)),AND(OR($F11="buy_shares",$F11="sell_shares"),OR($L11&lt;=0,$M11&lt;0)),AND(OR($F11="dividend",$F11="fee"),$N11&lt;0)),"Invalid value",IF(AND(OR($F11="sell_shares",$F11="called_away"),$AL11&lt;IF($F11="called_away",$AE11*$D11,$L11)),"Insufficient shares (capped)",IF(AND(OR($F11="buy_to_close",$F11="expire",$F11="roll",$F11="assignment",$F11="called_away"),$AF11&gt;0,$H11&gt;IF($AF11&gt;0,MAX(0,INDEX($AI$9:$AI$10,$AF11)-SUMIFS($AE$9:$AE$10,$G$9:$G$10,$G11,$B$9:$B$10,$B11)),0)),"Close quantity capped","OK")))))))))</f>
        <v>OK</v>
      </c>
      <c r="W11" s="48">
        <f t="shared" si="3"/>
        <v>100</v>
      </c>
      <c r="X11" s="49">
        <f t="shared" si="4"/>
        <v>5000</v>
      </c>
      <c r="Y11" s="50">
        <f t="shared" si="5"/>
        <v>100</v>
      </c>
      <c r="Z11" s="50">
        <f t="shared" si="6"/>
        <v>0</v>
      </c>
      <c r="AA11" s="50">
        <f t="shared" si="7"/>
        <v>0</v>
      </c>
      <c r="AB11" s="50">
        <f t="shared" si="8"/>
        <v>0.65</v>
      </c>
      <c r="AC11" s="50">
        <f>IF($A11="","",IF($F11="assignment",IF($AF11&gt;0,INDEX($AH$9:$AH$10,$AF11),0)*$AE11*$D11,IF($F11="buy_shares",$M11*$AL11,0)))</f>
        <v>0</v>
      </c>
      <c r="AD11" s="50">
        <f>IF($A11="","",IF($F11="called_away",IF($AF11&gt;0,INDEX($AH$9:$AH$10,$AF11),0)*$AL11,IF($F11="sell_shares",$M11*$AL11,0)))</f>
        <v>0</v>
      </c>
      <c r="AE11" s="51">
        <f>IF($A11="","",IF(OR($F11="sell_put",$F11="sell_call"),IF(AND($H11&gt;0,$I11&gt;0,$J11&gt;=0),$H11,0),IF(OR($F11="buy_to_close",$F11="expire",$F11="roll",$F11="assignment",$F11="called_away"),IF(AND($AF11&gt;0,$H11&gt;0,IF($F11="assignment",IF($AF11&gt;0,INDEX($AG$9:$AG$10,$AF11),"")="put",TRUE),IF($F11="called_away",IF($AF11&gt;0,INDEX($AG$9:$AG$10,$AF11),"")="call",TRUE)),MIN($H11,IF($AF11&gt;0,MAX(0,INDEX($AI$9:$AI$10,$AF11)-SUMIFS($AE$9:$AE$10,$G$9:$G$10,$G11,$B$9:$B$10,$B11)),0)),0),0)))</f>
        <v>1</v>
      </c>
      <c r="AF11">
        <f>IF($A11="","",IFERROR(MATCH(LEN($B11)&amp;":"&amp;$B11&amp;$G11,$AY$9:$AY$10,0),0))</f>
        <v>0</v>
      </c>
      <c r="AG11" t="str">
        <f>IF($A11="","",IF($F11="sell_put","put",IF($F11="sell_call","call",IF($F11="roll",IF($AF11&gt;0,IF($AF11&gt;0,INDEX($AG$9:$AG$10,$AF11),""),""),IF($AF11&gt;0,IF($AF11&gt;0,INDEX($AG$9:$AG$10,$AF11),""),"")))))</f>
        <v>call</v>
      </c>
      <c r="AH11">
        <f>IF($A11="","",IF(OR($F11="sell_put",$F11="sell_call",$F11="roll"),$I11,IF($AF11&gt;0,IF($AF11&gt;0,INDEX($AH$9:$AH$10,$AF11),0),0)))</f>
        <v>52</v>
      </c>
      <c r="AI11" s="51">
        <f t="shared" si="9"/>
        <v>1</v>
      </c>
      <c r="AJ11" s="51">
        <f>IF($A11="","",IFERROR(LOOKUP(2,1/($B$9:$B$10=$B11),$AM$9:$AM10),0))</f>
        <v>100</v>
      </c>
      <c r="AK11">
        <f>IF($A11="","",IFERROR(LOOKUP(2,1/($B$9:$B$10=$B11),$AN$9:$AN10),0))</f>
        <v>5000</v>
      </c>
      <c r="AL11" s="51">
        <f t="shared" si="10"/>
        <v>0</v>
      </c>
      <c r="AM11" s="51">
        <f t="shared" si="11"/>
        <v>100</v>
      </c>
      <c r="AN11">
        <f t="shared" si="12"/>
        <v>5000</v>
      </c>
      <c r="AO11" s="50">
        <f>IF($A11="","",IFERROR(LOOKUP(2,1/($B$9:$B$10=$B11),$AO$9:$AO10),0)+IF($F11="sell_put",$I11*$AE11*$D11,IF($F11="roll",IF($AG11="put",($I11-IF($AF11&gt;0,INDEX($AH$9:$AH$10,$AF11),0))*$AE11*$D11,0),IF(AND(OR($F11="buy_to_close",$F11="expire",$F11="roll",$F11="assignment",$F11="called_away"),$F11&lt;&gt;"roll",$AG11="put"),-IF($AF11&gt;0,INDEX($AH$9:$AH$10,$AF11),0)*$AE11*$D11,0))))</f>
        <v>0</v>
      </c>
      <c r="AP11" s="51">
        <f>IF($A11="","",IFERROR(LOOKUP(2,1/($B$9:$B$10=$B11),$AP$9:$AP10),0)+IF($F11="sell_put",$AE11*$D11,IF(AND(OR($F11="buy_to_close",$F11="expire",$F11="roll",$F11="assignment",$F11="called_away"),$F11&lt;&gt;"roll",$AG11="put"),-$AE11*$D11,0)))</f>
        <v>0</v>
      </c>
      <c r="AQ11" s="51">
        <f>IF($A11="","",IFERROR(LOOKUP(2,1/($B$9:$B$10=$B11),$AQ$9:$AQ10),0)+IF(OR($F11="sell_put",$F11="sell_call"),$AE11,0)-IF(AND(OR($F11="buy_to_close",$F11="expire",$F11="roll",$F11="assignment",$F11="called_away"),$F11&lt;&gt;"roll"),$AE11,0))</f>
        <v>1</v>
      </c>
      <c r="AR11" t="b">
        <f t="shared" si="13"/>
        <v>0</v>
      </c>
      <c r="AS11" s="50">
        <f t="shared" si="14"/>
        <v>5000</v>
      </c>
      <c r="AT11" s="50">
        <f>IF($A11="","",MAX(IF($T11=IFERROR(LOOKUP(2,1/($B$9:$B$10=$B11),$T$9:$T10),0),IFERROR(LOOKUP(2,1/($B$9:$B$10=$B11),$AT$9:$AT10),0),0),$AS11))</f>
        <v>5000</v>
      </c>
      <c r="AU11" t="str">
        <f t="shared" si="15"/>
        <v>sample-xyz¦1</v>
      </c>
      <c r="AV11" s="51">
        <f>IF($AU11="",0,IF(AND(IFERROR(LOOKUP(2,1/($B$9:$B$10=$B11),$AR$9:$AR10),1),NOT(AND(OR($F11="dividend",$F11="fee"),IFERROR(LOOKUP(2,1/($B$9:$B$10=$B11),$T$9:$T10),0)&gt;0))),ROW(),0))</f>
        <v>0</v>
      </c>
      <c r="AW11">
        <f>IF($A11="",0,IF($AV11&gt;0,MAX($AW$9:$AW$10)+1,MAX($AW$9:$AW$10)))</f>
        <v>1</v>
      </c>
      <c r="AX11">
        <f>IF($AU11="",0,IF(AND($AR11,OR(NOT(IFERROR(LOOKUP(2,1/($B$9:$B$10=$B11),$AR$9:$AR10),1)),IFERROR(LOOKUP(2,1/($B$9:$B$10=$B11),$T$9:$T10),0)=0)),ROW(),0))</f>
        <v>0</v>
      </c>
      <c r="AY11" t="str">
        <f t="shared" si="16"/>
        <v>10:sample-xyzE0003</v>
      </c>
    </row>
    <row r="12" spans="1:51" ht="15" x14ac:dyDescent="0.25">
      <c r="A12" s="52" t="str">
        <f>IF(Trades!$A12="","",Trades!O12)</f>
        <v>E0004</v>
      </c>
      <c r="B12" s="52" t="str">
        <f>IF(Trades!$A12="","",Trades!B12)</f>
        <v>demo-loss</v>
      </c>
      <c r="C12" s="52" t="str">
        <f>IF(Trades!$A12="","",Trades!C12)</f>
        <v>MNO</v>
      </c>
      <c r="D12" s="53">
        <f>IF(Trades!$A12="","",IF(Trades!$L12&gt;0,Trades!$L12,Trades!$C$6))</f>
        <v>100</v>
      </c>
      <c r="E12" s="54">
        <f>IF(Trades!$A12="","",Trades!A12)</f>
        <v>46228</v>
      </c>
      <c r="F12" s="52" t="str">
        <f>IF(Trades!$A12="","",IFERROR(INDEX(Trades!$V$2:$V$14,MATCH(Trades!$E12,Trades!$U$2:$U$14,0)),""))</f>
        <v>buy_shares</v>
      </c>
      <c r="G12" s="52">
        <f>IF(Trades!$A12="","",Trades!N12)</f>
        <v>0</v>
      </c>
      <c r="H12" s="53">
        <f>IF(Trades!$A12="","",Trades!F12)</f>
        <v>100</v>
      </c>
      <c r="I12" s="55">
        <f>IF(Trades!$A12="","",Trades!G12)</f>
        <v>0</v>
      </c>
      <c r="J12" s="55">
        <f>IF(Trades!$A12="","",Trades!I12)</f>
        <v>0</v>
      </c>
      <c r="K12" s="55">
        <f>IF(Trades!$A12="","",Trades!Q12)</f>
        <v>0</v>
      </c>
      <c r="L12" s="53">
        <f>IF(Trades!$A12="","",Trades!F12)</f>
        <v>100</v>
      </c>
      <c r="M12" s="55">
        <f>IF(Trades!$A12="","",Trades!M12)</f>
        <v>40</v>
      </c>
      <c r="N12" s="55">
        <f>IF(Trades!$A12="","",Trades!R12)</f>
        <v>0</v>
      </c>
      <c r="O12" s="55">
        <f>IF(Trades!$A12="","",Trades!J12)</f>
        <v>1</v>
      </c>
      <c r="P12" s="54">
        <f>IF(Trades!$A12="","",Trades!H12)</f>
        <v>0</v>
      </c>
      <c r="Q12" s="52" t="str">
        <f>IF(Trades!$A12="","",Trades!P12)</f>
        <v>Sample Data</v>
      </c>
      <c r="R12" s="56">
        <f t="shared" si="0"/>
        <v>0</v>
      </c>
      <c r="S12" s="56">
        <f t="shared" si="1"/>
        <v>-4001</v>
      </c>
      <c r="T12" s="57">
        <f>IF(OR($A12="",$B12=""),"",IF(AND(IFERROR(LOOKUP(2,1/($B$9:$B$11=$B12),$AR$9:$AR11),1),NOT(AND(OR($F12="dividend",$F12="fee"),IFERROR(LOOKUP(2,1/($B$9:$B$11=$B12),$T$9:$T11),0)&gt;0))),IFERROR(LOOKUP(2,1/($B$9:$B$11=$B12),$T$9:$T11),0)+1,IFERROR(LOOKUP(2,1/($B$9:$B$11=$B12),$T$9:$T11),0)))</f>
        <v>1</v>
      </c>
      <c r="U12" s="58" t="str">
        <f t="shared" si="2"/>
        <v>Shares held</v>
      </c>
      <c r="V12" s="58" t="str">
        <f>IF($A12="","",IF(OR($B12="",$C12="",$D12="",$E12="",$F12=""),"Missing required field",IF(COUNTIFS($A$9:$A12,$A12,$B$9:$B12,$B12)&gt;1,"Duplicate event ID",IF(AND($E12&lt;&gt;IFERROR(LOOKUP(2,1/($B$9:$B$11=$B12),$E$9:$E11),0),IFERROR(LOOKUP(2,1/($B$9:$B$11=$B12),$E$9:$E11),0)&gt;$E12),"Date out of order",IF(AND(OR($F12="buy_to_close",$F12="expire",$F12="roll",$F12="assignment",$F12="called_away"),$AF12=0),"Unknown lot",IF(OR(AND($F12="assignment",$AF12&gt;0,IF($AF12&gt;0,INDEX($AG$9:$AG$11,$AF12),"")&lt;&gt;"put"),AND($F12="called_away",$AF12&gt;0,IF($AF12&gt;0,INDEX($AG$9:$AG$11,$AF12),"")&lt;&gt;"call")),"Wrong option leg",IF(OR(AND(OR($F12="sell_put",$F12="sell_call"),OR($H12&lt;=0,$I12&lt;=0,$J12&lt;0)),AND(OR($F12="buy_to_close",$F12="expire",$F12="assignment",$F12="called_away"),OR($H12&lt;=0,$J12&lt;0)),AND($F12="roll",OR($H12&lt;=0,$I12&lt;=0,$J12&lt;0,$K12&lt;0)),AND(OR($F12="buy_shares",$F12="sell_shares"),OR($L12&lt;=0,$M12&lt;0)),AND(OR($F12="dividend",$F12="fee"),$N12&lt;0)),"Invalid value",IF(AND(OR($F12="sell_shares",$F12="called_away"),$AL12&lt;IF($F12="called_away",$AE12*$D12,$L12)),"Insufficient shares (capped)",IF(AND(OR($F12="buy_to_close",$F12="expire",$F12="roll",$F12="assignment",$F12="called_away"),$AF12&gt;0,$H12&gt;IF($AF12&gt;0,MAX(0,INDEX($AI$9:$AI$11,$AF12)-SUMIFS($AE$9:$AE$11,$G$9:$G$11,$G12,$B$9:$B$11,$B12)),0)),"Close quantity capped","OK")))))))))</f>
        <v>OK</v>
      </c>
      <c r="W12" s="59">
        <f t="shared" si="3"/>
        <v>100</v>
      </c>
      <c r="X12" s="60">
        <f t="shared" si="4"/>
        <v>4000</v>
      </c>
      <c r="Y12" s="50">
        <f t="shared" si="5"/>
        <v>0</v>
      </c>
      <c r="Z12" s="50">
        <f t="shared" si="6"/>
        <v>0</v>
      </c>
      <c r="AA12" s="50">
        <f t="shared" si="7"/>
        <v>0</v>
      </c>
      <c r="AB12" s="50">
        <f t="shared" si="8"/>
        <v>1</v>
      </c>
      <c r="AC12" s="50">
        <f>IF($A12="","",IF($F12="assignment",IF($AF12&gt;0,INDEX($AH$9:$AH$11,$AF12),0)*$AE12*$D12,IF($F12="buy_shares",$M12*$AL12,0)))</f>
        <v>4000</v>
      </c>
      <c r="AD12" s="50">
        <f>IF($A12="","",IF($F12="called_away",IF($AF12&gt;0,INDEX($AH$9:$AH$11,$AF12),0)*$AL12,IF($F12="sell_shares",$M12*$AL12,0)))</f>
        <v>0</v>
      </c>
      <c r="AE12" s="51">
        <f>IF($A12="","",IF(OR($F12="sell_put",$F12="sell_call"),IF(AND($H12&gt;0,$I12&gt;0,$J12&gt;=0),$H12,0),IF(OR($F12="buy_to_close",$F12="expire",$F12="roll",$F12="assignment",$F12="called_away"),IF(AND($AF12&gt;0,$H12&gt;0,IF($F12="assignment",IF($AF12&gt;0,INDEX($AG$9:$AG$11,$AF12),"")="put",TRUE),IF($F12="called_away",IF($AF12&gt;0,INDEX($AG$9:$AG$11,$AF12),"")="call",TRUE)),MIN($H12,IF($AF12&gt;0,MAX(0,INDEX($AI$9:$AI$11,$AF12)-SUMIFS($AE$9:$AE$11,$G$9:$G$11,$G12,$B$9:$B$11,$B12)),0)),0),0)))</f>
        <v>0</v>
      </c>
      <c r="AF12">
        <f>IF($A12="","",IFERROR(MATCH(LEN($B12)&amp;":"&amp;$B12&amp;$G12,$AY$9:$AY$11,0),0))</f>
        <v>0</v>
      </c>
      <c r="AG12" t="str">
        <f>IF($A12="","",IF($F12="sell_put","put",IF($F12="sell_call","call",IF($F12="roll",IF($AF12&gt;0,IF($AF12&gt;0,INDEX($AG$9:$AG$11,$AF12),""),""),IF($AF12&gt;0,IF($AF12&gt;0,INDEX($AG$9:$AG$11,$AF12),""),"")))))</f>
        <v/>
      </c>
      <c r="AH12">
        <f>IF($A12="","",IF(OR($F12="sell_put",$F12="sell_call",$F12="roll"),$I12,IF($AF12&gt;0,IF($AF12&gt;0,INDEX($AH$9:$AH$11,$AF12),0),0)))</f>
        <v>0</v>
      </c>
      <c r="AI12" s="51">
        <f t="shared" si="9"/>
        <v>0</v>
      </c>
      <c r="AJ12" s="51">
        <f>IF($A12="","",IFERROR(LOOKUP(2,1/($B$9:$B$11=$B12),$AM$9:$AM11),0))</f>
        <v>0</v>
      </c>
      <c r="AK12">
        <f>IF($A12="","",IFERROR(LOOKUP(2,1/($B$9:$B$11=$B12),$AN$9:$AN11),0))</f>
        <v>0</v>
      </c>
      <c r="AL12" s="51">
        <f t="shared" si="10"/>
        <v>100</v>
      </c>
      <c r="AM12" s="51">
        <f t="shared" si="11"/>
        <v>100</v>
      </c>
      <c r="AN12">
        <f t="shared" si="12"/>
        <v>4000</v>
      </c>
      <c r="AO12" s="50">
        <f>IF($A12="","",IFERROR(LOOKUP(2,1/($B$9:$B$11=$B12),$AO$9:$AO11),0)+IF($F12="sell_put",$I12*$AE12*$D12,IF($F12="roll",IF($AG12="put",($I12-IF($AF12&gt;0,INDEX($AH$9:$AH$11,$AF12),0))*$AE12*$D12,0),IF(AND(OR($F12="buy_to_close",$F12="expire",$F12="roll",$F12="assignment",$F12="called_away"),$F12&lt;&gt;"roll",$AG12="put"),-IF($AF12&gt;0,INDEX($AH$9:$AH$11,$AF12),0)*$AE12*$D12,0))))</f>
        <v>0</v>
      </c>
      <c r="AP12" s="51">
        <f>IF($A12="","",IFERROR(LOOKUP(2,1/($B$9:$B$11=$B12),$AP$9:$AP11),0)+IF($F12="sell_put",$AE12*$D12,IF(AND(OR($F12="buy_to_close",$F12="expire",$F12="roll",$F12="assignment",$F12="called_away"),$F12&lt;&gt;"roll",$AG12="put"),-$AE12*$D12,0)))</f>
        <v>0</v>
      </c>
      <c r="AQ12" s="51">
        <f>IF($A12="","",IFERROR(LOOKUP(2,1/($B$9:$B$11=$B12),$AQ$9:$AQ11),0)+IF(OR($F12="sell_put",$F12="sell_call"),$AE12,0)-IF(AND(OR($F12="buy_to_close",$F12="expire",$F12="roll",$F12="assignment",$F12="called_away"),$F12&lt;&gt;"roll"),$AE12,0))</f>
        <v>0</v>
      </c>
      <c r="AR12" t="b">
        <f t="shared" si="13"/>
        <v>0</v>
      </c>
      <c r="AS12" s="50">
        <f t="shared" si="14"/>
        <v>4000</v>
      </c>
      <c r="AT12" s="50">
        <f>IF($A12="","",MAX(IF($T12=IFERROR(LOOKUP(2,1/($B$9:$B$11=$B12),$T$9:$T11),0),IFERROR(LOOKUP(2,1/($B$9:$B$11=$B12),$AT$9:$AT11),0),0),$AS12))</f>
        <v>4000</v>
      </c>
      <c r="AU12" t="str">
        <f t="shared" si="15"/>
        <v>demo-loss¦1</v>
      </c>
      <c r="AV12" s="51">
        <f>IF($AU12="",0,IF(AND(IFERROR(LOOKUP(2,1/($B$9:$B$11=$B12),$AR$9:$AR11),1),NOT(AND(OR($F12="dividend",$F12="fee"),IFERROR(LOOKUP(2,1/($B$9:$B$11=$B12),$T$9:$T11),0)&gt;0))),ROW(),0))</f>
        <v>12</v>
      </c>
      <c r="AW12">
        <f>IF($A12="",0,IF($AV12&gt;0,MAX($AW$9:$AW$11)+1,MAX($AW$9:$AW$11)))</f>
        <v>2</v>
      </c>
      <c r="AX12">
        <f>IF($AU12="",0,IF(AND($AR12,OR(NOT(IFERROR(LOOKUP(2,1/($B$9:$B$11=$B12),$AR$9:$AR11),1)),IFERROR(LOOKUP(2,1/($B$9:$B$11=$B12),$T$9:$T11),0)=0)),ROW(),0))</f>
        <v>0</v>
      </c>
      <c r="AY12" t="str">
        <f t="shared" si="16"/>
        <v>9:demo-lossE0004</v>
      </c>
    </row>
    <row r="13" spans="1:51" ht="15" x14ac:dyDescent="0.25">
      <c r="A13" s="41" t="str">
        <f>IF(Trades!$A13="","",Trades!O13)</f>
        <v>E0005</v>
      </c>
      <c r="B13" s="41" t="str">
        <f>IF(Trades!$A13="","",Trades!B13)</f>
        <v>demo-loss</v>
      </c>
      <c r="C13" s="41" t="str">
        <f>IF(Trades!$A13="","",Trades!C13)</f>
        <v>MNO</v>
      </c>
      <c r="D13" s="42">
        <f>IF(Trades!$A13="","",IF(Trades!$L13&gt;0,Trades!$L13,Trades!$C$6))</f>
        <v>100</v>
      </c>
      <c r="E13" s="43">
        <f>IF(Trades!$A13="","",Trades!A13)</f>
        <v>46231</v>
      </c>
      <c r="F13" s="41" t="str">
        <f>IF(Trades!$A13="","",IFERROR(INDEX(Trades!$V$2:$V$14,MATCH(Trades!$E13,Trades!$U$2:$U$14,0)),""))</f>
        <v>sell_call</v>
      </c>
      <c r="G13" s="41">
        <f>IF(Trades!$A13="","",Trades!N13)</f>
        <v>0</v>
      </c>
      <c r="H13" s="42">
        <f>IF(Trades!$A13="","",Trades!F13)</f>
        <v>1</v>
      </c>
      <c r="I13" s="44">
        <f>IF(Trades!$A13="","",Trades!G13)</f>
        <v>39</v>
      </c>
      <c r="J13" s="44">
        <f>IF(Trades!$A13="","",Trades!I13)</f>
        <v>0.2</v>
      </c>
      <c r="K13" s="44">
        <f>IF(Trades!$A13="","",Trades!Q13)</f>
        <v>0</v>
      </c>
      <c r="L13" s="42">
        <f>IF(Trades!$A13="","",Trades!F13)</f>
        <v>1</v>
      </c>
      <c r="M13" s="44">
        <f>IF(Trades!$A13="","",Trades!M13)</f>
        <v>0</v>
      </c>
      <c r="N13" s="44">
        <f>IF(Trades!$A13="","",Trades!R13)</f>
        <v>0</v>
      </c>
      <c r="O13" s="44">
        <f>IF(Trades!$A13="","",Trades!J13)</f>
        <v>0.65</v>
      </c>
      <c r="P13" s="43">
        <f>IF(Trades!$A13="","",Trades!H13)</f>
        <v>46255</v>
      </c>
      <c r="Q13" s="41" t="str">
        <f>IF(Trades!$A13="","",Trades!P13)</f>
        <v>Sample Data</v>
      </c>
      <c r="R13" s="45">
        <f t="shared" si="0"/>
        <v>20</v>
      </c>
      <c r="S13" s="45">
        <f t="shared" si="1"/>
        <v>19.350000000000001</v>
      </c>
      <c r="T13" s="46">
        <f>IF(OR($A13="",$B13=""),"",IF(AND(IFERROR(LOOKUP(2,1/($B$9:$B$12=$B13),$AR$9:$AR12),1),NOT(AND(OR($F13="dividend",$F13="fee"),IFERROR(LOOKUP(2,1/($B$9:$B$12=$B13),$T$9:$T12),0)&gt;0))),IFERROR(LOOKUP(2,1/($B$9:$B$12=$B13),$T$9:$T12),0)+1,IFERROR(LOOKUP(2,1/($B$9:$B$12=$B13),$T$9:$T12),0)))</f>
        <v>1</v>
      </c>
      <c r="U13" s="47" t="str">
        <f t="shared" si="2"/>
        <v>Shares held</v>
      </c>
      <c r="V13" s="47" t="str">
        <f>IF($A13="","",IF(OR($B13="",$C13="",$D13="",$E13="",$F13=""),"Missing required field",IF(COUNTIFS($A$9:$A13,$A13,$B$9:$B13,$B13)&gt;1,"Duplicate event ID",IF(AND($E13&lt;&gt;IFERROR(LOOKUP(2,1/($B$9:$B$12=$B13),$E$9:$E12),0),IFERROR(LOOKUP(2,1/($B$9:$B$12=$B13),$E$9:$E12),0)&gt;$E13),"Date out of order",IF(AND(OR($F13="buy_to_close",$F13="expire",$F13="roll",$F13="assignment",$F13="called_away"),$AF13=0),"Unknown lot",IF(OR(AND($F13="assignment",$AF13&gt;0,IF($AF13&gt;0,INDEX($AG$9:$AG$12,$AF13),"")&lt;&gt;"put"),AND($F13="called_away",$AF13&gt;0,IF($AF13&gt;0,INDEX($AG$9:$AG$12,$AF13),"")&lt;&gt;"call")),"Wrong option leg",IF(OR(AND(OR($F13="sell_put",$F13="sell_call"),OR($H13&lt;=0,$I13&lt;=0,$J13&lt;0)),AND(OR($F13="buy_to_close",$F13="expire",$F13="assignment",$F13="called_away"),OR($H13&lt;=0,$J13&lt;0)),AND($F13="roll",OR($H13&lt;=0,$I13&lt;=0,$J13&lt;0,$K13&lt;0)),AND(OR($F13="buy_shares",$F13="sell_shares"),OR($L13&lt;=0,$M13&lt;0)),AND(OR($F13="dividend",$F13="fee"),$N13&lt;0)),"Invalid value",IF(AND(OR($F13="sell_shares",$F13="called_away"),$AL13&lt;IF($F13="called_away",$AE13*$D13,$L13)),"Insufficient shares (capped)",IF(AND(OR($F13="buy_to_close",$F13="expire",$F13="roll",$F13="assignment",$F13="called_away"),$AF13&gt;0,$H13&gt;IF($AF13&gt;0,MAX(0,INDEX($AI$9:$AI$12,$AF13)-SUMIFS($AE$9:$AE$12,$G$9:$G$12,$G13,$B$9:$B$12,$B13)),0)),"Close quantity capped","OK")))))))))</f>
        <v>OK</v>
      </c>
      <c r="W13" s="48">
        <f t="shared" si="3"/>
        <v>100</v>
      </c>
      <c r="X13" s="49">
        <f t="shared" si="4"/>
        <v>4000</v>
      </c>
      <c r="Y13" s="50">
        <f t="shared" si="5"/>
        <v>20</v>
      </c>
      <c r="Z13" s="50">
        <f t="shared" si="6"/>
        <v>0</v>
      </c>
      <c r="AA13" s="50">
        <f t="shared" si="7"/>
        <v>0</v>
      </c>
      <c r="AB13" s="50">
        <f t="shared" si="8"/>
        <v>0.65</v>
      </c>
      <c r="AC13" s="50">
        <f>IF($A13="","",IF($F13="assignment",IF($AF13&gt;0,INDEX($AH$9:$AH$12,$AF13),0)*$AE13*$D13,IF($F13="buy_shares",$M13*$AL13,0)))</f>
        <v>0</v>
      </c>
      <c r="AD13" s="50">
        <f>IF($A13="","",IF($F13="called_away",IF($AF13&gt;0,INDEX($AH$9:$AH$12,$AF13),0)*$AL13,IF($F13="sell_shares",$M13*$AL13,0)))</f>
        <v>0</v>
      </c>
      <c r="AE13" s="51">
        <f>IF($A13="","",IF(OR($F13="sell_put",$F13="sell_call"),IF(AND($H13&gt;0,$I13&gt;0,$J13&gt;=0),$H13,0),IF(OR($F13="buy_to_close",$F13="expire",$F13="roll",$F13="assignment",$F13="called_away"),IF(AND($AF13&gt;0,$H13&gt;0,IF($F13="assignment",IF($AF13&gt;0,INDEX($AG$9:$AG$12,$AF13),"")="put",TRUE),IF($F13="called_away",IF($AF13&gt;0,INDEX($AG$9:$AG$12,$AF13),"")="call",TRUE)),MIN($H13,IF($AF13&gt;0,MAX(0,INDEX($AI$9:$AI$12,$AF13)-SUMIFS($AE$9:$AE$12,$G$9:$G$12,$G13,$B$9:$B$12,$B13)),0)),0),0)))</f>
        <v>1</v>
      </c>
      <c r="AF13">
        <f>IF($A13="","",IFERROR(MATCH(LEN($B13)&amp;":"&amp;$B13&amp;$G13,$AY$9:$AY$12,0),0))</f>
        <v>0</v>
      </c>
      <c r="AG13" t="str">
        <f>IF($A13="","",IF($F13="sell_put","put",IF($F13="sell_call","call",IF($F13="roll",IF($AF13&gt;0,IF($AF13&gt;0,INDEX($AG$9:$AG$12,$AF13),""),""),IF($AF13&gt;0,IF($AF13&gt;0,INDEX($AG$9:$AG$12,$AF13),""),"")))))</f>
        <v>call</v>
      </c>
      <c r="AH13">
        <f>IF($A13="","",IF(OR($F13="sell_put",$F13="sell_call",$F13="roll"),$I13,IF($AF13&gt;0,IF($AF13&gt;0,INDEX($AH$9:$AH$12,$AF13),0),0)))</f>
        <v>39</v>
      </c>
      <c r="AI13" s="51">
        <f t="shared" si="9"/>
        <v>1</v>
      </c>
      <c r="AJ13" s="51">
        <f>IF($A13="","",IFERROR(LOOKUP(2,1/($B$9:$B$12=$B13),$AM$9:$AM12),0))</f>
        <v>100</v>
      </c>
      <c r="AK13">
        <f>IF($A13="","",IFERROR(LOOKUP(2,1/($B$9:$B$12=$B13),$AN$9:$AN12),0))</f>
        <v>4000</v>
      </c>
      <c r="AL13" s="51">
        <f t="shared" si="10"/>
        <v>0</v>
      </c>
      <c r="AM13" s="51">
        <f t="shared" si="11"/>
        <v>100</v>
      </c>
      <c r="AN13">
        <f t="shared" si="12"/>
        <v>4000</v>
      </c>
      <c r="AO13" s="50">
        <f>IF($A13="","",IFERROR(LOOKUP(2,1/($B$9:$B$12=$B13),$AO$9:$AO12),0)+IF($F13="sell_put",$I13*$AE13*$D13,IF($F13="roll",IF($AG13="put",($I13-IF($AF13&gt;0,INDEX($AH$9:$AH$12,$AF13),0))*$AE13*$D13,0),IF(AND(OR($F13="buy_to_close",$F13="expire",$F13="roll",$F13="assignment",$F13="called_away"),$F13&lt;&gt;"roll",$AG13="put"),-IF($AF13&gt;0,INDEX($AH$9:$AH$12,$AF13),0)*$AE13*$D13,0))))</f>
        <v>0</v>
      </c>
      <c r="AP13" s="51">
        <f>IF($A13="","",IFERROR(LOOKUP(2,1/($B$9:$B$12=$B13),$AP$9:$AP12),0)+IF($F13="sell_put",$AE13*$D13,IF(AND(OR($F13="buy_to_close",$F13="expire",$F13="roll",$F13="assignment",$F13="called_away"),$F13&lt;&gt;"roll",$AG13="put"),-$AE13*$D13,0)))</f>
        <v>0</v>
      </c>
      <c r="AQ13" s="51">
        <f>IF($A13="","",IFERROR(LOOKUP(2,1/($B$9:$B$12=$B13),$AQ$9:$AQ12),0)+IF(OR($F13="sell_put",$F13="sell_call"),$AE13,0)-IF(AND(OR($F13="buy_to_close",$F13="expire",$F13="roll",$F13="assignment",$F13="called_away"),$F13&lt;&gt;"roll"),$AE13,0))</f>
        <v>1</v>
      </c>
      <c r="AR13" t="b">
        <f t="shared" si="13"/>
        <v>0</v>
      </c>
      <c r="AS13" s="50">
        <f t="shared" si="14"/>
        <v>4000</v>
      </c>
      <c r="AT13" s="50">
        <f>IF($A13="","",MAX(IF($T13=IFERROR(LOOKUP(2,1/($B$9:$B$12=$B13),$T$9:$T12),0),IFERROR(LOOKUP(2,1/($B$9:$B$12=$B13),$AT$9:$AT12),0),0),$AS13))</f>
        <v>4000</v>
      </c>
      <c r="AU13" t="str">
        <f t="shared" si="15"/>
        <v>demo-loss¦1</v>
      </c>
      <c r="AV13" s="51">
        <f>IF($AU13="",0,IF(AND(IFERROR(LOOKUP(2,1/($B$9:$B$12=$B13),$AR$9:$AR12),1),NOT(AND(OR($F13="dividend",$F13="fee"),IFERROR(LOOKUP(2,1/($B$9:$B$12=$B13),$T$9:$T12),0)&gt;0))),ROW(),0))</f>
        <v>0</v>
      </c>
      <c r="AW13">
        <f>IF($A13="",0,IF($AV13&gt;0,MAX($AW$9:$AW$12)+1,MAX($AW$9:$AW$12)))</f>
        <v>2</v>
      </c>
      <c r="AX13">
        <f>IF($AU13="",0,IF(AND($AR13,OR(NOT(IFERROR(LOOKUP(2,1/($B$9:$B$12=$B13),$AR$9:$AR12),1)),IFERROR(LOOKUP(2,1/($B$9:$B$12=$B13),$T$9:$T12),0)=0)),ROW(),0))</f>
        <v>0</v>
      </c>
      <c r="AY13" t="str">
        <f t="shared" si="16"/>
        <v>9:demo-lossE0005</v>
      </c>
    </row>
    <row r="14" spans="1:51" ht="15" x14ac:dyDescent="0.25">
      <c r="A14" s="52" t="str">
        <f>IF(Trades!$A14="","",Trades!O14)</f>
        <v>E0006</v>
      </c>
      <c r="B14" s="52" t="str">
        <f>IF(Trades!$A14="","",Trades!B14)</f>
        <v>demo-direct</v>
      </c>
      <c r="C14" s="52" t="str">
        <f>IF(Trades!$A14="","",Trades!C14)</f>
        <v>DEF</v>
      </c>
      <c r="D14" s="53">
        <f>IF(Trades!$A14="","",IF(Trades!$L14&gt;0,Trades!$L14,Trades!$C$6))</f>
        <v>100</v>
      </c>
      <c r="E14" s="54">
        <f>IF(Trades!$A14="","",Trades!A14)</f>
        <v>46243</v>
      </c>
      <c r="F14" s="52" t="str">
        <f>IF(Trades!$A14="","",IFERROR(INDEX(Trades!$V$2:$V$14,MATCH(Trades!$E14,Trades!$U$2:$U$14,0)),""))</f>
        <v>buy_shares</v>
      </c>
      <c r="G14" s="52">
        <f>IF(Trades!$A14="","",Trades!N14)</f>
        <v>0</v>
      </c>
      <c r="H14" s="53">
        <f>IF(Trades!$A14="","",Trades!F14)</f>
        <v>100</v>
      </c>
      <c r="I14" s="55">
        <f>IF(Trades!$A14="","",Trades!G14)</f>
        <v>0</v>
      </c>
      <c r="J14" s="55">
        <f>IF(Trades!$A14="","",Trades!I14)</f>
        <v>0</v>
      </c>
      <c r="K14" s="55">
        <f>IF(Trades!$A14="","",Trades!Q14)</f>
        <v>0</v>
      </c>
      <c r="L14" s="53">
        <f>IF(Trades!$A14="","",Trades!F14)</f>
        <v>100</v>
      </c>
      <c r="M14" s="55">
        <f>IF(Trades!$A14="","",Trades!M14)</f>
        <v>25</v>
      </c>
      <c r="N14" s="55">
        <f>IF(Trades!$A14="","",Trades!R14)</f>
        <v>0</v>
      </c>
      <c r="O14" s="55">
        <f>IF(Trades!$A14="","",Trades!J14)</f>
        <v>1</v>
      </c>
      <c r="P14" s="54">
        <f>IF(Trades!$A14="","",Trades!H14)</f>
        <v>0</v>
      </c>
      <c r="Q14" s="52" t="str">
        <f>IF(Trades!$A14="","",Trades!P14)</f>
        <v>Sample Data</v>
      </c>
      <c r="R14" s="56">
        <f t="shared" si="0"/>
        <v>0</v>
      </c>
      <c r="S14" s="56">
        <f t="shared" si="1"/>
        <v>-2501</v>
      </c>
      <c r="T14" s="57">
        <f>IF(OR($A14="",$B14=""),"",IF(AND(IFERROR(LOOKUP(2,1/($B$9:$B$13=$B14),$AR$9:$AR13),1),NOT(AND(OR($F14="dividend",$F14="fee"),IFERROR(LOOKUP(2,1/($B$9:$B$13=$B14),$T$9:$T13),0)&gt;0))),IFERROR(LOOKUP(2,1/($B$9:$B$13=$B14),$T$9:$T13),0)+1,IFERROR(LOOKUP(2,1/($B$9:$B$13=$B14),$T$9:$T13),0)))</f>
        <v>1</v>
      </c>
      <c r="U14" s="58" t="str">
        <f t="shared" si="2"/>
        <v>Shares held</v>
      </c>
      <c r="V14" s="58" t="str">
        <f>IF($A14="","",IF(OR($B14="",$C14="",$D14="",$E14="",$F14=""),"Missing required field",IF(COUNTIFS($A$9:$A14,$A14,$B$9:$B14,$B14)&gt;1,"Duplicate event ID",IF(AND($E14&lt;&gt;IFERROR(LOOKUP(2,1/($B$9:$B$13=$B14),$E$9:$E13),0),IFERROR(LOOKUP(2,1/($B$9:$B$13=$B14),$E$9:$E13),0)&gt;$E14),"Date out of order",IF(AND(OR($F14="buy_to_close",$F14="expire",$F14="roll",$F14="assignment",$F14="called_away"),$AF14=0),"Unknown lot",IF(OR(AND($F14="assignment",$AF14&gt;0,IF($AF14&gt;0,INDEX($AG$9:$AG$13,$AF14),"")&lt;&gt;"put"),AND($F14="called_away",$AF14&gt;0,IF($AF14&gt;0,INDEX($AG$9:$AG$13,$AF14),"")&lt;&gt;"call")),"Wrong option leg",IF(OR(AND(OR($F14="sell_put",$F14="sell_call"),OR($H14&lt;=0,$I14&lt;=0,$J14&lt;0)),AND(OR($F14="buy_to_close",$F14="expire",$F14="assignment",$F14="called_away"),OR($H14&lt;=0,$J14&lt;0)),AND($F14="roll",OR($H14&lt;=0,$I14&lt;=0,$J14&lt;0,$K14&lt;0)),AND(OR($F14="buy_shares",$F14="sell_shares"),OR($L14&lt;=0,$M14&lt;0)),AND(OR($F14="dividend",$F14="fee"),$N14&lt;0)),"Invalid value",IF(AND(OR($F14="sell_shares",$F14="called_away"),$AL14&lt;IF($F14="called_away",$AE14*$D14,$L14)),"Insufficient shares (capped)",IF(AND(OR($F14="buy_to_close",$F14="expire",$F14="roll",$F14="assignment",$F14="called_away"),$AF14&gt;0,$H14&gt;IF($AF14&gt;0,MAX(0,INDEX($AI$9:$AI$13,$AF14)-SUMIFS($AE$9:$AE$13,$G$9:$G$13,$G14,$B$9:$B$13,$B14)),0)),"Close quantity capped","OK")))))))))</f>
        <v>OK</v>
      </c>
      <c r="W14" s="59">
        <f t="shared" si="3"/>
        <v>100</v>
      </c>
      <c r="X14" s="60">
        <f t="shared" si="4"/>
        <v>2500</v>
      </c>
      <c r="Y14" s="50">
        <f t="shared" si="5"/>
        <v>0</v>
      </c>
      <c r="Z14" s="50">
        <f t="shared" si="6"/>
        <v>0</v>
      </c>
      <c r="AA14" s="50">
        <f t="shared" si="7"/>
        <v>0</v>
      </c>
      <c r="AB14" s="50">
        <f t="shared" si="8"/>
        <v>1</v>
      </c>
      <c r="AC14" s="50">
        <f>IF($A14="","",IF($F14="assignment",IF($AF14&gt;0,INDEX($AH$9:$AH$13,$AF14),0)*$AE14*$D14,IF($F14="buy_shares",$M14*$AL14,0)))</f>
        <v>2500</v>
      </c>
      <c r="AD14" s="50">
        <f>IF($A14="","",IF($F14="called_away",IF($AF14&gt;0,INDEX($AH$9:$AH$13,$AF14),0)*$AL14,IF($F14="sell_shares",$M14*$AL14,0)))</f>
        <v>0</v>
      </c>
      <c r="AE14" s="51">
        <f>IF($A14="","",IF(OR($F14="sell_put",$F14="sell_call"),IF(AND($H14&gt;0,$I14&gt;0,$J14&gt;=0),$H14,0),IF(OR($F14="buy_to_close",$F14="expire",$F14="roll",$F14="assignment",$F14="called_away"),IF(AND($AF14&gt;0,$H14&gt;0,IF($F14="assignment",IF($AF14&gt;0,INDEX($AG$9:$AG$13,$AF14),"")="put",TRUE),IF($F14="called_away",IF($AF14&gt;0,INDEX($AG$9:$AG$13,$AF14),"")="call",TRUE)),MIN($H14,IF($AF14&gt;0,MAX(0,INDEX($AI$9:$AI$13,$AF14)-SUMIFS($AE$9:$AE$13,$G$9:$G$13,$G14,$B$9:$B$13,$B14)),0)),0),0)))</f>
        <v>0</v>
      </c>
      <c r="AF14">
        <f>IF($A14="","",IFERROR(MATCH(LEN($B14)&amp;":"&amp;$B14&amp;$G14,$AY$9:$AY$13,0),0))</f>
        <v>0</v>
      </c>
      <c r="AG14" t="str">
        <f>IF($A14="","",IF($F14="sell_put","put",IF($F14="sell_call","call",IF($F14="roll",IF($AF14&gt;0,IF($AF14&gt;0,INDEX($AG$9:$AG$13,$AF14),""),""),IF($AF14&gt;0,IF($AF14&gt;0,INDEX($AG$9:$AG$13,$AF14),""),"")))))</f>
        <v/>
      </c>
      <c r="AH14">
        <f>IF($A14="","",IF(OR($F14="sell_put",$F14="sell_call",$F14="roll"),$I14,IF($AF14&gt;0,IF($AF14&gt;0,INDEX($AH$9:$AH$13,$AF14),0),0)))</f>
        <v>0</v>
      </c>
      <c r="AI14" s="51">
        <f t="shared" si="9"/>
        <v>0</v>
      </c>
      <c r="AJ14" s="51">
        <f>IF($A14="","",IFERROR(LOOKUP(2,1/($B$9:$B$13=$B14),$AM$9:$AM13),0))</f>
        <v>0</v>
      </c>
      <c r="AK14">
        <f>IF($A14="","",IFERROR(LOOKUP(2,1/($B$9:$B$13=$B14),$AN$9:$AN13),0))</f>
        <v>0</v>
      </c>
      <c r="AL14" s="51">
        <f t="shared" si="10"/>
        <v>100</v>
      </c>
      <c r="AM14" s="51">
        <f t="shared" si="11"/>
        <v>100</v>
      </c>
      <c r="AN14">
        <f t="shared" si="12"/>
        <v>2500</v>
      </c>
      <c r="AO14" s="50">
        <f>IF($A14="","",IFERROR(LOOKUP(2,1/($B$9:$B$13=$B14),$AO$9:$AO13),0)+IF($F14="sell_put",$I14*$AE14*$D14,IF($F14="roll",IF($AG14="put",($I14-IF($AF14&gt;0,INDEX($AH$9:$AH$13,$AF14),0))*$AE14*$D14,0),IF(AND(OR($F14="buy_to_close",$F14="expire",$F14="roll",$F14="assignment",$F14="called_away"),$F14&lt;&gt;"roll",$AG14="put"),-IF($AF14&gt;0,INDEX($AH$9:$AH$13,$AF14),0)*$AE14*$D14,0))))</f>
        <v>0</v>
      </c>
      <c r="AP14" s="51">
        <f>IF($A14="","",IFERROR(LOOKUP(2,1/($B$9:$B$13=$B14),$AP$9:$AP13),0)+IF($F14="sell_put",$AE14*$D14,IF(AND(OR($F14="buy_to_close",$F14="expire",$F14="roll",$F14="assignment",$F14="called_away"),$F14&lt;&gt;"roll",$AG14="put"),-$AE14*$D14,0)))</f>
        <v>0</v>
      </c>
      <c r="AQ14" s="51">
        <f>IF($A14="","",IFERROR(LOOKUP(2,1/($B$9:$B$13=$B14),$AQ$9:$AQ13),0)+IF(OR($F14="sell_put",$F14="sell_call"),$AE14,0)-IF(AND(OR($F14="buy_to_close",$F14="expire",$F14="roll",$F14="assignment",$F14="called_away"),$F14&lt;&gt;"roll"),$AE14,0))</f>
        <v>0</v>
      </c>
      <c r="AR14" t="b">
        <f t="shared" si="13"/>
        <v>0</v>
      </c>
      <c r="AS14" s="50">
        <f t="shared" si="14"/>
        <v>2500</v>
      </c>
      <c r="AT14" s="50">
        <f>IF($A14="","",MAX(IF($T14=IFERROR(LOOKUP(2,1/($B$9:$B$13=$B14),$T$9:$T13),0),IFERROR(LOOKUP(2,1/($B$9:$B$13=$B14),$AT$9:$AT13),0),0),$AS14))</f>
        <v>2500</v>
      </c>
      <c r="AU14" t="str">
        <f t="shared" si="15"/>
        <v>demo-direct¦1</v>
      </c>
      <c r="AV14" s="51">
        <f>IF($AU14="",0,IF(AND(IFERROR(LOOKUP(2,1/($B$9:$B$13=$B14),$AR$9:$AR13),1),NOT(AND(OR($F14="dividend",$F14="fee"),IFERROR(LOOKUP(2,1/($B$9:$B$13=$B14),$T$9:$T13),0)&gt;0))),ROW(),0))</f>
        <v>14</v>
      </c>
      <c r="AW14">
        <f>IF($A14="",0,IF($AV14&gt;0,MAX($AW$9:$AW$13)+1,MAX($AW$9:$AW$13)))</f>
        <v>3</v>
      </c>
      <c r="AX14">
        <f>IF($AU14="",0,IF(AND($AR14,OR(NOT(IFERROR(LOOKUP(2,1/($B$9:$B$13=$B14),$AR$9:$AR13),1)),IFERROR(LOOKUP(2,1/($B$9:$B$13=$B14),$T$9:$T13),0)=0)),ROW(),0))</f>
        <v>0</v>
      </c>
      <c r="AY14" t="str">
        <f t="shared" si="16"/>
        <v>11:demo-directE0006</v>
      </c>
    </row>
    <row r="15" spans="1:51" ht="15" x14ac:dyDescent="0.25">
      <c r="A15" s="41" t="str">
        <f>IF(Trades!$A15="","",Trades!O15)</f>
        <v>E0007</v>
      </c>
      <c r="B15" s="41" t="str">
        <f>IF(Trades!$A15="","",Trades!B15)</f>
        <v>demo-direct</v>
      </c>
      <c r="C15" s="41" t="str">
        <f>IF(Trades!$A15="","",Trades!C15)</f>
        <v>DEF</v>
      </c>
      <c r="D15" s="42">
        <f>IF(Trades!$A15="","",IF(Trades!$L15&gt;0,Trades!$L15,Trades!$C$6))</f>
        <v>100</v>
      </c>
      <c r="E15" s="43">
        <f>IF(Trades!$A15="","",Trades!A15)</f>
        <v>46245</v>
      </c>
      <c r="F15" s="41" t="str">
        <f>IF(Trades!$A15="","",IFERROR(INDEX(Trades!$V$2:$V$14,MATCH(Trades!$E15,Trades!$U$2:$U$14,0)),""))</f>
        <v>sell_call</v>
      </c>
      <c r="G15" s="41">
        <f>IF(Trades!$A15="","",Trades!N15)</f>
        <v>0</v>
      </c>
      <c r="H15" s="42">
        <f>IF(Trades!$A15="","",Trades!F15)</f>
        <v>1</v>
      </c>
      <c r="I15" s="44">
        <f>IF(Trades!$A15="","",Trades!G15)</f>
        <v>27</v>
      </c>
      <c r="J15" s="44">
        <f>IF(Trades!$A15="","",Trades!I15)</f>
        <v>0.5</v>
      </c>
      <c r="K15" s="44">
        <f>IF(Trades!$A15="","",Trades!Q15)</f>
        <v>0</v>
      </c>
      <c r="L15" s="42">
        <f>IF(Trades!$A15="","",Trades!F15)</f>
        <v>1</v>
      </c>
      <c r="M15" s="44">
        <f>IF(Trades!$A15="","",Trades!M15)</f>
        <v>0</v>
      </c>
      <c r="N15" s="44">
        <f>IF(Trades!$A15="","",Trades!R15)</f>
        <v>0</v>
      </c>
      <c r="O15" s="44">
        <f>IF(Trades!$A15="","",Trades!J15)</f>
        <v>0.65</v>
      </c>
      <c r="P15" s="43">
        <f>IF(Trades!$A15="","",Trades!H15)</f>
        <v>46268</v>
      </c>
      <c r="Q15" s="41" t="str">
        <f>IF(Trades!$A15="","",Trades!P15)</f>
        <v>Sample Data</v>
      </c>
      <c r="R15" s="45">
        <f t="shared" si="0"/>
        <v>50</v>
      </c>
      <c r="S15" s="45">
        <f t="shared" si="1"/>
        <v>49.35</v>
      </c>
      <c r="T15" s="46">
        <f>IF(OR($A15="",$B15=""),"",IF(AND(IFERROR(LOOKUP(2,1/($B$9:$B$14=$B15),$AR$9:$AR14),1),NOT(AND(OR($F15="dividend",$F15="fee"),IFERROR(LOOKUP(2,1/($B$9:$B$14=$B15),$T$9:$T14),0)&gt;0))),IFERROR(LOOKUP(2,1/($B$9:$B$14=$B15),$T$9:$T14),0)+1,IFERROR(LOOKUP(2,1/($B$9:$B$14=$B15),$T$9:$T14),0)))</f>
        <v>1</v>
      </c>
      <c r="U15" s="47" t="str">
        <f t="shared" si="2"/>
        <v>Shares held</v>
      </c>
      <c r="V15" s="47" t="str">
        <f>IF($A15="","",IF(OR($B15="",$C15="",$D15="",$E15="",$F15=""),"Missing required field",IF(COUNTIFS($A$9:$A15,$A15,$B$9:$B15,$B15)&gt;1,"Duplicate event ID",IF(AND($E15&lt;&gt;IFERROR(LOOKUP(2,1/($B$9:$B$14=$B15),$E$9:$E14),0),IFERROR(LOOKUP(2,1/($B$9:$B$14=$B15),$E$9:$E14),0)&gt;$E15),"Date out of order",IF(AND(OR($F15="buy_to_close",$F15="expire",$F15="roll",$F15="assignment",$F15="called_away"),$AF15=0),"Unknown lot",IF(OR(AND($F15="assignment",$AF15&gt;0,IF($AF15&gt;0,INDEX($AG$9:$AG$14,$AF15),"")&lt;&gt;"put"),AND($F15="called_away",$AF15&gt;0,IF($AF15&gt;0,INDEX($AG$9:$AG$14,$AF15),"")&lt;&gt;"call")),"Wrong option leg",IF(OR(AND(OR($F15="sell_put",$F15="sell_call"),OR($H15&lt;=0,$I15&lt;=0,$J15&lt;0)),AND(OR($F15="buy_to_close",$F15="expire",$F15="assignment",$F15="called_away"),OR($H15&lt;=0,$J15&lt;0)),AND($F15="roll",OR($H15&lt;=0,$I15&lt;=0,$J15&lt;0,$K15&lt;0)),AND(OR($F15="buy_shares",$F15="sell_shares"),OR($L15&lt;=0,$M15&lt;0)),AND(OR($F15="dividend",$F15="fee"),$N15&lt;0)),"Invalid value",IF(AND(OR($F15="sell_shares",$F15="called_away"),$AL15&lt;IF($F15="called_away",$AE15*$D15,$L15)),"Insufficient shares (capped)",IF(AND(OR($F15="buy_to_close",$F15="expire",$F15="roll",$F15="assignment",$F15="called_away"),$AF15&gt;0,$H15&gt;IF($AF15&gt;0,MAX(0,INDEX($AI$9:$AI$14,$AF15)-SUMIFS($AE$9:$AE$14,$G$9:$G$14,$G15,$B$9:$B$14,$B15)),0)),"Close quantity capped","OK")))))))))</f>
        <v>OK</v>
      </c>
      <c r="W15" s="48">
        <f t="shared" si="3"/>
        <v>100</v>
      </c>
      <c r="X15" s="49">
        <f t="shared" si="4"/>
        <v>2500</v>
      </c>
      <c r="Y15" s="50">
        <f t="shared" si="5"/>
        <v>50</v>
      </c>
      <c r="Z15" s="50">
        <f t="shared" si="6"/>
        <v>0</v>
      </c>
      <c r="AA15" s="50">
        <f t="shared" si="7"/>
        <v>0</v>
      </c>
      <c r="AB15" s="50">
        <f t="shared" si="8"/>
        <v>0.65</v>
      </c>
      <c r="AC15" s="50">
        <f>IF($A15="","",IF($F15="assignment",IF($AF15&gt;0,INDEX($AH$9:$AH$14,$AF15),0)*$AE15*$D15,IF($F15="buy_shares",$M15*$AL15,0)))</f>
        <v>0</v>
      </c>
      <c r="AD15" s="50">
        <f>IF($A15="","",IF($F15="called_away",IF($AF15&gt;0,INDEX($AH$9:$AH$14,$AF15),0)*$AL15,IF($F15="sell_shares",$M15*$AL15,0)))</f>
        <v>0</v>
      </c>
      <c r="AE15" s="51">
        <f>IF($A15="","",IF(OR($F15="sell_put",$F15="sell_call"),IF(AND($H15&gt;0,$I15&gt;0,$J15&gt;=0),$H15,0),IF(OR($F15="buy_to_close",$F15="expire",$F15="roll",$F15="assignment",$F15="called_away"),IF(AND($AF15&gt;0,$H15&gt;0,IF($F15="assignment",IF($AF15&gt;0,INDEX($AG$9:$AG$14,$AF15),"")="put",TRUE),IF($F15="called_away",IF($AF15&gt;0,INDEX($AG$9:$AG$14,$AF15),"")="call",TRUE)),MIN($H15,IF($AF15&gt;0,MAX(0,INDEX($AI$9:$AI$14,$AF15)-SUMIFS($AE$9:$AE$14,$G$9:$G$14,$G15,$B$9:$B$14,$B15)),0)),0),0)))</f>
        <v>1</v>
      </c>
      <c r="AF15">
        <f>IF($A15="","",IFERROR(MATCH(LEN($B15)&amp;":"&amp;$B15&amp;$G15,$AY$9:$AY$14,0),0))</f>
        <v>0</v>
      </c>
      <c r="AG15" t="str">
        <f>IF($A15="","",IF($F15="sell_put","put",IF($F15="sell_call","call",IF($F15="roll",IF($AF15&gt;0,IF($AF15&gt;0,INDEX($AG$9:$AG$14,$AF15),""),""),IF($AF15&gt;0,IF($AF15&gt;0,INDEX($AG$9:$AG$14,$AF15),""),"")))))</f>
        <v>call</v>
      </c>
      <c r="AH15">
        <f>IF($A15="","",IF(OR($F15="sell_put",$F15="sell_call",$F15="roll"),$I15,IF($AF15&gt;0,IF($AF15&gt;0,INDEX($AH$9:$AH$14,$AF15),0),0)))</f>
        <v>27</v>
      </c>
      <c r="AI15" s="51">
        <f t="shared" si="9"/>
        <v>1</v>
      </c>
      <c r="AJ15" s="51">
        <f>IF($A15="","",IFERROR(LOOKUP(2,1/($B$9:$B$14=$B15),$AM$9:$AM14),0))</f>
        <v>100</v>
      </c>
      <c r="AK15">
        <f>IF($A15="","",IFERROR(LOOKUP(2,1/($B$9:$B$14=$B15),$AN$9:$AN14),0))</f>
        <v>2500</v>
      </c>
      <c r="AL15" s="51">
        <f t="shared" si="10"/>
        <v>0</v>
      </c>
      <c r="AM15" s="51">
        <f t="shared" si="11"/>
        <v>100</v>
      </c>
      <c r="AN15">
        <f t="shared" si="12"/>
        <v>2500</v>
      </c>
      <c r="AO15" s="50">
        <f>IF($A15="","",IFERROR(LOOKUP(2,1/($B$9:$B$14=$B15),$AO$9:$AO14),0)+IF($F15="sell_put",$I15*$AE15*$D15,IF($F15="roll",IF($AG15="put",($I15-IF($AF15&gt;0,INDEX($AH$9:$AH$14,$AF15),0))*$AE15*$D15,0),IF(AND(OR($F15="buy_to_close",$F15="expire",$F15="roll",$F15="assignment",$F15="called_away"),$F15&lt;&gt;"roll",$AG15="put"),-IF($AF15&gt;0,INDEX($AH$9:$AH$14,$AF15),0)*$AE15*$D15,0))))</f>
        <v>0</v>
      </c>
      <c r="AP15" s="51">
        <f>IF($A15="","",IFERROR(LOOKUP(2,1/($B$9:$B$14=$B15),$AP$9:$AP14),0)+IF($F15="sell_put",$AE15*$D15,IF(AND(OR($F15="buy_to_close",$F15="expire",$F15="roll",$F15="assignment",$F15="called_away"),$F15&lt;&gt;"roll",$AG15="put"),-$AE15*$D15,0)))</f>
        <v>0</v>
      </c>
      <c r="AQ15" s="51">
        <f>IF($A15="","",IFERROR(LOOKUP(2,1/($B$9:$B$14=$B15),$AQ$9:$AQ14),0)+IF(OR($F15="sell_put",$F15="sell_call"),$AE15,0)-IF(AND(OR($F15="buy_to_close",$F15="expire",$F15="roll",$F15="assignment",$F15="called_away"),$F15&lt;&gt;"roll"),$AE15,0))</f>
        <v>1</v>
      </c>
      <c r="AR15" t="b">
        <f t="shared" si="13"/>
        <v>0</v>
      </c>
      <c r="AS15" s="50">
        <f t="shared" si="14"/>
        <v>2500</v>
      </c>
      <c r="AT15" s="50">
        <f>IF($A15="","",MAX(IF($T15=IFERROR(LOOKUP(2,1/($B$9:$B$14=$B15),$T$9:$T14),0),IFERROR(LOOKUP(2,1/($B$9:$B$14=$B15),$AT$9:$AT14),0),0),$AS15))</f>
        <v>2500</v>
      </c>
      <c r="AU15" t="str">
        <f t="shared" si="15"/>
        <v>demo-direct¦1</v>
      </c>
      <c r="AV15" s="51">
        <f>IF($AU15="",0,IF(AND(IFERROR(LOOKUP(2,1/($B$9:$B$14=$B15),$AR$9:$AR14),1),NOT(AND(OR($F15="dividend",$F15="fee"),IFERROR(LOOKUP(2,1/($B$9:$B$14=$B15),$T$9:$T14),0)&gt;0))),ROW(),0))</f>
        <v>0</v>
      </c>
      <c r="AW15">
        <f>IF($A15="",0,IF($AV15&gt;0,MAX($AW$9:$AW$14)+1,MAX($AW$9:$AW$14)))</f>
        <v>3</v>
      </c>
      <c r="AX15">
        <f>IF($AU15="",0,IF(AND($AR15,OR(NOT(IFERROR(LOOKUP(2,1/($B$9:$B$14=$B15),$AR$9:$AR14),1)),IFERROR(LOOKUP(2,1/($B$9:$B$14=$B15),$T$9:$T14),0)=0)),ROW(),0))</f>
        <v>0</v>
      </c>
      <c r="AY15" t="str">
        <f t="shared" si="16"/>
        <v>11:demo-directE0007</v>
      </c>
    </row>
    <row r="16" spans="1:51" ht="15" x14ac:dyDescent="0.25">
      <c r="A16" s="52" t="str">
        <f>IF(Trades!$A16="","",Trades!O16)</f>
        <v>E0008</v>
      </c>
      <c r="B16" s="52" t="str">
        <f>IF(Trades!$A16="","",Trades!B16)</f>
        <v>sample-xyz</v>
      </c>
      <c r="C16" s="52" t="str">
        <f>IF(Trades!$A16="","",Trades!C16)</f>
        <v>XYZ</v>
      </c>
      <c r="D16" s="53">
        <f>IF(Trades!$A16="","",IF(Trades!$L16&gt;0,Trades!$L16,Trades!$C$6))</f>
        <v>100</v>
      </c>
      <c r="E16" s="54">
        <f>IF(Trades!$A16="","",Trades!A16)</f>
        <v>46246</v>
      </c>
      <c r="F16" s="52" t="str">
        <f>IF(Trades!$A16="","",IFERROR(INDEX(Trades!$V$2:$V$14,MATCH(Trades!$E16,Trades!$U$2:$U$14,0)),""))</f>
        <v>expire</v>
      </c>
      <c r="G16" s="52" t="str">
        <f>IF(Trades!$A16="","",Trades!N16)</f>
        <v>E0003</v>
      </c>
      <c r="H16" s="53">
        <f>IF(Trades!$A16="","",Trades!F16)</f>
        <v>1</v>
      </c>
      <c r="I16" s="55">
        <f>IF(Trades!$A16="","",Trades!G16)</f>
        <v>0</v>
      </c>
      <c r="J16" s="55">
        <f>IF(Trades!$A16="","",Trades!I16)</f>
        <v>0</v>
      </c>
      <c r="K16" s="55">
        <f>IF(Trades!$A16="","",Trades!Q16)</f>
        <v>0</v>
      </c>
      <c r="L16" s="53">
        <f>IF(Trades!$A16="","",Trades!F16)</f>
        <v>1</v>
      </c>
      <c r="M16" s="55">
        <f>IF(Trades!$A16="","",Trades!M16)</f>
        <v>0</v>
      </c>
      <c r="N16" s="55">
        <f>IF(Trades!$A16="","",Trades!R16)</f>
        <v>0</v>
      </c>
      <c r="O16" s="55">
        <f>IF(Trades!$A16="","",Trades!J16)</f>
        <v>0</v>
      </c>
      <c r="P16" s="54">
        <f>IF(Trades!$A16="","",Trades!H16)</f>
        <v>0</v>
      </c>
      <c r="Q16" s="52" t="str">
        <f>IF(Trades!$A16="","",Trades!P16)</f>
        <v>Sample Data</v>
      </c>
      <c r="R16" s="56">
        <f t="shared" si="0"/>
        <v>0</v>
      </c>
      <c r="S16" s="56">
        <f t="shared" si="1"/>
        <v>0</v>
      </c>
      <c r="T16" s="57">
        <f>IF(OR($A16="",$B16=""),"",IF(AND(IFERROR(LOOKUP(2,1/($B$9:$B$15=$B16),$AR$9:$AR15),1),NOT(AND(OR($F16="dividend",$F16="fee"),IFERROR(LOOKUP(2,1/($B$9:$B$15=$B16),$T$9:$T15),0)&gt;0))),IFERROR(LOOKUP(2,1/($B$9:$B$15=$B16),$T$9:$T15),0)+1,IFERROR(LOOKUP(2,1/($B$9:$B$15=$B16),$T$9:$T15),0)))</f>
        <v>1</v>
      </c>
      <c r="U16" s="58" t="str">
        <f t="shared" si="2"/>
        <v>Shares held</v>
      </c>
      <c r="V16" s="58" t="str">
        <f>IF($A16="","",IF(OR($B16="",$C16="",$D16="",$E16="",$F16=""),"Missing required field",IF(COUNTIFS($A$9:$A16,$A16,$B$9:$B16,$B16)&gt;1,"Duplicate event ID",IF(AND($E16&lt;&gt;IFERROR(LOOKUP(2,1/($B$9:$B$15=$B16),$E$9:$E15),0),IFERROR(LOOKUP(2,1/($B$9:$B$15=$B16),$E$9:$E15),0)&gt;$E16),"Date out of order",IF(AND(OR($F16="buy_to_close",$F16="expire",$F16="roll",$F16="assignment",$F16="called_away"),$AF16=0),"Unknown lot",IF(OR(AND($F16="assignment",$AF16&gt;0,IF($AF16&gt;0,INDEX($AG$9:$AG$15,$AF16),"")&lt;&gt;"put"),AND($F16="called_away",$AF16&gt;0,IF($AF16&gt;0,INDEX($AG$9:$AG$15,$AF16),"")&lt;&gt;"call")),"Wrong option leg",IF(OR(AND(OR($F16="sell_put",$F16="sell_call"),OR($H16&lt;=0,$I16&lt;=0,$J16&lt;0)),AND(OR($F16="buy_to_close",$F16="expire",$F16="assignment",$F16="called_away"),OR($H16&lt;=0,$J16&lt;0)),AND($F16="roll",OR($H16&lt;=0,$I16&lt;=0,$J16&lt;0,$K16&lt;0)),AND(OR($F16="buy_shares",$F16="sell_shares"),OR($L16&lt;=0,$M16&lt;0)),AND(OR($F16="dividend",$F16="fee"),$N16&lt;0)),"Invalid value",IF(AND(OR($F16="sell_shares",$F16="called_away"),$AL16&lt;IF($F16="called_away",$AE16*$D16,$L16)),"Insufficient shares (capped)",IF(AND(OR($F16="buy_to_close",$F16="expire",$F16="roll",$F16="assignment",$F16="called_away"),$AF16&gt;0,$H16&gt;IF($AF16&gt;0,MAX(0,INDEX($AI$9:$AI$15,$AF16)-SUMIFS($AE$9:$AE$15,$G$9:$G$15,$G16,$B$9:$B$15,$B16)),0)),"Close quantity capped","OK")))))))))</f>
        <v>OK</v>
      </c>
      <c r="W16" s="59">
        <f t="shared" si="3"/>
        <v>100</v>
      </c>
      <c r="X16" s="60">
        <f t="shared" si="4"/>
        <v>5000</v>
      </c>
      <c r="Y16" s="50">
        <f t="shared" si="5"/>
        <v>0</v>
      </c>
      <c r="Z16" s="50">
        <f t="shared" si="6"/>
        <v>0</v>
      </c>
      <c r="AA16" s="50">
        <f t="shared" si="7"/>
        <v>0</v>
      </c>
      <c r="AB16" s="50">
        <f t="shared" si="8"/>
        <v>0</v>
      </c>
      <c r="AC16" s="50">
        <f>IF($A16="","",IF($F16="assignment",IF($AF16&gt;0,INDEX($AH$9:$AH$15,$AF16),0)*$AE16*$D16,IF($F16="buy_shares",$M16*$AL16,0)))</f>
        <v>0</v>
      </c>
      <c r="AD16" s="50">
        <f>IF($A16="","",IF($F16="called_away",IF($AF16&gt;0,INDEX($AH$9:$AH$15,$AF16),0)*$AL16,IF($F16="sell_shares",$M16*$AL16,0)))</f>
        <v>0</v>
      </c>
      <c r="AE16" s="51">
        <f>IF($A16="","",IF(OR($F16="sell_put",$F16="sell_call"),IF(AND($H16&gt;0,$I16&gt;0,$J16&gt;=0),$H16,0),IF(OR($F16="buy_to_close",$F16="expire",$F16="roll",$F16="assignment",$F16="called_away"),IF(AND($AF16&gt;0,$H16&gt;0,IF($F16="assignment",IF($AF16&gt;0,INDEX($AG$9:$AG$15,$AF16),"")="put",TRUE),IF($F16="called_away",IF($AF16&gt;0,INDEX($AG$9:$AG$15,$AF16),"")="call",TRUE)),MIN($H16,IF($AF16&gt;0,MAX(0,INDEX($AI$9:$AI$15,$AF16)-SUMIFS($AE$9:$AE$15,$G$9:$G$15,$G16,$B$9:$B$15,$B16)),0)),0),0)))</f>
        <v>1</v>
      </c>
      <c r="AF16">
        <f>IF($A16="","",IFERROR(MATCH(LEN($B16)&amp;":"&amp;$B16&amp;$G16,$AY$9:$AY$15,0),0))</f>
        <v>3</v>
      </c>
      <c r="AG16" t="str">
        <f>IF($A16="","",IF($F16="sell_put","put",IF($F16="sell_call","call",IF($F16="roll",IF($AF16&gt;0,IF($AF16&gt;0,INDEX($AG$9:$AG$15,$AF16),""),""),IF($AF16&gt;0,IF($AF16&gt;0,INDEX($AG$9:$AG$15,$AF16),""),"")))))</f>
        <v>call</v>
      </c>
      <c r="AH16">
        <f>IF($A16="","",IF(OR($F16="sell_put",$F16="sell_call",$F16="roll"),$I16,IF($AF16&gt;0,IF($AF16&gt;0,INDEX($AH$9:$AH$15,$AF16),0),0)))</f>
        <v>52</v>
      </c>
      <c r="AI16" s="51">
        <f t="shared" si="9"/>
        <v>0</v>
      </c>
      <c r="AJ16" s="51">
        <f>IF($A16="","",IFERROR(LOOKUP(2,1/($B$9:$B$15=$B16),$AM$9:$AM15),0))</f>
        <v>100</v>
      </c>
      <c r="AK16">
        <f>IF($A16="","",IFERROR(LOOKUP(2,1/($B$9:$B$15=$B16),$AN$9:$AN15),0))</f>
        <v>5000</v>
      </c>
      <c r="AL16" s="51">
        <f t="shared" si="10"/>
        <v>0</v>
      </c>
      <c r="AM16" s="51">
        <f t="shared" si="11"/>
        <v>100</v>
      </c>
      <c r="AN16">
        <f t="shared" si="12"/>
        <v>5000</v>
      </c>
      <c r="AO16" s="50">
        <f>IF($A16="","",IFERROR(LOOKUP(2,1/($B$9:$B$15=$B16),$AO$9:$AO15),0)+IF($F16="sell_put",$I16*$AE16*$D16,IF($F16="roll",IF($AG16="put",($I16-IF($AF16&gt;0,INDEX($AH$9:$AH$15,$AF16),0))*$AE16*$D16,0),IF(AND(OR($F16="buy_to_close",$F16="expire",$F16="roll",$F16="assignment",$F16="called_away"),$F16&lt;&gt;"roll",$AG16="put"),-IF($AF16&gt;0,INDEX($AH$9:$AH$15,$AF16),0)*$AE16*$D16,0))))</f>
        <v>0</v>
      </c>
      <c r="AP16" s="51">
        <f>IF($A16="","",IFERROR(LOOKUP(2,1/($B$9:$B$15=$B16),$AP$9:$AP15),0)+IF($F16="sell_put",$AE16*$D16,IF(AND(OR($F16="buy_to_close",$F16="expire",$F16="roll",$F16="assignment",$F16="called_away"),$F16&lt;&gt;"roll",$AG16="put"),-$AE16*$D16,0)))</f>
        <v>0</v>
      </c>
      <c r="AQ16" s="51">
        <f>IF($A16="","",IFERROR(LOOKUP(2,1/($B$9:$B$15=$B16),$AQ$9:$AQ15),0)+IF(OR($F16="sell_put",$F16="sell_call"),$AE16,0)-IF(AND(OR($F16="buy_to_close",$F16="expire",$F16="roll",$F16="assignment",$F16="called_away"),$F16&lt;&gt;"roll"),$AE16,0))</f>
        <v>0</v>
      </c>
      <c r="AR16" t="b">
        <f t="shared" si="13"/>
        <v>0</v>
      </c>
      <c r="AS16" s="50">
        <f t="shared" si="14"/>
        <v>5000</v>
      </c>
      <c r="AT16" s="50">
        <f>IF($A16="","",MAX(IF($T16=IFERROR(LOOKUP(2,1/($B$9:$B$15=$B16),$T$9:$T15),0),IFERROR(LOOKUP(2,1/($B$9:$B$15=$B16),$AT$9:$AT15),0),0),$AS16))</f>
        <v>5000</v>
      </c>
      <c r="AU16" t="str">
        <f t="shared" si="15"/>
        <v>sample-xyz¦1</v>
      </c>
      <c r="AV16" s="51">
        <f>IF($AU16="",0,IF(AND(IFERROR(LOOKUP(2,1/($B$9:$B$15=$B16),$AR$9:$AR15),1),NOT(AND(OR($F16="dividend",$F16="fee"),IFERROR(LOOKUP(2,1/($B$9:$B$15=$B16),$T$9:$T15),0)&gt;0))),ROW(),0))</f>
        <v>0</v>
      </c>
      <c r="AW16">
        <f>IF($A16="",0,IF($AV16&gt;0,MAX($AW$9:$AW$15)+1,MAX($AW$9:$AW$15)))</f>
        <v>3</v>
      </c>
      <c r="AX16">
        <f>IF($AU16="",0,IF(AND($AR16,OR(NOT(IFERROR(LOOKUP(2,1/($B$9:$B$15=$B16),$AR$9:$AR15),1)),IFERROR(LOOKUP(2,1/($B$9:$B$15=$B16),$T$9:$T15),0)=0)),ROW(),0))</f>
        <v>0</v>
      </c>
      <c r="AY16" t="str">
        <f t="shared" si="16"/>
        <v>10:sample-xyzE0008</v>
      </c>
    </row>
    <row r="17" spans="1:51" ht="15" x14ac:dyDescent="0.25">
      <c r="A17" s="41" t="str">
        <f>IF(Trades!$A17="","",Trades!O17)</f>
        <v>E0009</v>
      </c>
      <c r="B17" s="41" t="str">
        <f>IF(Trades!$A17="","",Trades!B17)</f>
        <v>sample-xyz</v>
      </c>
      <c r="C17" s="41" t="str">
        <f>IF(Trades!$A17="","",Trades!C17)</f>
        <v>XYZ</v>
      </c>
      <c r="D17" s="42">
        <f>IF(Trades!$A17="","",IF(Trades!$L17&gt;0,Trades!$L17,Trades!$C$6))</f>
        <v>100</v>
      </c>
      <c r="E17" s="43">
        <f>IF(Trades!$A17="","",Trades!A17)</f>
        <v>46249</v>
      </c>
      <c r="F17" s="41" t="str">
        <f>IF(Trades!$A17="","",IFERROR(INDEX(Trades!$V$2:$V$14,MATCH(Trades!$E17,Trades!$U$2:$U$14,0)),""))</f>
        <v>sell_call</v>
      </c>
      <c r="G17" s="41">
        <f>IF(Trades!$A17="","",Trades!N17)</f>
        <v>0</v>
      </c>
      <c r="H17" s="42">
        <f>IF(Trades!$A17="","",Trades!F17)</f>
        <v>1</v>
      </c>
      <c r="I17" s="44">
        <f>IF(Trades!$A17="","",Trades!G17)</f>
        <v>51</v>
      </c>
      <c r="J17" s="44">
        <f>IF(Trades!$A17="","",Trades!I17)</f>
        <v>1.2</v>
      </c>
      <c r="K17" s="44">
        <f>IF(Trades!$A17="","",Trades!Q17)</f>
        <v>0</v>
      </c>
      <c r="L17" s="42">
        <f>IF(Trades!$A17="","",Trades!F17)</f>
        <v>1</v>
      </c>
      <c r="M17" s="44">
        <f>IF(Trades!$A17="","",Trades!M17)</f>
        <v>0</v>
      </c>
      <c r="N17" s="44">
        <f>IF(Trades!$A17="","",Trades!R17)</f>
        <v>0</v>
      </c>
      <c r="O17" s="44">
        <f>IF(Trades!$A17="","",Trades!J17)</f>
        <v>0.65</v>
      </c>
      <c r="P17" s="43">
        <f>IF(Trades!$A17="","",Trades!H17)</f>
        <v>46274</v>
      </c>
      <c r="Q17" s="41" t="str">
        <f>IF(Trades!$A17="","",Trades!P17)</f>
        <v>Sample Data</v>
      </c>
      <c r="R17" s="45">
        <f t="shared" si="0"/>
        <v>120</v>
      </c>
      <c r="S17" s="45">
        <f t="shared" si="1"/>
        <v>119.35</v>
      </c>
      <c r="T17" s="46">
        <f>IF(OR($A17="",$B17=""),"",IF(AND(IFERROR(LOOKUP(2,1/($B$9:$B$16=$B17),$AR$9:$AR16),1),NOT(AND(OR($F17="dividend",$F17="fee"),IFERROR(LOOKUP(2,1/($B$9:$B$16=$B17),$T$9:$T16),0)&gt;0))),IFERROR(LOOKUP(2,1/($B$9:$B$16=$B17),$T$9:$T16),0)+1,IFERROR(LOOKUP(2,1/($B$9:$B$16=$B17),$T$9:$T16),0)))</f>
        <v>1</v>
      </c>
      <c r="U17" s="47" t="str">
        <f t="shared" si="2"/>
        <v>Shares held</v>
      </c>
      <c r="V17" s="47" t="str">
        <f>IF($A17="","",IF(OR($B17="",$C17="",$D17="",$E17="",$F17=""),"Missing required field",IF(COUNTIFS($A$9:$A17,$A17,$B$9:$B17,$B17)&gt;1,"Duplicate event ID",IF(AND($E17&lt;&gt;IFERROR(LOOKUP(2,1/($B$9:$B$16=$B17),$E$9:$E16),0),IFERROR(LOOKUP(2,1/($B$9:$B$16=$B17),$E$9:$E16),0)&gt;$E17),"Date out of order",IF(AND(OR($F17="buy_to_close",$F17="expire",$F17="roll",$F17="assignment",$F17="called_away"),$AF17=0),"Unknown lot",IF(OR(AND($F17="assignment",$AF17&gt;0,IF($AF17&gt;0,INDEX($AG$9:$AG$16,$AF17),"")&lt;&gt;"put"),AND($F17="called_away",$AF17&gt;0,IF($AF17&gt;0,INDEX($AG$9:$AG$16,$AF17),"")&lt;&gt;"call")),"Wrong option leg",IF(OR(AND(OR($F17="sell_put",$F17="sell_call"),OR($H17&lt;=0,$I17&lt;=0,$J17&lt;0)),AND(OR($F17="buy_to_close",$F17="expire",$F17="assignment",$F17="called_away"),OR($H17&lt;=0,$J17&lt;0)),AND($F17="roll",OR($H17&lt;=0,$I17&lt;=0,$J17&lt;0,$K17&lt;0)),AND(OR($F17="buy_shares",$F17="sell_shares"),OR($L17&lt;=0,$M17&lt;0)),AND(OR($F17="dividend",$F17="fee"),$N17&lt;0)),"Invalid value",IF(AND(OR($F17="sell_shares",$F17="called_away"),$AL17&lt;IF($F17="called_away",$AE17*$D17,$L17)),"Insufficient shares (capped)",IF(AND(OR($F17="buy_to_close",$F17="expire",$F17="roll",$F17="assignment",$F17="called_away"),$AF17&gt;0,$H17&gt;IF($AF17&gt;0,MAX(0,INDEX($AI$9:$AI$16,$AF17)-SUMIFS($AE$9:$AE$16,$G$9:$G$16,$G17,$B$9:$B$16,$B17)),0)),"Close quantity capped","OK")))))))))</f>
        <v>OK</v>
      </c>
      <c r="W17" s="48">
        <f t="shared" si="3"/>
        <v>100</v>
      </c>
      <c r="X17" s="49">
        <f t="shared" si="4"/>
        <v>5000</v>
      </c>
      <c r="Y17" s="50">
        <f t="shared" si="5"/>
        <v>120</v>
      </c>
      <c r="Z17" s="50">
        <f t="shared" si="6"/>
        <v>0</v>
      </c>
      <c r="AA17" s="50">
        <f t="shared" si="7"/>
        <v>0</v>
      </c>
      <c r="AB17" s="50">
        <f t="shared" si="8"/>
        <v>0.65</v>
      </c>
      <c r="AC17" s="50">
        <f>IF($A17="","",IF($F17="assignment",IF($AF17&gt;0,INDEX($AH$9:$AH$16,$AF17),0)*$AE17*$D17,IF($F17="buy_shares",$M17*$AL17,0)))</f>
        <v>0</v>
      </c>
      <c r="AD17" s="50">
        <f>IF($A17="","",IF($F17="called_away",IF($AF17&gt;0,INDEX($AH$9:$AH$16,$AF17),0)*$AL17,IF($F17="sell_shares",$M17*$AL17,0)))</f>
        <v>0</v>
      </c>
      <c r="AE17" s="51">
        <f>IF($A17="","",IF(OR($F17="sell_put",$F17="sell_call"),IF(AND($H17&gt;0,$I17&gt;0,$J17&gt;=0),$H17,0),IF(OR($F17="buy_to_close",$F17="expire",$F17="roll",$F17="assignment",$F17="called_away"),IF(AND($AF17&gt;0,$H17&gt;0,IF($F17="assignment",IF($AF17&gt;0,INDEX($AG$9:$AG$16,$AF17),"")="put",TRUE),IF($F17="called_away",IF($AF17&gt;0,INDEX($AG$9:$AG$16,$AF17),"")="call",TRUE)),MIN($H17,IF($AF17&gt;0,MAX(0,INDEX($AI$9:$AI$16,$AF17)-SUMIFS($AE$9:$AE$16,$G$9:$G$16,$G17,$B$9:$B$16,$B17)),0)),0),0)))</f>
        <v>1</v>
      </c>
      <c r="AF17">
        <f>IF($A17="","",IFERROR(MATCH(LEN($B17)&amp;":"&amp;$B17&amp;$G17,$AY$9:$AY$16,0),0))</f>
        <v>0</v>
      </c>
      <c r="AG17" t="str">
        <f>IF($A17="","",IF($F17="sell_put","put",IF($F17="sell_call","call",IF($F17="roll",IF($AF17&gt;0,IF($AF17&gt;0,INDEX($AG$9:$AG$16,$AF17),""),""),IF($AF17&gt;0,IF($AF17&gt;0,INDEX($AG$9:$AG$16,$AF17),""),"")))))</f>
        <v>call</v>
      </c>
      <c r="AH17">
        <f>IF($A17="","",IF(OR($F17="sell_put",$F17="sell_call",$F17="roll"),$I17,IF($AF17&gt;0,IF($AF17&gt;0,INDEX($AH$9:$AH$16,$AF17),0),0)))</f>
        <v>51</v>
      </c>
      <c r="AI17" s="51">
        <f t="shared" si="9"/>
        <v>1</v>
      </c>
      <c r="AJ17" s="51">
        <f>IF($A17="","",IFERROR(LOOKUP(2,1/($B$9:$B$16=$B17),$AM$9:$AM16),0))</f>
        <v>100</v>
      </c>
      <c r="AK17">
        <f>IF($A17="","",IFERROR(LOOKUP(2,1/($B$9:$B$16=$B17),$AN$9:$AN16),0))</f>
        <v>5000</v>
      </c>
      <c r="AL17" s="51">
        <f t="shared" si="10"/>
        <v>0</v>
      </c>
      <c r="AM17" s="51">
        <f t="shared" si="11"/>
        <v>100</v>
      </c>
      <c r="AN17">
        <f t="shared" si="12"/>
        <v>5000</v>
      </c>
      <c r="AO17" s="50">
        <f>IF($A17="","",IFERROR(LOOKUP(2,1/($B$9:$B$16=$B17),$AO$9:$AO16),0)+IF($F17="sell_put",$I17*$AE17*$D17,IF($F17="roll",IF($AG17="put",($I17-IF($AF17&gt;0,INDEX($AH$9:$AH$16,$AF17),0))*$AE17*$D17,0),IF(AND(OR($F17="buy_to_close",$F17="expire",$F17="roll",$F17="assignment",$F17="called_away"),$F17&lt;&gt;"roll",$AG17="put"),-IF($AF17&gt;0,INDEX($AH$9:$AH$16,$AF17),0)*$AE17*$D17,0))))</f>
        <v>0</v>
      </c>
      <c r="AP17" s="51">
        <f>IF($A17="","",IFERROR(LOOKUP(2,1/($B$9:$B$16=$B17),$AP$9:$AP16),0)+IF($F17="sell_put",$AE17*$D17,IF(AND(OR($F17="buy_to_close",$F17="expire",$F17="roll",$F17="assignment",$F17="called_away"),$F17&lt;&gt;"roll",$AG17="put"),-$AE17*$D17,0)))</f>
        <v>0</v>
      </c>
      <c r="AQ17" s="51">
        <f>IF($A17="","",IFERROR(LOOKUP(2,1/($B$9:$B$16=$B17),$AQ$9:$AQ16),0)+IF(OR($F17="sell_put",$F17="sell_call"),$AE17,0)-IF(AND(OR($F17="buy_to_close",$F17="expire",$F17="roll",$F17="assignment",$F17="called_away"),$F17&lt;&gt;"roll"),$AE17,0))</f>
        <v>1</v>
      </c>
      <c r="AR17" t="b">
        <f t="shared" si="13"/>
        <v>0</v>
      </c>
      <c r="AS17" s="50">
        <f t="shared" si="14"/>
        <v>5000</v>
      </c>
      <c r="AT17" s="50">
        <f>IF($A17="","",MAX(IF($T17=IFERROR(LOOKUP(2,1/($B$9:$B$16=$B17),$T$9:$T16),0),IFERROR(LOOKUP(2,1/($B$9:$B$16=$B17),$AT$9:$AT16),0),0),$AS17))</f>
        <v>5000</v>
      </c>
      <c r="AU17" t="str">
        <f t="shared" si="15"/>
        <v>sample-xyz¦1</v>
      </c>
      <c r="AV17" s="51">
        <f>IF($AU17="",0,IF(AND(IFERROR(LOOKUP(2,1/($B$9:$B$16=$B17),$AR$9:$AR16),1),NOT(AND(OR($F17="dividend",$F17="fee"),IFERROR(LOOKUP(2,1/($B$9:$B$16=$B17),$T$9:$T16),0)&gt;0))),ROW(),0))</f>
        <v>0</v>
      </c>
      <c r="AW17">
        <f>IF($A17="",0,IF($AV17&gt;0,MAX($AW$9:$AW$16)+1,MAX($AW$9:$AW$16)))</f>
        <v>3</v>
      </c>
      <c r="AX17">
        <f>IF($AU17="",0,IF(AND($AR17,OR(NOT(IFERROR(LOOKUP(2,1/($B$9:$B$16=$B17),$AR$9:$AR16),1)),IFERROR(LOOKUP(2,1/($B$9:$B$16=$B17),$T$9:$T16),0)=0)),ROW(),0))</f>
        <v>0</v>
      </c>
      <c r="AY17" t="str">
        <f t="shared" si="16"/>
        <v>10:sample-xyzE0009</v>
      </c>
    </row>
    <row r="18" spans="1:51" ht="15" x14ac:dyDescent="0.25">
      <c r="A18" s="52" t="str">
        <f>IF(Trades!$A18="","",Trades!O18)</f>
        <v>E0010</v>
      </c>
      <c r="B18" s="52" t="str">
        <f>IF(Trades!$A18="","",Trades!B18)</f>
        <v>sample-xyz</v>
      </c>
      <c r="C18" s="52" t="str">
        <f>IF(Trades!$A18="","",Trades!C18)</f>
        <v>XYZ</v>
      </c>
      <c r="D18" s="53">
        <f>IF(Trades!$A18="","",IF(Trades!$L18&gt;0,Trades!$L18,Trades!$C$6))</f>
        <v>100</v>
      </c>
      <c r="E18" s="54">
        <f>IF(Trades!$A18="","",Trades!A18)</f>
        <v>46253</v>
      </c>
      <c r="F18" s="52" t="str">
        <f>IF(Trades!$A18="","",IFERROR(INDEX(Trades!$V$2:$V$14,MATCH(Trades!$E18,Trades!$U$2:$U$14,0)),""))</f>
        <v>dividend</v>
      </c>
      <c r="G18" s="52">
        <f>IF(Trades!$A18="","",Trades!N18)</f>
        <v>0</v>
      </c>
      <c r="H18" s="53">
        <f>IF(Trades!$A18="","",Trades!F18)</f>
        <v>0</v>
      </c>
      <c r="I18" s="55">
        <f>IF(Trades!$A18="","",Trades!G18)</f>
        <v>0</v>
      </c>
      <c r="J18" s="55">
        <f>IF(Trades!$A18="","",Trades!I18)</f>
        <v>0</v>
      </c>
      <c r="K18" s="55">
        <f>IF(Trades!$A18="","",Trades!Q18)</f>
        <v>0</v>
      </c>
      <c r="L18" s="53">
        <f>IF(Trades!$A18="","",Trades!F18)</f>
        <v>0</v>
      </c>
      <c r="M18" s="55">
        <f>IF(Trades!$A18="","",Trades!M18)</f>
        <v>0</v>
      </c>
      <c r="N18" s="55">
        <f>IF(Trades!$A18="","",Trades!R18)</f>
        <v>24</v>
      </c>
      <c r="O18" s="55">
        <f>IF(Trades!$A18="","",Trades!J18)</f>
        <v>0</v>
      </c>
      <c r="P18" s="54">
        <f>IF(Trades!$A18="","",Trades!H18)</f>
        <v>0</v>
      </c>
      <c r="Q18" s="52" t="str">
        <f>IF(Trades!$A18="","",Trades!P18)</f>
        <v>Sample Data</v>
      </c>
      <c r="R18" s="56">
        <f t="shared" si="0"/>
        <v>0</v>
      </c>
      <c r="S18" s="56">
        <f t="shared" si="1"/>
        <v>24</v>
      </c>
      <c r="T18" s="57">
        <f>IF(OR($A18="",$B18=""),"",IF(AND(IFERROR(LOOKUP(2,1/($B$9:$B$17=$B18),$AR$9:$AR17),1),NOT(AND(OR($F18="dividend",$F18="fee"),IFERROR(LOOKUP(2,1/($B$9:$B$17=$B18),$T$9:$T17),0)&gt;0))),IFERROR(LOOKUP(2,1/($B$9:$B$17=$B18),$T$9:$T17),0)+1,IFERROR(LOOKUP(2,1/($B$9:$B$17=$B18),$T$9:$T17),0)))</f>
        <v>1</v>
      </c>
      <c r="U18" s="58" t="str">
        <f t="shared" si="2"/>
        <v>Shares held</v>
      </c>
      <c r="V18" s="58" t="str">
        <f>IF($A18="","",IF(OR($B18="",$C18="",$D18="",$E18="",$F18=""),"Missing required field",IF(COUNTIFS($A$9:$A18,$A18,$B$9:$B18,$B18)&gt;1,"Duplicate event ID",IF(AND($E18&lt;&gt;IFERROR(LOOKUP(2,1/($B$9:$B$17=$B18),$E$9:$E17),0),IFERROR(LOOKUP(2,1/($B$9:$B$17=$B18),$E$9:$E17),0)&gt;$E18),"Date out of order",IF(AND(OR($F18="buy_to_close",$F18="expire",$F18="roll",$F18="assignment",$F18="called_away"),$AF18=0),"Unknown lot",IF(OR(AND($F18="assignment",$AF18&gt;0,IF($AF18&gt;0,INDEX($AG$9:$AG$17,$AF18),"")&lt;&gt;"put"),AND($F18="called_away",$AF18&gt;0,IF($AF18&gt;0,INDEX($AG$9:$AG$17,$AF18),"")&lt;&gt;"call")),"Wrong option leg",IF(OR(AND(OR($F18="sell_put",$F18="sell_call"),OR($H18&lt;=0,$I18&lt;=0,$J18&lt;0)),AND(OR($F18="buy_to_close",$F18="expire",$F18="assignment",$F18="called_away"),OR($H18&lt;=0,$J18&lt;0)),AND($F18="roll",OR($H18&lt;=0,$I18&lt;=0,$J18&lt;0,$K18&lt;0)),AND(OR($F18="buy_shares",$F18="sell_shares"),OR($L18&lt;=0,$M18&lt;0)),AND(OR($F18="dividend",$F18="fee"),$N18&lt;0)),"Invalid value",IF(AND(OR($F18="sell_shares",$F18="called_away"),$AL18&lt;IF($F18="called_away",$AE18*$D18,$L18)),"Insufficient shares (capped)",IF(AND(OR($F18="buy_to_close",$F18="expire",$F18="roll",$F18="assignment",$F18="called_away"),$AF18&gt;0,$H18&gt;IF($AF18&gt;0,MAX(0,INDEX($AI$9:$AI$17,$AF18)-SUMIFS($AE$9:$AE$17,$G$9:$G$17,$G18,$B$9:$B$17,$B18)),0)),"Close quantity capped","OK")))))))))</f>
        <v>OK</v>
      </c>
      <c r="W18" s="59">
        <f t="shared" si="3"/>
        <v>100</v>
      </c>
      <c r="X18" s="60">
        <f t="shared" si="4"/>
        <v>5000</v>
      </c>
      <c r="Y18" s="50">
        <f t="shared" si="5"/>
        <v>0</v>
      </c>
      <c r="Z18" s="50">
        <f t="shared" si="6"/>
        <v>0</v>
      </c>
      <c r="AA18" s="50">
        <f t="shared" si="7"/>
        <v>24</v>
      </c>
      <c r="AB18" s="50">
        <f t="shared" si="8"/>
        <v>0</v>
      </c>
      <c r="AC18" s="50">
        <f>IF($A18="","",IF($F18="assignment",IF($AF18&gt;0,INDEX($AH$9:$AH$17,$AF18),0)*$AE18*$D18,IF($F18="buy_shares",$M18*$AL18,0)))</f>
        <v>0</v>
      </c>
      <c r="AD18" s="50">
        <f>IF($A18="","",IF($F18="called_away",IF($AF18&gt;0,INDEX($AH$9:$AH$17,$AF18),0)*$AL18,IF($F18="sell_shares",$M18*$AL18,0)))</f>
        <v>0</v>
      </c>
      <c r="AE18" s="51">
        <f>IF($A18="","",IF(OR($F18="sell_put",$F18="sell_call"),IF(AND($H18&gt;0,$I18&gt;0,$J18&gt;=0),$H18,0),IF(OR($F18="buy_to_close",$F18="expire",$F18="roll",$F18="assignment",$F18="called_away"),IF(AND($AF18&gt;0,$H18&gt;0,IF($F18="assignment",IF($AF18&gt;0,INDEX($AG$9:$AG$17,$AF18),"")="put",TRUE),IF($F18="called_away",IF($AF18&gt;0,INDEX($AG$9:$AG$17,$AF18),"")="call",TRUE)),MIN($H18,IF($AF18&gt;0,MAX(0,INDEX($AI$9:$AI$17,$AF18)-SUMIFS($AE$9:$AE$17,$G$9:$G$17,$G18,$B$9:$B$17,$B18)),0)),0),0)))</f>
        <v>0</v>
      </c>
      <c r="AF18">
        <f>IF($A18="","",IFERROR(MATCH(LEN($B18)&amp;":"&amp;$B18&amp;$G18,$AY$9:$AY$17,0),0))</f>
        <v>0</v>
      </c>
      <c r="AG18" t="str">
        <f>IF($A18="","",IF($F18="sell_put","put",IF($F18="sell_call","call",IF($F18="roll",IF($AF18&gt;0,IF($AF18&gt;0,INDEX($AG$9:$AG$17,$AF18),""),""),IF($AF18&gt;0,IF($AF18&gt;0,INDEX($AG$9:$AG$17,$AF18),""),"")))))</f>
        <v/>
      </c>
      <c r="AH18">
        <f>IF($A18="","",IF(OR($F18="sell_put",$F18="sell_call",$F18="roll"),$I18,IF($AF18&gt;0,IF($AF18&gt;0,INDEX($AH$9:$AH$17,$AF18),0),0)))</f>
        <v>0</v>
      </c>
      <c r="AI18" s="51">
        <f t="shared" si="9"/>
        <v>0</v>
      </c>
      <c r="AJ18" s="51">
        <f>IF($A18="","",IFERROR(LOOKUP(2,1/($B$9:$B$17=$B18),$AM$9:$AM17),0))</f>
        <v>100</v>
      </c>
      <c r="AK18">
        <f>IF($A18="","",IFERROR(LOOKUP(2,1/($B$9:$B$17=$B18),$AN$9:$AN17),0))</f>
        <v>5000</v>
      </c>
      <c r="AL18" s="51">
        <f t="shared" si="10"/>
        <v>0</v>
      </c>
      <c r="AM18" s="51">
        <f t="shared" si="11"/>
        <v>100</v>
      </c>
      <c r="AN18">
        <f t="shared" si="12"/>
        <v>5000</v>
      </c>
      <c r="AO18" s="50">
        <f>IF($A18="","",IFERROR(LOOKUP(2,1/($B$9:$B$17=$B18),$AO$9:$AO17),0)+IF($F18="sell_put",$I18*$AE18*$D18,IF($F18="roll",IF($AG18="put",($I18-IF($AF18&gt;0,INDEX($AH$9:$AH$17,$AF18),0))*$AE18*$D18,0),IF(AND(OR($F18="buy_to_close",$F18="expire",$F18="roll",$F18="assignment",$F18="called_away"),$F18&lt;&gt;"roll",$AG18="put"),-IF($AF18&gt;0,INDEX($AH$9:$AH$17,$AF18),0)*$AE18*$D18,0))))</f>
        <v>0</v>
      </c>
      <c r="AP18" s="51">
        <f>IF($A18="","",IFERROR(LOOKUP(2,1/($B$9:$B$17=$B18),$AP$9:$AP17),0)+IF($F18="sell_put",$AE18*$D18,IF(AND(OR($F18="buy_to_close",$F18="expire",$F18="roll",$F18="assignment",$F18="called_away"),$F18&lt;&gt;"roll",$AG18="put"),-$AE18*$D18,0)))</f>
        <v>0</v>
      </c>
      <c r="AQ18" s="51">
        <f>IF($A18="","",IFERROR(LOOKUP(2,1/($B$9:$B$17=$B18),$AQ$9:$AQ17),0)+IF(OR($F18="sell_put",$F18="sell_call"),$AE18,0)-IF(AND(OR($F18="buy_to_close",$F18="expire",$F18="roll",$F18="assignment",$F18="called_away"),$F18&lt;&gt;"roll"),$AE18,0))</f>
        <v>1</v>
      </c>
      <c r="AR18" t="b">
        <f t="shared" si="13"/>
        <v>0</v>
      </c>
      <c r="AS18" s="50">
        <f t="shared" si="14"/>
        <v>5000</v>
      </c>
      <c r="AT18" s="50">
        <f>IF($A18="","",MAX(IF($T18=IFERROR(LOOKUP(2,1/($B$9:$B$17=$B18),$T$9:$T17),0),IFERROR(LOOKUP(2,1/($B$9:$B$17=$B18),$AT$9:$AT17),0),0),$AS18))</f>
        <v>5000</v>
      </c>
      <c r="AU18" t="str">
        <f t="shared" si="15"/>
        <v>sample-xyz¦1</v>
      </c>
      <c r="AV18" s="51">
        <f>IF($AU18="",0,IF(AND(IFERROR(LOOKUP(2,1/($B$9:$B$17=$B18),$AR$9:$AR17),1),NOT(AND(OR($F18="dividend",$F18="fee"),IFERROR(LOOKUP(2,1/($B$9:$B$17=$B18),$T$9:$T17),0)&gt;0))),ROW(),0))</f>
        <v>0</v>
      </c>
      <c r="AW18">
        <f>IF($A18="",0,IF($AV18&gt;0,MAX($AW$9:$AW$17)+1,MAX($AW$9:$AW$17)))</f>
        <v>3</v>
      </c>
      <c r="AX18">
        <f>IF($AU18="",0,IF(AND($AR18,OR(NOT(IFERROR(LOOKUP(2,1/($B$9:$B$17=$B18),$AR$9:$AR17),1)),IFERROR(LOOKUP(2,1/($B$9:$B$17=$B18),$T$9:$T17),0)=0)),ROW(),0))</f>
        <v>0</v>
      </c>
      <c r="AY18" t="str">
        <f t="shared" si="16"/>
        <v>10:sample-xyzE0010</v>
      </c>
    </row>
    <row r="19" spans="1:51" ht="15" x14ac:dyDescent="0.25">
      <c r="A19" s="41" t="str">
        <f>IF(Trades!$A19="","",Trades!O19)</f>
        <v>E0011</v>
      </c>
      <c r="B19" s="41" t="str">
        <f>IF(Trades!$A19="","",Trades!B19)</f>
        <v>demo-loss</v>
      </c>
      <c r="C19" s="41" t="str">
        <f>IF(Trades!$A19="","",Trades!C19)</f>
        <v>MNO</v>
      </c>
      <c r="D19" s="42">
        <f>IF(Trades!$A19="","",IF(Trades!$L19&gt;0,Trades!$L19,Trades!$C$6))</f>
        <v>100</v>
      </c>
      <c r="E19" s="43">
        <f>IF(Trades!$A19="","",Trades!A19)</f>
        <v>46255</v>
      </c>
      <c r="F19" s="41" t="str">
        <f>IF(Trades!$A19="","",IFERROR(INDEX(Trades!$V$2:$V$14,MATCH(Trades!$E19,Trades!$U$2:$U$14,0)),""))</f>
        <v>called_away</v>
      </c>
      <c r="G19" s="41" t="str">
        <f>IF(Trades!$A19="","",Trades!N19)</f>
        <v>E0005</v>
      </c>
      <c r="H19" s="42">
        <f>IF(Trades!$A19="","",Trades!F19)</f>
        <v>1</v>
      </c>
      <c r="I19" s="44">
        <f>IF(Trades!$A19="","",Trades!G19)</f>
        <v>0</v>
      </c>
      <c r="J19" s="44">
        <f>IF(Trades!$A19="","",Trades!I19)</f>
        <v>0</v>
      </c>
      <c r="K19" s="44">
        <f>IF(Trades!$A19="","",Trades!Q19)</f>
        <v>0</v>
      </c>
      <c r="L19" s="42">
        <f>IF(Trades!$A19="","",Trades!F19)</f>
        <v>1</v>
      </c>
      <c r="M19" s="44">
        <f>IF(Trades!$A19="","",Trades!M19)</f>
        <v>0</v>
      </c>
      <c r="N19" s="44">
        <f>IF(Trades!$A19="","",Trades!R19)</f>
        <v>0</v>
      </c>
      <c r="O19" s="44">
        <f>IF(Trades!$A19="","",Trades!J19)</f>
        <v>0.65</v>
      </c>
      <c r="P19" s="43">
        <f>IF(Trades!$A19="","",Trades!H19)</f>
        <v>0</v>
      </c>
      <c r="Q19" s="41" t="str">
        <f>IF(Trades!$A19="","",Trades!P19)</f>
        <v>Sample Data</v>
      </c>
      <c r="R19" s="45">
        <f t="shared" si="0"/>
        <v>0</v>
      </c>
      <c r="S19" s="45">
        <f t="shared" si="1"/>
        <v>3899.35</v>
      </c>
      <c r="T19" s="46">
        <f>IF(OR($A19="",$B19=""),"",IF(AND(IFERROR(LOOKUP(2,1/($B$9:$B$18=$B19),$AR$9:$AR18),1),NOT(AND(OR($F19="dividend",$F19="fee"),IFERROR(LOOKUP(2,1/($B$9:$B$18=$B19),$T$9:$T18),0)&gt;0))),IFERROR(LOOKUP(2,1/($B$9:$B$18=$B19),$T$9:$T18),0)+1,IFERROR(LOOKUP(2,1/($B$9:$B$18=$B19),$T$9:$T18),0)))</f>
        <v>1</v>
      </c>
      <c r="U19" s="47" t="str">
        <f t="shared" si="2"/>
        <v>Flat / cycle closed</v>
      </c>
      <c r="V19" s="47" t="str">
        <f>IF($A19="","",IF(OR($B19="",$C19="",$D19="",$E19="",$F19=""),"Missing required field",IF(COUNTIFS($A$9:$A19,$A19,$B$9:$B19,$B19)&gt;1,"Duplicate event ID",IF(AND($E19&lt;&gt;IFERROR(LOOKUP(2,1/($B$9:$B$18=$B19),$E$9:$E18),0),IFERROR(LOOKUP(2,1/($B$9:$B$18=$B19),$E$9:$E18),0)&gt;$E19),"Date out of order",IF(AND(OR($F19="buy_to_close",$F19="expire",$F19="roll",$F19="assignment",$F19="called_away"),$AF19=0),"Unknown lot",IF(OR(AND($F19="assignment",$AF19&gt;0,IF($AF19&gt;0,INDEX($AG$9:$AG$18,$AF19),"")&lt;&gt;"put"),AND($F19="called_away",$AF19&gt;0,IF($AF19&gt;0,INDEX($AG$9:$AG$18,$AF19),"")&lt;&gt;"call")),"Wrong option leg",IF(OR(AND(OR($F19="sell_put",$F19="sell_call"),OR($H19&lt;=0,$I19&lt;=0,$J19&lt;0)),AND(OR($F19="buy_to_close",$F19="expire",$F19="assignment",$F19="called_away"),OR($H19&lt;=0,$J19&lt;0)),AND($F19="roll",OR($H19&lt;=0,$I19&lt;=0,$J19&lt;0,$K19&lt;0)),AND(OR($F19="buy_shares",$F19="sell_shares"),OR($L19&lt;=0,$M19&lt;0)),AND(OR($F19="dividend",$F19="fee"),$N19&lt;0)),"Invalid value",IF(AND(OR($F19="sell_shares",$F19="called_away"),$AL19&lt;IF($F19="called_away",$AE19*$D19,$L19)),"Insufficient shares (capped)",IF(AND(OR($F19="buy_to_close",$F19="expire",$F19="roll",$F19="assignment",$F19="called_away"),$AF19&gt;0,$H19&gt;IF($AF19&gt;0,MAX(0,INDEX($AI$9:$AI$18,$AF19)-SUMIFS($AE$9:$AE$18,$G$9:$G$18,$G19,$B$9:$B$18,$B19)),0)),"Close quantity capped","OK")))))))))</f>
        <v>OK</v>
      </c>
      <c r="W19" s="48">
        <f t="shared" si="3"/>
        <v>0</v>
      </c>
      <c r="X19" s="49">
        <f t="shared" si="4"/>
        <v>0</v>
      </c>
      <c r="Y19" s="50">
        <f t="shared" si="5"/>
        <v>0</v>
      </c>
      <c r="Z19" s="50">
        <f t="shared" si="6"/>
        <v>0</v>
      </c>
      <c r="AA19" s="50">
        <f t="shared" si="7"/>
        <v>0</v>
      </c>
      <c r="AB19" s="50">
        <f t="shared" si="8"/>
        <v>0.65</v>
      </c>
      <c r="AC19" s="50">
        <f>IF($A19="","",IF($F19="assignment",IF($AF19&gt;0,INDEX($AH$9:$AH$18,$AF19),0)*$AE19*$D19,IF($F19="buy_shares",$M19*$AL19,0)))</f>
        <v>0</v>
      </c>
      <c r="AD19" s="50">
        <f>IF($A19="","",IF($F19="called_away",IF($AF19&gt;0,INDEX($AH$9:$AH$18,$AF19),0)*$AL19,IF($F19="sell_shares",$M19*$AL19,0)))</f>
        <v>3900</v>
      </c>
      <c r="AE19" s="51">
        <f>IF($A19="","",IF(OR($F19="sell_put",$F19="sell_call"),IF(AND($H19&gt;0,$I19&gt;0,$J19&gt;=0),$H19,0),IF(OR($F19="buy_to_close",$F19="expire",$F19="roll",$F19="assignment",$F19="called_away"),IF(AND($AF19&gt;0,$H19&gt;0,IF($F19="assignment",IF($AF19&gt;0,INDEX($AG$9:$AG$18,$AF19),"")="put",TRUE),IF($F19="called_away",IF($AF19&gt;0,INDEX($AG$9:$AG$18,$AF19),"")="call",TRUE)),MIN($H19,IF($AF19&gt;0,MAX(0,INDEX($AI$9:$AI$18,$AF19)-SUMIFS($AE$9:$AE$18,$G$9:$G$18,$G19,$B$9:$B$18,$B19)),0)),0),0)))</f>
        <v>1</v>
      </c>
      <c r="AF19">
        <f>IF($A19="","",IFERROR(MATCH(LEN($B19)&amp;":"&amp;$B19&amp;$G19,$AY$9:$AY$18,0),0))</f>
        <v>5</v>
      </c>
      <c r="AG19" t="str">
        <f>IF($A19="","",IF($F19="sell_put","put",IF($F19="sell_call","call",IF($F19="roll",IF($AF19&gt;0,IF($AF19&gt;0,INDEX($AG$9:$AG$18,$AF19),""),""),IF($AF19&gt;0,IF($AF19&gt;0,INDEX($AG$9:$AG$18,$AF19),""),"")))))</f>
        <v>call</v>
      </c>
      <c r="AH19">
        <f>IF($A19="","",IF(OR($F19="sell_put",$F19="sell_call",$F19="roll"),$I19,IF($AF19&gt;0,IF($AF19&gt;0,INDEX($AH$9:$AH$18,$AF19),0),0)))</f>
        <v>39</v>
      </c>
      <c r="AI19" s="51">
        <f t="shared" si="9"/>
        <v>0</v>
      </c>
      <c r="AJ19" s="51">
        <f>IF($A19="","",IFERROR(LOOKUP(2,1/($B$9:$B$18=$B19),$AM$9:$AM18),0))</f>
        <v>100</v>
      </c>
      <c r="AK19">
        <f>IF($A19="","",IFERROR(LOOKUP(2,1/($B$9:$B$18=$B19),$AN$9:$AN18),0))</f>
        <v>4000</v>
      </c>
      <c r="AL19" s="51">
        <f t="shared" si="10"/>
        <v>100</v>
      </c>
      <c r="AM19" s="51">
        <f t="shared" si="11"/>
        <v>0</v>
      </c>
      <c r="AN19">
        <f t="shared" si="12"/>
        <v>0</v>
      </c>
      <c r="AO19" s="50">
        <f>IF($A19="","",IFERROR(LOOKUP(2,1/($B$9:$B$18=$B19),$AO$9:$AO18),0)+IF($F19="sell_put",$I19*$AE19*$D19,IF($F19="roll",IF($AG19="put",($I19-IF($AF19&gt;0,INDEX($AH$9:$AH$18,$AF19),0))*$AE19*$D19,0),IF(AND(OR($F19="buy_to_close",$F19="expire",$F19="roll",$F19="assignment",$F19="called_away"),$F19&lt;&gt;"roll",$AG19="put"),-IF($AF19&gt;0,INDEX($AH$9:$AH$18,$AF19),0)*$AE19*$D19,0))))</f>
        <v>0</v>
      </c>
      <c r="AP19" s="51">
        <f>IF($A19="","",IFERROR(LOOKUP(2,1/($B$9:$B$18=$B19),$AP$9:$AP18),0)+IF($F19="sell_put",$AE19*$D19,IF(AND(OR($F19="buy_to_close",$F19="expire",$F19="roll",$F19="assignment",$F19="called_away"),$F19&lt;&gt;"roll",$AG19="put"),-$AE19*$D19,0)))</f>
        <v>0</v>
      </c>
      <c r="AQ19" s="51">
        <f>IF($A19="","",IFERROR(LOOKUP(2,1/($B$9:$B$18=$B19),$AQ$9:$AQ18),0)+IF(OR($F19="sell_put",$F19="sell_call"),$AE19,0)-IF(AND(OR($F19="buy_to_close",$F19="expire",$F19="roll",$F19="assignment",$F19="called_away"),$F19&lt;&gt;"roll"),$AE19,0))</f>
        <v>0</v>
      </c>
      <c r="AR19" t="b">
        <f t="shared" si="13"/>
        <v>1</v>
      </c>
      <c r="AS19" s="50">
        <f t="shared" si="14"/>
        <v>0</v>
      </c>
      <c r="AT19" s="50">
        <f>IF($A19="","",MAX(IF($T19=IFERROR(LOOKUP(2,1/($B$9:$B$18=$B19),$T$9:$T18),0),IFERROR(LOOKUP(2,1/($B$9:$B$18=$B19),$AT$9:$AT18),0),0),$AS19))</f>
        <v>4000</v>
      </c>
      <c r="AU19" t="str">
        <f t="shared" si="15"/>
        <v>demo-loss¦1</v>
      </c>
      <c r="AV19" s="51">
        <f>IF($AU19="",0,IF(AND(IFERROR(LOOKUP(2,1/($B$9:$B$18=$B19),$AR$9:$AR18),1),NOT(AND(OR($F19="dividend",$F19="fee"),IFERROR(LOOKUP(2,1/($B$9:$B$18=$B19),$T$9:$T18),0)&gt;0))),ROW(),0))</f>
        <v>0</v>
      </c>
      <c r="AW19">
        <f>IF($A19="",0,IF($AV19&gt;0,MAX($AW$9:$AW$18)+1,MAX($AW$9:$AW$18)))</f>
        <v>3</v>
      </c>
      <c r="AX19">
        <f>IF($AU19="",0,IF(AND($AR19,OR(NOT(IFERROR(LOOKUP(2,1/($B$9:$B$18=$B19),$AR$9:$AR18),1)),IFERROR(LOOKUP(2,1/($B$9:$B$18=$B19),$T$9:$T18),0)=0)),ROW(),0))</f>
        <v>19</v>
      </c>
      <c r="AY19" t="str">
        <f t="shared" si="16"/>
        <v>9:demo-lossE0011</v>
      </c>
    </row>
    <row r="20" spans="1:51" ht="15" x14ac:dyDescent="0.25">
      <c r="A20" s="52" t="str">
        <f>IF(Trades!$A20="","",Trades!O20)</f>
        <v>E0012</v>
      </c>
      <c r="B20" s="52" t="str">
        <f>IF(Trades!$A20="","",Trades!B20)</f>
        <v>demo-eur</v>
      </c>
      <c r="C20" s="52" t="str">
        <f>IF(Trades!$A20="","",Trades!C20)</f>
        <v>EURX</v>
      </c>
      <c r="D20" s="53">
        <f>IF(Trades!$A20="","",IF(Trades!$L20&gt;0,Trades!$L20,Trades!$C$6))</f>
        <v>100</v>
      </c>
      <c r="E20" s="54">
        <f>IF(Trades!$A20="","",Trades!A20)</f>
        <v>46265</v>
      </c>
      <c r="F20" s="52" t="str">
        <f>IF(Trades!$A20="","",IFERROR(INDEX(Trades!$V$2:$V$14,MATCH(Trades!$E20,Trades!$U$2:$U$14,0)),""))</f>
        <v>sell_put</v>
      </c>
      <c r="G20" s="52">
        <f>IF(Trades!$A20="","",Trades!N20)</f>
        <v>0</v>
      </c>
      <c r="H20" s="53">
        <f>IF(Trades!$A20="","",Trades!F20)</f>
        <v>1</v>
      </c>
      <c r="I20" s="55">
        <f>IF(Trades!$A20="","",Trades!G20)</f>
        <v>35</v>
      </c>
      <c r="J20" s="55">
        <f>IF(Trades!$A20="","",Trades!I20)</f>
        <v>0.6</v>
      </c>
      <c r="K20" s="55">
        <f>IF(Trades!$A20="","",Trades!Q20)</f>
        <v>0</v>
      </c>
      <c r="L20" s="53">
        <f>IF(Trades!$A20="","",Trades!F20)</f>
        <v>1</v>
      </c>
      <c r="M20" s="55">
        <f>IF(Trades!$A20="","",Trades!M20)</f>
        <v>0</v>
      </c>
      <c r="N20" s="55">
        <f>IF(Trades!$A20="","",Trades!R20)</f>
        <v>0</v>
      </c>
      <c r="O20" s="55">
        <f>IF(Trades!$A20="","",Trades!J20)</f>
        <v>0.65</v>
      </c>
      <c r="P20" s="54">
        <f>IF(Trades!$A20="","",Trades!H20)</f>
        <v>46293</v>
      </c>
      <c r="Q20" s="52" t="str">
        <f>IF(Trades!$A20="","",Trades!P20)</f>
        <v>Sample Data</v>
      </c>
      <c r="R20" s="56">
        <f t="shared" si="0"/>
        <v>60</v>
      </c>
      <c r="S20" s="56">
        <f t="shared" si="1"/>
        <v>59.35</v>
      </c>
      <c r="T20" s="57">
        <f>IF(OR($A20="",$B20=""),"",IF(AND(IFERROR(LOOKUP(2,1/($B$9:$B$19=$B20),$AR$9:$AR19),1),NOT(AND(OR($F20="dividend",$F20="fee"),IFERROR(LOOKUP(2,1/($B$9:$B$19=$B20),$T$9:$T19),0)&gt;0))),IFERROR(LOOKUP(2,1/($B$9:$B$19=$B20),$T$9:$T19),0)+1,IFERROR(LOOKUP(2,1/($B$9:$B$19=$B20),$T$9:$T19),0)))</f>
        <v>1</v>
      </c>
      <c r="U20" s="58" t="str">
        <f t="shared" si="2"/>
        <v>Short option open</v>
      </c>
      <c r="V20" s="58" t="str">
        <f>IF($A20="","",IF(OR($B20="",$C20="",$D20="",$E20="",$F20=""),"Missing required field",IF(COUNTIFS($A$9:$A20,$A20,$B$9:$B20,$B20)&gt;1,"Duplicate event ID",IF(AND($E20&lt;&gt;IFERROR(LOOKUP(2,1/($B$9:$B$19=$B20),$E$9:$E19),0),IFERROR(LOOKUP(2,1/($B$9:$B$19=$B20),$E$9:$E19),0)&gt;$E20),"Date out of order",IF(AND(OR($F20="buy_to_close",$F20="expire",$F20="roll",$F20="assignment",$F20="called_away"),$AF20=0),"Unknown lot",IF(OR(AND($F20="assignment",$AF20&gt;0,IF($AF20&gt;0,INDEX($AG$9:$AG$19,$AF20),"")&lt;&gt;"put"),AND($F20="called_away",$AF20&gt;0,IF($AF20&gt;0,INDEX($AG$9:$AG$19,$AF20),"")&lt;&gt;"call")),"Wrong option leg",IF(OR(AND(OR($F20="sell_put",$F20="sell_call"),OR($H20&lt;=0,$I20&lt;=0,$J20&lt;0)),AND(OR($F20="buy_to_close",$F20="expire",$F20="assignment",$F20="called_away"),OR($H20&lt;=0,$J20&lt;0)),AND($F20="roll",OR($H20&lt;=0,$I20&lt;=0,$J20&lt;0,$K20&lt;0)),AND(OR($F20="buy_shares",$F20="sell_shares"),OR($L20&lt;=0,$M20&lt;0)),AND(OR($F20="dividend",$F20="fee"),$N20&lt;0)),"Invalid value",IF(AND(OR($F20="sell_shares",$F20="called_away"),$AL20&lt;IF($F20="called_away",$AE20*$D20,$L20)),"Insufficient shares (capped)",IF(AND(OR($F20="buy_to_close",$F20="expire",$F20="roll",$F20="assignment",$F20="called_away"),$AF20&gt;0,$H20&gt;IF($AF20&gt;0,MAX(0,INDEX($AI$9:$AI$19,$AF20)-SUMIFS($AE$9:$AE$19,$G$9:$G$19,$G20,$B$9:$B$19,$B20)),0)),"Close quantity capped","OK")))))))))</f>
        <v>OK</v>
      </c>
      <c r="W20" s="59">
        <f t="shared" si="3"/>
        <v>0</v>
      </c>
      <c r="X20" s="60">
        <f t="shared" si="4"/>
        <v>3500</v>
      </c>
      <c r="Y20" s="50">
        <f t="shared" si="5"/>
        <v>60</v>
      </c>
      <c r="Z20" s="50">
        <f t="shared" si="6"/>
        <v>0</v>
      </c>
      <c r="AA20" s="50">
        <f t="shared" si="7"/>
        <v>0</v>
      </c>
      <c r="AB20" s="50">
        <f t="shared" si="8"/>
        <v>0.65</v>
      </c>
      <c r="AC20" s="50">
        <f>IF($A20="","",IF($F20="assignment",IF($AF20&gt;0,INDEX($AH$9:$AH$19,$AF20),0)*$AE20*$D20,IF($F20="buy_shares",$M20*$AL20,0)))</f>
        <v>0</v>
      </c>
      <c r="AD20" s="50">
        <f>IF($A20="","",IF($F20="called_away",IF($AF20&gt;0,INDEX($AH$9:$AH$19,$AF20),0)*$AL20,IF($F20="sell_shares",$M20*$AL20,0)))</f>
        <v>0</v>
      </c>
      <c r="AE20" s="51">
        <f>IF($A20="","",IF(OR($F20="sell_put",$F20="sell_call"),IF(AND($H20&gt;0,$I20&gt;0,$J20&gt;=0),$H20,0),IF(OR($F20="buy_to_close",$F20="expire",$F20="roll",$F20="assignment",$F20="called_away"),IF(AND($AF20&gt;0,$H20&gt;0,IF($F20="assignment",IF($AF20&gt;0,INDEX($AG$9:$AG$19,$AF20),"")="put",TRUE),IF($F20="called_away",IF($AF20&gt;0,INDEX($AG$9:$AG$19,$AF20),"")="call",TRUE)),MIN($H20,IF($AF20&gt;0,MAX(0,INDEX($AI$9:$AI$19,$AF20)-SUMIFS($AE$9:$AE$19,$G$9:$G$19,$G20,$B$9:$B$19,$B20)),0)),0),0)))</f>
        <v>1</v>
      </c>
      <c r="AF20">
        <f>IF($A20="","",IFERROR(MATCH(LEN($B20)&amp;":"&amp;$B20&amp;$G20,$AY$9:$AY$19,0),0))</f>
        <v>0</v>
      </c>
      <c r="AG20" t="str">
        <f>IF($A20="","",IF($F20="sell_put","put",IF($F20="sell_call","call",IF($F20="roll",IF($AF20&gt;0,IF($AF20&gt;0,INDEX($AG$9:$AG$19,$AF20),""),""),IF($AF20&gt;0,IF($AF20&gt;0,INDEX($AG$9:$AG$19,$AF20),""),"")))))</f>
        <v>put</v>
      </c>
      <c r="AH20">
        <f>IF($A20="","",IF(OR($F20="sell_put",$F20="sell_call",$F20="roll"),$I20,IF($AF20&gt;0,IF($AF20&gt;0,INDEX($AH$9:$AH$19,$AF20),0),0)))</f>
        <v>35</v>
      </c>
      <c r="AI20" s="51">
        <f t="shared" si="9"/>
        <v>1</v>
      </c>
      <c r="AJ20" s="51">
        <f>IF($A20="","",IFERROR(LOOKUP(2,1/($B$9:$B$19=$B20),$AM$9:$AM19),0))</f>
        <v>0</v>
      </c>
      <c r="AK20">
        <f>IF($A20="","",IFERROR(LOOKUP(2,1/($B$9:$B$19=$B20),$AN$9:$AN19),0))</f>
        <v>0</v>
      </c>
      <c r="AL20" s="51">
        <f t="shared" si="10"/>
        <v>0</v>
      </c>
      <c r="AM20" s="51">
        <f t="shared" si="11"/>
        <v>0</v>
      </c>
      <c r="AN20">
        <f t="shared" si="12"/>
        <v>0</v>
      </c>
      <c r="AO20" s="50">
        <f>IF($A20="","",IFERROR(LOOKUP(2,1/($B$9:$B$19=$B20),$AO$9:$AO19),0)+IF($F20="sell_put",$I20*$AE20*$D20,IF($F20="roll",IF($AG20="put",($I20-IF($AF20&gt;0,INDEX($AH$9:$AH$19,$AF20),0))*$AE20*$D20,0),IF(AND(OR($F20="buy_to_close",$F20="expire",$F20="roll",$F20="assignment",$F20="called_away"),$F20&lt;&gt;"roll",$AG20="put"),-IF($AF20&gt;0,INDEX($AH$9:$AH$19,$AF20),0)*$AE20*$D20,0))))</f>
        <v>3500</v>
      </c>
      <c r="AP20" s="51">
        <f>IF($A20="","",IFERROR(LOOKUP(2,1/($B$9:$B$19=$B20),$AP$9:$AP19),0)+IF($F20="sell_put",$AE20*$D20,IF(AND(OR($F20="buy_to_close",$F20="expire",$F20="roll",$F20="assignment",$F20="called_away"),$F20&lt;&gt;"roll",$AG20="put"),-$AE20*$D20,0)))</f>
        <v>100</v>
      </c>
      <c r="AQ20" s="51">
        <f>IF($A20="","",IFERROR(LOOKUP(2,1/($B$9:$B$19=$B20),$AQ$9:$AQ19),0)+IF(OR($F20="sell_put",$F20="sell_call"),$AE20,0)-IF(AND(OR($F20="buy_to_close",$F20="expire",$F20="roll",$F20="assignment",$F20="called_away"),$F20&lt;&gt;"roll"),$AE20,0))</f>
        <v>1</v>
      </c>
      <c r="AR20" t="b">
        <f t="shared" si="13"/>
        <v>0</v>
      </c>
      <c r="AS20" s="50">
        <f t="shared" si="14"/>
        <v>3500</v>
      </c>
      <c r="AT20" s="50">
        <f>IF($A20="","",MAX(IF($T20=IFERROR(LOOKUP(2,1/($B$9:$B$19=$B20),$T$9:$T19),0),IFERROR(LOOKUP(2,1/($B$9:$B$19=$B20),$AT$9:$AT19),0),0),$AS20))</f>
        <v>3500</v>
      </c>
      <c r="AU20" t="str">
        <f t="shared" si="15"/>
        <v>demo-eur¦1</v>
      </c>
      <c r="AV20" s="51">
        <f>IF($AU20="",0,IF(AND(IFERROR(LOOKUP(2,1/($B$9:$B$19=$B20),$AR$9:$AR19),1),NOT(AND(OR($F20="dividend",$F20="fee"),IFERROR(LOOKUP(2,1/($B$9:$B$19=$B20),$T$9:$T19),0)&gt;0))),ROW(),0))</f>
        <v>20</v>
      </c>
      <c r="AW20">
        <f>IF($A20="",0,IF($AV20&gt;0,MAX($AW$9:$AW$19)+1,MAX($AW$9:$AW$19)))</f>
        <v>4</v>
      </c>
      <c r="AX20">
        <f>IF($AU20="",0,IF(AND($AR20,OR(NOT(IFERROR(LOOKUP(2,1/($B$9:$B$19=$B20),$AR$9:$AR19),1)),IFERROR(LOOKUP(2,1/($B$9:$B$19=$B20),$T$9:$T19),0)=0)),ROW(),0))</f>
        <v>0</v>
      </c>
      <c r="AY20" t="str">
        <f t="shared" si="16"/>
        <v>8:demo-eurE0012</v>
      </c>
    </row>
    <row r="21" spans="1:51" ht="15" x14ac:dyDescent="0.25">
      <c r="A21" s="41" t="str">
        <f>IF(Trades!$A21="","",Trades!O21)</f>
        <v>E0013</v>
      </c>
      <c r="B21" s="41" t="str">
        <f>IF(Trades!$A21="","",Trades!B21)</f>
        <v>sample-abc</v>
      </c>
      <c r="C21" s="41" t="str">
        <f>IF(Trades!$A21="","",Trades!C21)</f>
        <v>ABC</v>
      </c>
      <c r="D21" s="42">
        <f>IF(Trades!$A21="","",IF(Trades!$L21&gt;0,Trades!$L21,Trades!$C$6))</f>
        <v>100</v>
      </c>
      <c r="E21" s="43">
        <f>IF(Trades!$A21="","",Trades!A21)</f>
        <v>46268</v>
      </c>
      <c r="F21" s="41" t="str">
        <f>IF(Trades!$A21="","",IFERROR(INDEX(Trades!$V$2:$V$14,MATCH(Trades!$E21,Trades!$U$2:$U$14,0)),""))</f>
        <v>sell_put</v>
      </c>
      <c r="G21" s="41">
        <f>IF(Trades!$A21="","",Trades!N21)</f>
        <v>0</v>
      </c>
      <c r="H21" s="42">
        <f>IF(Trades!$A21="","",Trades!F21)</f>
        <v>2</v>
      </c>
      <c r="I21" s="44">
        <f>IF(Trades!$A21="","",Trades!G21)</f>
        <v>20</v>
      </c>
      <c r="J21" s="44">
        <f>IF(Trades!$A21="","",Trades!I21)</f>
        <v>0.45</v>
      </c>
      <c r="K21" s="44">
        <f>IF(Trades!$A21="","",Trades!Q21)</f>
        <v>0</v>
      </c>
      <c r="L21" s="42">
        <f>IF(Trades!$A21="","",Trades!F21)</f>
        <v>2</v>
      </c>
      <c r="M21" s="44">
        <f>IF(Trades!$A21="","",Trades!M21)</f>
        <v>0</v>
      </c>
      <c r="N21" s="44">
        <f>IF(Trades!$A21="","",Trades!R21)</f>
        <v>0</v>
      </c>
      <c r="O21" s="44">
        <f>IF(Trades!$A21="","",Trades!J21)</f>
        <v>1.3</v>
      </c>
      <c r="P21" s="43">
        <f>IF(Trades!$A21="","",Trades!H21)</f>
        <v>46296</v>
      </c>
      <c r="Q21" s="41" t="str">
        <f>IF(Trades!$A21="","",Trades!P21)</f>
        <v>Sample Data</v>
      </c>
      <c r="R21" s="45">
        <f t="shared" si="0"/>
        <v>90</v>
      </c>
      <c r="S21" s="45">
        <f t="shared" si="1"/>
        <v>88.7</v>
      </c>
      <c r="T21" s="46">
        <f>IF(OR($A21="",$B21=""),"",IF(AND(IFERROR(LOOKUP(2,1/($B$9:$B$20=$B21),$AR$9:$AR20),1),NOT(AND(OR($F21="dividend",$F21="fee"),IFERROR(LOOKUP(2,1/($B$9:$B$20=$B21),$T$9:$T20),0)&gt;0))),IFERROR(LOOKUP(2,1/($B$9:$B$20=$B21),$T$9:$T20),0)+1,IFERROR(LOOKUP(2,1/($B$9:$B$20=$B21),$T$9:$T20),0)))</f>
        <v>1</v>
      </c>
      <c r="U21" s="47" t="str">
        <f t="shared" si="2"/>
        <v>Short option open</v>
      </c>
      <c r="V21" s="47" t="str">
        <f>IF($A21="","",IF(OR($B21="",$C21="",$D21="",$E21="",$F21=""),"Missing required field",IF(COUNTIFS($A$9:$A21,$A21,$B$9:$B21,$B21)&gt;1,"Duplicate event ID",IF(AND($E21&lt;&gt;IFERROR(LOOKUP(2,1/($B$9:$B$20=$B21),$E$9:$E20),0),IFERROR(LOOKUP(2,1/($B$9:$B$20=$B21),$E$9:$E20),0)&gt;$E21),"Date out of order",IF(AND(OR($F21="buy_to_close",$F21="expire",$F21="roll",$F21="assignment",$F21="called_away"),$AF21=0),"Unknown lot",IF(OR(AND($F21="assignment",$AF21&gt;0,IF($AF21&gt;0,INDEX($AG$9:$AG$20,$AF21),"")&lt;&gt;"put"),AND($F21="called_away",$AF21&gt;0,IF($AF21&gt;0,INDEX($AG$9:$AG$20,$AF21),"")&lt;&gt;"call")),"Wrong option leg",IF(OR(AND(OR($F21="sell_put",$F21="sell_call"),OR($H21&lt;=0,$I21&lt;=0,$J21&lt;0)),AND(OR($F21="buy_to_close",$F21="expire",$F21="assignment",$F21="called_away"),OR($H21&lt;=0,$J21&lt;0)),AND($F21="roll",OR($H21&lt;=0,$I21&lt;=0,$J21&lt;0,$K21&lt;0)),AND(OR($F21="buy_shares",$F21="sell_shares"),OR($L21&lt;=0,$M21&lt;0)),AND(OR($F21="dividend",$F21="fee"),$N21&lt;0)),"Invalid value",IF(AND(OR($F21="sell_shares",$F21="called_away"),$AL21&lt;IF($F21="called_away",$AE21*$D21,$L21)),"Insufficient shares (capped)",IF(AND(OR($F21="buy_to_close",$F21="expire",$F21="roll",$F21="assignment",$F21="called_away"),$AF21&gt;0,$H21&gt;IF($AF21&gt;0,MAX(0,INDEX($AI$9:$AI$20,$AF21)-SUMIFS($AE$9:$AE$20,$G$9:$G$20,$G21,$B$9:$B$20,$B21)),0)),"Close quantity capped","OK")))))))))</f>
        <v>OK</v>
      </c>
      <c r="W21" s="48">
        <f t="shared" si="3"/>
        <v>0</v>
      </c>
      <c r="X21" s="49">
        <f t="shared" si="4"/>
        <v>4000</v>
      </c>
      <c r="Y21" s="50">
        <f t="shared" si="5"/>
        <v>90</v>
      </c>
      <c r="Z21" s="50">
        <f t="shared" si="6"/>
        <v>0</v>
      </c>
      <c r="AA21" s="50">
        <f t="shared" si="7"/>
        <v>0</v>
      </c>
      <c r="AB21" s="50">
        <f t="shared" si="8"/>
        <v>1.3</v>
      </c>
      <c r="AC21" s="50">
        <f>IF($A21="","",IF($F21="assignment",IF($AF21&gt;0,INDEX($AH$9:$AH$20,$AF21),0)*$AE21*$D21,IF($F21="buy_shares",$M21*$AL21,0)))</f>
        <v>0</v>
      </c>
      <c r="AD21" s="50">
        <f>IF($A21="","",IF($F21="called_away",IF($AF21&gt;0,INDEX($AH$9:$AH$20,$AF21),0)*$AL21,IF($F21="sell_shares",$M21*$AL21,0)))</f>
        <v>0</v>
      </c>
      <c r="AE21" s="51">
        <f>IF($A21="","",IF(OR($F21="sell_put",$F21="sell_call"),IF(AND($H21&gt;0,$I21&gt;0,$J21&gt;=0),$H21,0),IF(OR($F21="buy_to_close",$F21="expire",$F21="roll",$F21="assignment",$F21="called_away"),IF(AND($AF21&gt;0,$H21&gt;0,IF($F21="assignment",IF($AF21&gt;0,INDEX($AG$9:$AG$20,$AF21),"")="put",TRUE),IF($F21="called_away",IF($AF21&gt;0,INDEX($AG$9:$AG$20,$AF21),"")="call",TRUE)),MIN($H21,IF($AF21&gt;0,MAX(0,INDEX($AI$9:$AI$20,$AF21)-SUMIFS($AE$9:$AE$20,$G$9:$G$20,$G21,$B$9:$B$20,$B21)),0)),0),0)))</f>
        <v>2</v>
      </c>
      <c r="AF21">
        <f>IF($A21="","",IFERROR(MATCH(LEN($B21)&amp;":"&amp;$B21&amp;$G21,$AY$9:$AY$20,0),0))</f>
        <v>0</v>
      </c>
      <c r="AG21" t="str">
        <f>IF($A21="","",IF($F21="sell_put","put",IF($F21="sell_call","call",IF($F21="roll",IF($AF21&gt;0,IF($AF21&gt;0,INDEX($AG$9:$AG$20,$AF21),""),""),IF($AF21&gt;0,IF($AF21&gt;0,INDEX($AG$9:$AG$20,$AF21),""),"")))))</f>
        <v>put</v>
      </c>
      <c r="AH21">
        <f>IF($A21="","",IF(OR($F21="sell_put",$F21="sell_call",$F21="roll"),$I21,IF($AF21&gt;0,IF($AF21&gt;0,INDEX($AH$9:$AH$20,$AF21),0),0)))</f>
        <v>20</v>
      </c>
      <c r="AI21" s="51">
        <f t="shared" si="9"/>
        <v>2</v>
      </c>
      <c r="AJ21" s="51">
        <f>IF($A21="","",IFERROR(LOOKUP(2,1/($B$9:$B$20=$B21),$AM$9:$AM20),0))</f>
        <v>0</v>
      </c>
      <c r="AK21">
        <f>IF($A21="","",IFERROR(LOOKUP(2,1/($B$9:$B$20=$B21),$AN$9:$AN20),0))</f>
        <v>0</v>
      </c>
      <c r="AL21" s="51">
        <f t="shared" si="10"/>
        <v>0</v>
      </c>
      <c r="AM21" s="51">
        <f t="shared" si="11"/>
        <v>0</v>
      </c>
      <c r="AN21">
        <f t="shared" si="12"/>
        <v>0</v>
      </c>
      <c r="AO21" s="50">
        <f>IF($A21="","",IFERROR(LOOKUP(2,1/($B$9:$B$20=$B21),$AO$9:$AO20),0)+IF($F21="sell_put",$I21*$AE21*$D21,IF($F21="roll",IF($AG21="put",($I21-IF($AF21&gt;0,INDEX($AH$9:$AH$20,$AF21),0))*$AE21*$D21,0),IF(AND(OR($F21="buy_to_close",$F21="expire",$F21="roll",$F21="assignment",$F21="called_away"),$F21&lt;&gt;"roll",$AG21="put"),-IF($AF21&gt;0,INDEX($AH$9:$AH$20,$AF21),0)*$AE21*$D21,0))))</f>
        <v>4000</v>
      </c>
      <c r="AP21" s="51">
        <f>IF($A21="","",IFERROR(LOOKUP(2,1/($B$9:$B$20=$B21),$AP$9:$AP20),0)+IF($F21="sell_put",$AE21*$D21,IF(AND(OR($F21="buy_to_close",$F21="expire",$F21="roll",$F21="assignment",$F21="called_away"),$F21&lt;&gt;"roll",$AG21="put"),-$AE21*$D21,0)))</f>
        <v>200</v>
      </c>
      <c r="AQ21" s="51">
        <f>IF($A21="","",IFERROR(LOOKUP(2,1/($B$9:$B$20=$B21),$AQ$9:$AQ20),0)+IF(OR($F21="sell_put",$F21="sell_call"),$AE21,0)-IF(AND(OR($F21="buy_to_close",$F21="expire",$F21="roll",$F21="assignment",$F21="called_away"),$F21&lt;&gt;"roll"),$AE21,0))</f>
        <v>2</v>
      </c>
      <c r="AR21" t="b">
        <f t="shared" si="13"/>
        <v>0</v>
      </c>
      <c r="AS21" s="50">
        <f t="shared" si="14"/>
        <v>4000</v>
      </c>
      <c r="AT21" s="50">
        <f>IF($A21="","",MAX(IF($T21=IFERROR(LOOKUP(2,1/($B$9:$B$20=$B21),$T$9:$T20),0),IFERROR(LOOKUP(2,1/($B$9:$B$20=$B21),$AT$9:$AT20),0),0),$AS21))</f>
        <v>4000</v>
      </c>
      <c r="AU21" t="str">
        <f t="shared" si="15"/>
        <v>sample-abc¦1</v>
      </c>
      <c r="AV21" s="51">
        <f>IF($AU21="",0,IF(AND(IFERROR(LOOKUP(2,1/($B$9:$B$20=$B21),$AR$9:$AR20),1),NOT(AND(OR($F21="dividend",$F21="fee"),IFERROR(LOOKUP(2,1/($B$9:$B$20=$B21),$T$9:$T20),0)&gt;0))),ROW(),0))</f>
        <v>21</v>
      </c>
      <c r="AW21">
        <f>IF($A21="",0,IF($AV21&gt;0,MAX($AW$9:$AW$20)+1,MAX($AW$9:$AW$20)))</f>
        <v>5</v>
      </c>
      <c r="AX21">
        <f>IF($AU21="",0,IF(AND($AR21,OR(NOT(IFERROR(LOOKUP(2,1/($B$9:$B$20=$B21),$AR$9:$AR20),1)),IFERROR(LOOKUP(2,1/($B$9:$B$20=$B21),$T$9:$T20),0)=0)),ROW(),0))</f>
        <v>0</v>
      </c>
      <c r="AY21" t="str">
        <f t="shared" si="16"/>
        <v>10:sample-abcE0013</v>
      </c>
    </row>
    <row r="22" spans="1:51" ht="15" x14ac:dyDescent="0.25">
      <c r="A22" s="52" t="str">
        <f>IF(Trades!$A22="","",Trades!O22)</f>
        <v>E0014</v>
      </c>
      <c r="B22" s="52" t="str">
        <f>IF(Trades!$A22="","",Trades!B22)</f>
        <v>demo-direct</v>
      </c>
      <c r="C22" s="52" t="str">
        <f>IF(Trades!$A22="","",Trades!C22)</f>
        <v>DEF</v>
      </c>
      <c r="D22" s="53">
        <f>IF(Trades!$A22="","",IF(Trades!$L22&gt;0,Trades!$L22,Trades!$C$6))</f>
        <v>100</v>
      </c>
      <c r="E22" s="54">
        <f>IF(Trades!$A22="","",Trades!A22)</f>
        <v>46268</v>
      </c>
      <c r="F22" s="52" t="str">
        <f>IF(Trades!$A22="","",IFERROR(INDEX(Trades!$V$2:$V$14,MATCH(Trades!$E22,Trades!$U$2:$U$14,0)),""))</f>
        <v>buy_to_close</v>
      </c>
      <c r="G22" s="52" t="str">
        <f>IF(Trades!$A22="","",Trades!N22)</f>
        <v>E0007</v>
      </c>
      <c r="H22" s="53">
        <f>IF(Trades!$A22="","",Trades!F22)</f>
        <v>1</v>
      </c>
      <c r="I22" s="55">
        <f>IF(Trades!$A22="","",Trades!G22)</f>
        <v>0</v>
      </c>
      <c r="J22" s="55">
        <f>IF(Trades!$A22="","",Trades!I22)</f>
        <v>0.1</v>
      </c>
      <c r="K22" s="55">
        <f>IF(Trades!$A22="","",Trades!Q22)</f>
        <v>0</v>
      </c>
      <c r="L22" s="53">
        <f>IF(Trades!$A22="","",Trades!F22)</f>
        <v>1</v>
      </c>
      <c r="M22" s="55">
        <f>IF(Trades!$A22="","",Trades!M22)</f>
        <v>0</v>
      </c>
      <c r="N22" s="55">
        <f>IF(Trades!$A22="","",Trades!R22)</f>
        <v>0</v>
      </c>
      <c r="O22" s="55">
        <f>IF(Trades!$A22="","",Trades!J22)</f>
        <v>0.65</v>
      </c>
      <c r="P22" s="54">
        <f>IF(Trades!$A22="","",Trades!H22)</f>
        <v>0</v>
      </c>
      <c r="Q22" s="52" t="str">
        <f>IF(Trades!$A22="","",Trades!P22)</f>
        <v>Sample Data</v>
      </c>
      <c r="R22" s="56">
        <f t="shared" si="0"/>
        <v>-10</v>
      </c>
      <c r="S22" s="56">
        <f t="shared" si="1"/>
        <v>-10.65</v>
      </c>
      <c r="T22" s="57">
        <f>IF(OR($A22="",$B22=""),"",IF(AND(IFERROR(LOOKUP(2,1/($B$9:$B$21=$B22),$AR$9:$AR21),1),NOT(AND(OR($F22="dividend",$F22="fee"),IFERROR(LOOKUP(2,1/($B$9:$B$21=$B22),$T$9:$T21),0)&gt;0))),IFERROR(LOOKUP(2,1/($B$9:$B$21=$B22),$T$9:$T21),0)+1,IFERROR(LOOKUP(2,1/($B$9:$B$21=$B22),$T$9:$T21),0)))</f>
        <v>1</v>
      </c>
      <c r="U22" s="58" t="str">
        <f t="shared" si="2"/>
        <v>Shares held</v>
      </c>
      <c r="V22" s="58" t="str">
        <f>IF($A22="","",IF(OR($B22="",$C22="",$D22="",$E22="",$F22=""),"Missing required field",IF(COUNTIFS($A$9:$A22,$A22,$B$9:$B22,$B22)&gt;1,"Duplicate event ID",IF(AND($E22&lt;&gt;IFERROR(LOOKUP(2,1/($B$9:$B$21=$B22),$E$9:$E21),0),IFERROR(LOOKUP(2,1/($B$9:$B$21=$B22),$E$9:$E21),0)&gt;$E22),"Date out of order",IF(AND(OR($F22="buy_to_close",$F22="expire",$F22="roll",$F22="assignment",$F22="called_away"),$AF22=0),"Unknown lot",IF(OR(AND($F22="assignment",$AF22&gt;0,IF($AF22&gt;0,INDEX($AG$9:$AG$21,$AF22),"")&lt;&gt;"put"),AND($F22="called_away",$AF22&gt;0,IF($AF22&gt;0,INDEX($AG$9:$AG$21,$AF22),"")&lt;&gt;"call")),"Wrong option leg",IF(OR(AND(OR($F22="sell_put",$F22="sell_call"),OR($H22&lt;=0,$I22&lt;=0,$J22&lt;0)),AND(OR($F22="buy_to_close",$F22="expire",$F22="assignment",$F22="called_away"),OR($H22&lt;=0,$J22&lt;0)),AND($F22="roll",OR($H22&lt;=0,$I22&lt;=0,$J22&lt;0,$K22&lt;0)),AND(OR($F22="buy_shares",$F22="sell_shares"),OR($L22&lt;=0,$M22&lt;0)),AND(OR($F22="dividend",$F22="fee"),$N22&lt;0)),"Invalid value",IF(AND(OR($F22="sell_shares",$F22="called_away"),$AL22&lt;IF($F22="called_away",$AE22*$D22,$L22)),"Insufficient shares (capped)",IF(AND(OR($F22="buy_to_close",$F22="expire",$F22="roll",$F22="assignment",$F22="called_away"),$AF22&gt;0,$H22&gt;IF($AF22&gt;0,MAX(0,INDEX($AI$9:$AI$21,$AF22)-SUMIFS($AE$9:$AE$21,$G$9:$G$21,$G22,$B$9:$B$21,$B22)),0)),"Close quantity capped","OK")))))))))</f>
        <v>OK</v>
      </c>
      <c r="W22" s="59">
        <f t="shared" si="3"/>
        <v>100</v>
      </c>
      <c r="X22" s="60">
        <f t="shared" si="4"/>
        <v>2500</v>
      </c>
      <c r="Y22" s="50">
        <f t="shared" si="5"/>
        <v>0</v>
      </c>
      <c r="Z22" s="50">
        <f t="shared" si="6"/>
        <v>10</v>
      </c>
      <c r="AA22" s="50">
        <f t="shared" si="7"/>
        <v>0</v>
      </c>
      <c r="AB22" s="50">
        <f t="shared" si="8"/>
        <v>0.65</v>
      </c>
      <c r="AC22" s="50">
        <f>IF($A22="","",IF($F22="assignment",IF($AF22&gt;0,INDEX($AH$9:$AH$21,$AF22),0)*$AE22*$D22,IF($F22="buy_shares",$M22*$AL22,0)))</f>
        <v>0</v>
      </c>
      <c r="AD22" s="50">
        <f>IF($A22="","",IF($F22="called_away",IF($AF22&gt;0,INDEX($AH$9:$AH$21,$AF22),0)*$AL22,IF($F22="sell_shares",$M22*$AL22,0)))</f>
        <v>0</v>
      </c>
      <c r="AE22" s="51">
        <f>IF($A22="","",IF(OR($F22="sell_put",$F22="sell_call"),IF(AND($H22&gt;0,$I22&gt;0,$J22&gt;=0),$H22,0),IF(OR($F22="buy_to_close",$F22="expire",$F22="roll",$F22="assignment",$F22="called_away"),IF(AND($AF22&gt;0,$H22&gt;0,IF($F22="assignment",IF($AF22&gt;0,INDEX($AG$9:$AG$21,$AF22),"")="put",TRUE),IF($F22="called_away",IF($AF22&gt;0,INDEX($AG$9:$AG$21,$AF22),"")="call",TRUE)),MIN($H22,IF($AF22&gt;0,MAX(0,INDEX($AI$9:$AI$21,$AF22)-SUMIFS($AE$9:$AE$21,$G$9:$G$21,$G22,$B$9:$B$21,$B22)),0)),0),0)))</f>
        <v>1</v>
      </c>
      <c r="AF22">
        <f>IF($A22="","",IFERROR(MATCH(LEN($B22)&amp;":"&amp;$B22&amp;$G22,$AY$9:$AY$21,0),0))</f>
        <v>7</v>
      </c>
      <c r="AG22" t="str">
        <f>IF($A22="","",IF($F22="sell_put","put",IF($F22="sell_call","call",IF($F22="roll",IF($AF22&gt;0,IF($AF22&gt;0,INDEX($AG$9:$AG$21,$AF22),""),""),IF($AF22&gt;0,IF($AF22&gt;0,INDEX($AG$9:$AG$21,$AF22),""),"")))))</f>
        <v>call</v>
      </c>
      <c r="AH22">
        <f>IF($A22="","",IF(OR($F22="sell_put",$F22="sell_call",$F22="roll"),$I22,IF($AF22&gt;0,IF($AF22&gt;0,INDEX($AH$9:$AH$21,$AF22),0),0)))</f>
        <v>27</v>
      </c>
      <c r="AI22" s="51">
        <f t="shared" si="9"/>
        <v>0</v>
      </c>
      <c r="AJ22" s="51">
        <f>IF($A22="","",IFERROR(LOOKUP(2,1/($B$9:$B$21=$B22),$AM$9:$AM21),0))</f>
        <v>100</v>
      </c>
      <c r="AK22">
        <f>IF($A22="","",IFERROR(LOOKUP(2,1/($B$9:$B$21=$B22),$AN$9:$AN21),0))</f>
        <v>2500</v>
      </c>
      <c r="AL22" s="51">
        <f t="shared" si="10"/>
        <v>0</v>
      </c>
      <c r="AM22" s="51">
        <f t="shared" si="11"/>
        <v>100</v>
      </c>
      <c r="AN22">
        <f t="shared" si="12"/>
        <v>2500</v>
      </c>
      <c r="AO22" s="50">
        <f>IF($A22="","",IFERROR(LOOKUP(2,1/($B$9:$B$21=$B22),$AO$9:$AO21),0)+IF($F22="sell_put",$I22*$AE22*$D22,IF($F22="roll",IF($AG22="put",($I22-IF($AF22&gt;0,INDEX($AH$9:$AH$21,$AF22),0))*$AE22*$D22,0),IF(AND(OR($F22="buy_to_close",$F22="expire",$F22="roll",$F22="assignment",$F22="called_away"),$F22&lt;&gt;"roll",$AG22="put"),-IF($AF22&gt;0,INDEX($AH$9:$AH$21,$AF22),0)*$AE22*$D22,0))))</f>
        <v>0</v>
      </c>
      <c r="AP22" s="51">
        <f>IF($A22="","",IFERROR(LOOKUP(2,1/($B$9:$B$21=$B22),$AP$9:$AP21),0)+IF($F22="sell_put",$AE22*$D22,IF(AND(OR($F22="buy_to_close",$F22="expire",$F22="roll",$F22="assignment",$F22="called_away"),$F22&lt;&gt;"roll",$AG22="put"),-$AE22*$D22,0)))</f>
        <v>0</v>
      </c>
      <c r="AQ22" s="51">
        <f>IF($A22="","",IFERROR(LOOKUP(2,1/($B$9:$B$21=$B22),$AQ$9:$AQ21),0)+IF(OR($F22="sell_put",$F22="sell_call"),$AE22,0)-IF(AND(OR($F22="buy_to_close",$F22="expire",$F22="roll",$F22="assignment",$F22="called_away"),$F22&lt;&gt;"roll"),$AE22,0))</f>
        <v>0</v>
      </c>
      <c r="AR22" t="b">
        <f t="shared" si="13"/>
        <v>0</v>
      </c>
      <c r="AS22" s="50">
        <f t="shared" si="14"/>
        <v>2500</v>
      </c>
      <c r="AT22" s="50">
        <f>IF($A22="","",MAX(IF($T22=IFERROR(LOOKUP(2,1/($B$9:$B$21=$B22),$T$9:$T21),0),IFERROR(LOOKUP(2,1/($B$9:$B$21=$B22),$AT$9:$AT21),0),0),$AS22))</f>
        <v>2500</v>
      </c>
      <c r="AU22" t="str">
        <f t="shared" si="15"/>
        <v>demo-direct¦1</v>
      </c>
      <c r="AV22" s="51">
        <f>IF($AU22="",0,IF(AND(IFERROR(LOOKUP(2,1/($B$9:$B$21=$B22),$AR$9:$AR21),1),NOT(AND(OR($F22="dividend",$F22="fee"),IFERROR(LOOKUP(2,1/($B$9:$B$21=$B22),$T$9:$T21),0)&gt;0))),ROW(),0))</f>
        <v>0</v>
      </c>
      <c r="AW22">
        <f>IF($A22="",0,IF($AV22&gt;0,MAX($AW$9:$AW$21)+1,MAX($AW$9:$AW$21)))</f>
        <v>5</v>
      </c>
      <c r="AX22">
        <f>IF($AU22="",0,IF(AND($AR22,OR(NOT(IFERROR(LOOKUP(2,1/($B$9:$B$21=$B22),$AR$9:$AR21),1)),IFERROR(LOOKUP(2,1/($B$9:$B$21=$B22),$T$9:$T21),0)=0)),ROW(),0))</f>
        <v>0</v>
      </c>
      <c r="AY22" t="str">
        <f t="shared" si="16"/>
        <v>11:demo-directE0014</v>
      </c>
    </row>
    <row r="23" spans="1:51" ht="15" x14ac:dyDescent="0.25">
      <c r="A23" s="41" t="str">
        <f>IF(Trades!$A23="","",Trades!O23)</f>
        <v>E0015</v>
      </c>
      <c r="B23" s="41" t="str">
        <f>IF(Trades!$A23="","",Trades!B23)</f>
        <v>demo-direct</v>
      </c>
      <c r="C23" s="41" t="str">
        <f>IF(Trades!$A23="","",Trades!C23)</f>
        <v>DEF</v>
      </c>
      <c r="D23" s="42">
        <f>IF(Trades!$A23="","",IF(Trades!$L23&gt;0,Trades!$L23,Trades!$C$6))</f>
        <v>100</v>
      </c>
      <c r="E23" s="43">
        <f>IF(Trades!$A23="","",Trades!A23)</f>
        <v>46271</v>
      </c>
      <c r="F23" s="41" t="str">
        <f>IF(Trades!$A23="","",IFERROR(INDEX(Trades!$V$2:$V$14,MATCH(Trades!$E23,Trades!$U$2:$U$14,0)),""))</f>
        <v>sell_shares</v>
      </c>
      <c r="G23" s="41">
        <f>IF(Trades!$A23="","",Trades!N23)</f>
        <v>0</v>
      </c>
      <c r="H23" s="42">
        <f>IF(Trades!$A23="","",Trades!F23)</f>
        <v>100</v>
      </c>
      <c r="I23" s="44">
        <f>IF(Trades!$A23="","",Trades!G23)</f>
        <v>0</v>
      </c>
      <c r="J23" s="44">
        <f>IF(Trades!$A23="","",Trades!I23)</f>
        <v>0</v>
      </c>
      <c r="K23" s="44">
        <f>IF(Trades!$A23="","",Trades!Q23)</f>
        <v>0</v>
      </c>
      <c r="L23" s="42">
        <f>IF(Trades!$A23="","",Trades!F23)</f>
        <v>100</v>
      </c>
      <c r="M23" s="44">
        <f>IF(Trades!$A23="","",Trades!M23)</f>
        <v>26</v>
      </c>
      <c r="N23" s="44">
        <f>IF(Trades!$A23="","",Trades!R23)</f>
        <v>0</v>
      </c>
      <c r="O23" s="44">
        <f>IF(Trades!$A23="","",Trades!J23)</f>
        <v>1</v>
      </c>
      <c r="P23" s="43">
        <f>IF(Trades!$A23="","",Trades!H23)</f>
        <v>0</v>
      </c>
      <c r="Q23" s="41" t="str">
        <f>IF(Trades!$A23="","",Trades!P23)</f>
        <v>Sample Data</v>
      </c>
      <c r="R23" s="45">
        <f t="shared" si="0"/>
        <v>0</v>
      </c>
      <c r="S23" s="45">
        <f t="shared" si="1"/>
        <v>2599</v>
      </c>
      <c r="T23" s="46">
        <f>IF(OR($A23="",$B23=""),"",IF(AND(IFERROR(LOOKUP(2,1/($B$9:$B$22=$B23),$AR$9:$AR22),1),NOT(AND(OR($F23="dividend",$F23="fee"),IFERROR(LOOKUP(2,1/($B$9:$B$22=$B23),$T$9:$T22),0)&gt;0))),IFERROR(LOOKUP(2,1/($B$9:$B$22=$B23),$T$9:$T22),0)+1,IFERROR(LOOKUP(2,1/($B$9:$B$22=$B23),$T$9:$T22),0)))</f>
        <v>1</v>
      </c>
      <c r="U23" s="47" t="str">
        <f t="shared" si="2"/>
        <v>Flat / cycle closed</v>
      </c>
      <c r="V23" s="47" t="str">
        <f>IF($A23="","",IF(OR($B23="",$C23="",$D23="",$E23="",$F23=""),"Missing required field",IF(COUNTIFS($A$9:$A23,$A23,$B$9:$B23,$B23)&gt;1,"Duplicate event ID",IF(AND($E23&lt;&gt;IFERROR(LOOKUP(2,1/($B$9:$B$22=$B23),$E$9:$E22),0),IFERROR(LOOKUP(2,1/($B$9:$B$22=$B23),$E$9:$E22),0)&gt;$E23),"Date out of order",IF(AND(OR($F23="buy_to_close",$F23="expire",$F23="roll",$F23="assignment",$F23="called_away"),$AF23=0),"Unknown lot",IF(OR(AND($F23="assignment",$AF23&gt;0,IF($AF23&gt;0,INDEX($AG$9:$AG$22,$AF23),"")&lt;&gt;"put"),AND($F23="called_away",$AF23&gt;0,IF($AF23&gt;0,INDEX($AG$9:$AG$22,$AF23),"")&lt;&gt;"call")),"Wrong option leg",IF(OR(AND(OR($F23="sell_put",$F23="sell_call"),OR($H23&lt;=0,$I23&lt;=0,$J23&lt;0)),AND(OR($F23="buy_to_close",$F23="expire",$F23="assignment",$F23="called_away"),OR($H23&lt;=0,$J23&lt;0)),AND($F23="roll",OR($H23&lt;=0,$I23&lt;=0,$J23&lt;0,$K23&lt;0)),AND(OR($F23="buy_shares",$F23="sell_shares"),OR($L23&lt;=0,$M23&lt;0)),AND(OR($F23="dividend",$F23="fee"),$N23&lt;0)),"Invalid value",IF(AND(OR($F23="sell_shares",$F23="called_away"),$AL23&lt;IF($F23="called_away",$AE23*$D23,$L23)),"Insufficient shares (capped)",IF(AND(OR($F23="buy_to_close",$F23="expire",$F23="roll",$F23="assignment",$F23="called_away"),$AF23&gt;0,$H23&gt;IF($AF23&gt;0,MAX(0,INDEX($AI$9:$AI$22,$AF23)-SUMIFS($AE$9:$AE$22,$G$9:$G$22,$G23,$B$9:$B$22,$B23)),0)),"Close quantity capped","OK")))))))))</f>
        <v>OK</v>
      </c>
      <c r="W23" s="48">
        <f t="shared" si="3"/>
        <v>0</v>
      </c>
      <c r="X23" s="49">
        <f t="shared" si="4"/>
        <v>0</v>
      </c>
      <c r="Y23" s="50">
        <f t="shared" si="5"/>
        <v>0</v>
      </c>
      <c r="Z23" s="50">
        <f t="shared" si="6"/>
        <v>0</v>
      </c>
      <c r="AA23" s="50">
        <f t="shared" si="7"/>
        <v>0</v>
      </c>
      <c r="AB23" s="50">
        <f t="shared" si="8"/>
        <v>1</v>
      </c>
      <c r="AC23" s="50">
        <f>IF($A23="","",IF($F23="assignment",IF($AF23&gt;0,INDEX($AH$9:$AH$22,$AF23),0)*$AE23*$D23,IF($F23="buy_shares",$M23*$AL23,0)))</f>
        <v>0</v>
      </c>
      <c r="AD23" s="50">
        <f>IF($A23="","",IF($F23="called_away",IF($AF23&gt;0,INDEX($AH$9:$AH$22,$AF23),0)*$AL23,IF($F23="sell_shares",$M23*$AL23,0)))</f>
        <v>2600</v>
      </c>
      <c r="AE23" s="51">
        <f>IF($A23="","",IF(OR($F23="sell_put",$F23="sell_call"),IF(AND($H23&gt;0,$I23&gt;0,$J23&gt;=0),$H23,0),IF(OR($F23="buy_to_close",$F23="expire",$F23="roll",$F23="assignment",$F23="called_away"),IF(AND($AF23&gt;0,$H23&gt;0,IF($F23="assignment",IF($AF23&gt;0,INDEX($AG$9:$AG$22,$AF23),"")="put",TRUE),IF($F23="called_away",IF($AF23&gt;0,INDEX($AG$9:$AG$22,$AF23),"")="call",TRUE)),MIN($H23,IF($AF23&gt;0,MAX(0,INDEX($AI$9:$AI$22,$AF23)-SUMIFS($AE$9:$AE$22,$G$9:$G$22,$G23,$B$9:$B$22,$B23)),0)),0),0)))</f>
        <v>0</v>
      </c>
      <c r="AF23">
        <f>IF($A23="","",IFERROR(MATCH(LEN($B23)&amp;":"&amp;$B23&amp;$G23,$AY$9:$AY$22,0),0))</f>
        <v>0</v>
      </c>
      <c r="AG23" t="str">
        <f>IF($A23="","",IF($F23="sell_put","put",IF($F23="sell_call","call",IF($F23="roll",IF($AF23&gt;0,IF($AF23&gt;0,INDEX($AG$9:$AG$22,$AF23),""),""),IF($AF23&gt;0,IF($AF23&gt;0,INDEX($AG$9:$AG$22,$AF23),""),"")))))</f>
        <v/>
      </c>
      <c r="AH23">
        <f>IF($A23="","",IF(OR($F23="sell_put",$F23="sell_call",$F23="roll"),$I23,IF($AF23&gt;0,IF($AF23&gt;0,INDEX($AH$9:$AH$22,$AF23),0),0)))</f>
        <v>0</v>
      </c>
      <c r="AI23" s="51">
        <f t="shared" si="9"/>
        <v>0</v>
      </c>
      <c r="AJ23" s="51">
        <f>IF($A23="","",IFERROR(LOOKUP(2,1/($B$9:$B$22=$B23),$AM$9:$AM22),0))</f>
        <v>100</v>
      </c>
      <c r="AK23">
        <f>IF($A23="","",IFERROR(LOOKUP(2,1/($B$9:$B$22=$B23),$AN$9:$AN22),0))</f>
        <v>2500</v>
      </c>
      <c r="AL23" s="51">
        <f t="shared" si="10"/>
        <v>100</v>
      </c>
      <c r="AM23" s="51">
        <f t="shared" si="11"/>
        <v>0</v>
      </c>
      <c r="AN23">
        <f t="shared" si="12"/>
        <v>0</v>
      </c>
      <c r="AO23" s="50">
        <f>IF($A23="","",IFERROR(LOOKUP(2,1/($B$9:$B$22=$B23),$AO$9:$AO22),0)+IF($F23="sell_put",$I23*$AE23*$D23,IF($F23="roll",IF($AG23="put",($I23-IF($AF23&gt;0,INDEX($AH$9:$AH$22,$AF23),0))*$AE23*$D23,0),IF(AND(OR($F23="buy_to_close",$F23="expire",$F23="roll",$F23="assignment",$F23="called_away"),$F23&lt;&gt;"roll",$AG23="put"),-IF($AF23&gt;0,INDEX($AH$9:$AH$22,$AF23),0)*$AE23*$D23,0))))</f>
        <v>0</v>
      </c>
      <c r="AP23" s="51">
        <f>IF($A23="","",IFERROR(LOOKUP(2,1/($B$9:$B$22=$B23),$AP$9:$AP22),0)+IF($F23="sell_put",$AE23*$D23,IF(AND(OR($F23="buy_to_close",$F23="expire",$F23="roll",$F23="assignment",$F23="called_away"),$F23&lt;&gt;"roll",$AG23="put"),-$AE23*$D23,0)))</f>
        <v>0</v>
      </c>
      <c r="AQ23" s="51">
        <f>IF($A23="","",IFERROR(LOOKUP(2,1/($B$9:$B$22=$B23),$AQ$9:$AQ22),0)+IF(OR($F23="sell_put",$F23="sell_call"),$AE23,0)-IF(AND(OR($F23="buy_to_close",$F23="expire",$F23="roll",$F23="assignment",$F23="called_away"),$F23&lt;&gt;"roll"),$AE23,0))</f>
        <v>0</v>
      </c>
      <c r="AR23" t="b">
        <f t="shared" si="13"/>
        <v>1</v>
      </c>
      <c r="AS23" s="50">
        <f t="shared" si="14"/>
        <v>0</v>
      </c>
      <c r="AT23" s="50">
        <f>IF($A23="","",MAX(IF($T23=IFERROR(LOOKUP(2,1/($B$9:$B$22=$B23),$T$9:$T22),0),IFERROR(LOOKUP(2,1/($B$9:$B$22=$B23),$AT$9:$AT22),0),0),$AS23))</f>
        <v>2500</v>
      </c>
      <c r="AU23" t="str">
        <f t="shared" si="15"/>
        <v>demo-direct¦1</v>
      </c>
      <c r="AV23" s="51">
        <f>IF($AU23="",0,IF(AND(IFERROR(LOOKUP(2,1/($B$9:$B$22=$B23),$AR$9:$AR22),1),NOT(AND(OR($F23="dividend",$F23="fee"),IFERROR(LOOKUP(2,1/($B$9:$B$22=$B23),$T$9:$T22),0)&gt;0))),ROW(),0))</f>
        <v>0</v>
      </c>
      <c r="AW23">
        <f>IF($A23="",0,IF($AV23&gt;0,MAX($AW$9:$AW$22)+1,MAX($AW$9:$AW$22)))</f>
        <v>5</v>
      </c>
      <c r="AX23">
        <f>IF($AU23="",0,IF(AND($AR23,OR(NOT(IFERROR(LOOKUP(2,1/($B$9:$B$22=$B23),$AR$9:$AR22),1)),IFERROR(LOOKUP(2,1/($B$9:$B$22=$B23),$T$9:$T22),0)=0)),ROW(),0))</f>
        <v>23</v>
      </c>
      <c r="AY23" t="str">
        <f t="shared" si="16"/>
        <v>11:demo-directE0015</v>
      </c>
    </row>
    <row r="24" spans="1:51" ht="15" x14ac:dyDescent="0.25">
      <c r="A24" s="52" t="str">
        <f>IF(Trades!$A24="","",Trades!O24)</f>
        <v>E0016</v>
      </c>
      <c r="B24" s="52" t="str">
        <f>IF(Trades!$A24="","",Trades!B24)</f>
        <v>sample-xyz</v>
      </c>
      <c r="C24" s="52" t="str">
        <f>IF(Trades!$A24="","",Trades!C24)</f>
        <v>XYZ</v>
      </c>
      <c r="D24" s="53">
        <f>IF(Trades!$A24="","",IF(Trades!$L24&gt;0,Trades!$L24,Trades!$C$6))</f>
        <v>100</v>
      </c>
      <c r="E24" s="54">
        <f>IF(Trades!$A24="","",Trades!A24)</f>
        <v>46274</v>
      </c>
      <c r="F24" s="52" t="str">
        <f>IF(Trades!$A24="","",IFERROR(INDEX(Trades!$V$2:$V$14,MATCH(Trades!$E24,Trades!$U$2:$U$14,0)),""))</f>
        <v>called_away</v>
      </c>
      <c r="G24" s="52" t="str">
        <f>IF(Trades!$A24="","",Trades!N24)</f>
        <v>E0009</v>
      </c>
      <c r="H24" s="53">
        <f>IF(Trades!$A24="","",Trades!F24)</f>
        <v>1</v>
      </c>
      <c r="I24" s="55">
        <f>IF(Trades!$A24="","",Trades!G24)</f>
        <v>0</v>
      </c>
      <c r="J24" s="55">
        <f>IF(Trades!$A24="","",Trades!I24)</f>
        <v>0</v>
      </c>
      <c r="K24" s="55">
        <f>IF(Trades!$A24="","",Trades!Q24)</f>
        <v>0</v>
      </c>
      <c r="L24" s="53">
        <f>IF(Trades!$A24="","",Trades!F24)</f>
        <v>1</v>
      </c>
      <c r="M24" s="55">
        <f>IF(Trades!$A24="","",Trades!M24)</f>
        <v>0</v>
      </c>
      <c r="N24" s="55">
        <f>IF(Trades!$A24="","",Trades!R24)</f>
        <v>0</v>
      </c>
      <c r="O24" s="55">
        <f>IF(Trades!$A24="","",Trades!J24)</f>
        <v>0</v>
      </c>
      <c r="P24" s="54">
        <f>IF(Trades!$A24="","",Trades!H24)</f>
        <v>0</v>
      </c>
      <c r="Q24" s="52" t="str">
        <f>IF(Trades!$A24="","",Trades!P24)</f>
        <v>Sample Data</v>
      </c>
      <c r="R24" s="56">
        <f t="shared" si="0"/>
        <v>0</v>
      </c>
      <c r="S24" s="56">
        <f t="shared" si="1"/>
        <v>5100</v>
      </c>
      <c r="T24" s="57">
        <f>IF(OR($A24="",$B24=""),"",IF(AND(IFERROR(LOOKUP(2,1/($B$9:$B$23=$B24),$AR$9:$AR23),1),NOT(AND(OR($F24="dividend",$F24="fee"),IFERROR(LOOKUP(2,1/($B$9:$B$23=$B24),$T$9:$T23),0)&gt;0))),IFERROR(LOOKUP(2,1/($B$9:$B$23=$B24),$T$9:$T23),0)+1,IFERROR(LOOKUP(2,1/($B$9:$B$23=$B24),$T$9:$T23),0)))</f>
        <v>1</v>
      </c>
      <c r="U24" s="58" t="str">
        <f t="shared" si="2"/>
        <v>Flat / cycle closed</v>
      </c>
      <c r="V24" s="58" t="str">
        <f>IF($A24="","",IF(OR($B24="",$C24="",$D24="",$E24="",$F24=""),"Missing required field",IF(COUNTIFS($A$9:$A24,$A24,$B$9:$B24,$B24)&gt;1,"Duplicate event ID",IF(AND($E24&lt;&gt;IFERROR(LOOKUP(2,1/($B$9:$B$23=$B24),$E$9:$E23),0),IFERROR(LOOKUP(2,1/($B$9:$B$23=$B24),$E$9:$E23),0)&gt;$E24),"Date out of order",IF(AND(OR($F24="buy_to_close",$F24="expire",$F24="roll",$F24="assignment",$F24="called_away"),$AF24=0),"Unknown lot",IF(OR(AND($F24="assignment",$AF24&gt;0,IF($AF24&gt;0,INDEX($AG$9:$AG$23,$AF24),"")&lt;&gt;"put"),AND($F24="called_away",$AF24&gt;0,IF($AF24&gt;0,INDEX($AG$9:$AG$23,$AF24),"")&lt;&gt;"call")),"Wrong option leg",IF(OR(AND(OR($F24="sell_put",$F24="sell_call"),OR($H24&lt;=0,$I24&lt;=0,$J24&lt;0)),AND(OR($F24="buy_to_close",$F24="expire",$F24="assignment",$F24="called_away"),OR($H24&lt;=0,$J24&lt;0)),AND($F24="roll",OR($H24&lt;=0,$I24&lt;=0,$J24&lt;0,$K24&lt;0)),AND(OR($F24="buy_shares",$F24="sell_shares"),OR($L24&lt;=0,$M24&lt;0)),AND(OR($F24="dividend",$F24="fee"),$N24&lt;0)),"Invalid value",IF(AND(OR($F24="sell_shares",$F24="called_away"),$AL24&lt;IF($F24="called_away",$AE24*$D24,$L24)),"Insufficient shares (capped)",IF(AND(OR($F24="buy_to_close",$F24="expire",$F24="roll",$F24="assignment",$F24="called_away"),$AF24&gt;0,$H24&gt;IF($AF24&gt;0,MAX(0,INDEX($AI$9:$AI$23,$AF24)-SUMIFS($AE$9:$AE$23,$G$9:$G$23,$G24,$B$9:$B$23,$B24)),0)),"Close quantity capped","OK")))))))))</f>
        <v>OK</v>
      </c>
      <c r="W24" s="59">
        <f t="shared" si="3"/>
        <v>0</v>
      </c>
      <c r="X24" s="60">
        <f t="shared" si="4"/>
        <v>0</v>
      </c>
      <c r="Y24" s="50">
        <f t="shared" si="5"/>
        <v>0</v>
      </c>
      <c r="Z24" s="50">
        <f t="shared" si="6"/>
        <v>0</v>
      </c>
      <c r="AA24" s="50">
        <f t="shared" si="7"/>
        <v>0</v>
      </c>
      <c r="AB24" s="50">
        <f t="shared" si="8"/>
        <v>0</v>
      </c>
      <c r="AC24" s="50">
        <f>IF($A24="","",IF($F24="assignment",IF($AF24&gt;0,INDEX($AH$9:$AH$23,$AF24),0)*$AE24*$D24,IF($F24="buy_shares",$M24*$AL24,0)))</f>
        <v>0</v>
      </c>
      <c r="AD24" s="50">
        <f>IF($A24="","",IF($F24="called_away",IF($AF24&gt;0,INDEX($AH$9:$AH$23,$AF24),0)*$AL24,IF($F24="sell_shares",$M24*$AL24,0)))</f>
        <v>5100</v>
      </c>
      <c r="AE24" s="51">
        <f>IF($A24="","",IF(OR($F24="sell_put",$F24="sell_call"),IF(AND($H24&gt;0,$I24&gt;0,$J24&gt;=0),$H24,0),IF(OR($F24="buy_to_close",$F24="expire",$F24="roll",$F24="assignment",$F24="called_away"),IF(AND($AF24&gt;0,$H24&gt;0,IF($F24="assignment",IF($AF24&gt;0,INDEX($AG$9:$AG$23,$AF24),"")="put",TRUE),IF($F24="called_away",IF($AF24&gt;0,INDEX($AG$9:$AG$23,$AF24),"")="call",TRUE)),MIN($H24,IF($AF24&gt;0,MAX(0,INDEX($AI$9:$AI$23,$AF24)-SUMIFS($AE$9:$AE$23,$G$9:$G$23,$G24,$B$9:$B$23,$B24)),0)),0),0)))</f>
        <v>1</v>
      </c>
      <c r="AF24">
        <f>IF($A24="","",IFERROR(MATCH(LEN($B24)&amp;":"&amp;$B24&amp;$G24,$AY$9:$AY$23,0),0))</f>
        <v>9</v>
      </c>
      <c r="AG24" t="str">
        <f>IF($A24="","",IF($F24="sell_put","put",IF($F24="sell_call","call",IF($F24="roll",IF($AF24&gt;0,IF($AF24&gt;0,INDEX($AG$9:$AG$23,$AF24),""),""),IF($AF24&gt;0,IF($AF24&gt;0,INDEX($AG$9:$AG$23,$AF24),""),"")))))</f>
        <v>call</v>
      </c>
      <c r="AH24">
        <f>IF($A24="","",IF(OR($F24="sell_put",$F24="sell_call",$F24="roll"),$I24,IF($AF24&gt;0,IF($AF24&gt;0,INDEX($AH$9:$AH$23,$AF24),0),0)))</f>
        <v>51</v>
      </c>
      <c r="AI24" s="51">
        <f t="shared" si="9"/>
        <v>0</v>
      </c>
      <c r="AJ24" s="51">
        <f>IF($A24="","",IFERROR(LOOKUP(2,1/($B$9:$B$23=$B24),$AM$9:$AM23),0))</f>
        <v>100</v>
      </c>
      <c r="AK24">
        <f>IF($A24="","",IFERROR(LOOKUP(2,1/($B$9:$B$23=$B24),$AN$9:$AN23),0))</f>
        <v>5000</v>
      </c>
      <c r="AL24" s="51">
        <f t="shared" si="10"/>
        <v>100</v>
      </c>
      <c r="AM24" s="51">
        <f t="shared" si="11"/>
        <v>0</v>
      </c>
      <c r="AN24">
        <f t="shared" si="12"/>
        <v>0</v>
      </c>
      <c r="AO24" s="50">
        <f>IF($A24="","",IFERROR(LOOKUP(2,1/($B$9:$B$23=$B24),$AO$9:$AO23),0)+IF($F24="sell_put",$I24*$AE24*$D24,IF($F24="roll",IF($AG24="put",($I24-IF($AF24&gt;0,INDEX($AH$9:$AH$23,$AF24),0))*$AE24*$D24,0),IF(AND(OR($F24="buy_to_close",$F24="expire",$F24="roll",$F24="assignment",$F24="called_away"),$F24&lt;&gt;"roll",$AG24="put"),-IF($AF24&gt;0,INDEX($AH$9:$AH$23,$AF24),0)*$AE24*$D24,0))))</f>
        <v>0</v>
      </c>
      <c r="AP24" s="51">
        <f>IF($A24="","",IFERROR(LOOKUP(2,1/($B$9:$B$23=$B24),$AP$9:$AP23),0)+IF($F24="sell_put",$AE24*$D24,IF(AND(OR($F24="buy_to_close",$F24="expire",$F24="roll",$F24="assignment",$F24="called_away"),$F24&lt;&gt;"roll",$AG24="put"),-$AE24*$D24,0)))</f>
        <v>0</v>
      </c>
      <c r="AQ24" s="51">
        <f>IF($A24="","",IFERROR(LOOKUP(2,1/($B$9:$B$23=$B24),$AQ$9:$AQ23),0)+IF(OR($F24="sell_put",$F24="sell_call"),$AE24,0)-IF(AND(OR($F24="buy_to_close",$F24="expire",$F24="roll",$F24="assignment",$F24="called_away"),$F24&lt;&gt;"roll"),$AE24,0))</f>
        <v>0</v>
      </c>
      <c r="AR24" t="b">
        <f t="shared" si="13"/>
        <v>1</v>
      </c>
      <c r="AS24" s="50">
        <f t="shared" si="14"/>
        <v>0</v>
      </c>
      <c r="AT24" s="50">
        <f>IF($A24="","",MAX(IF($T24=IFERROR(LOOKUP(2,1/($B$9:$B$23=$B24),$T$9:$T23),0),IFERROR(LOOKUP(2,1/($B$9:$B$23=$B24),$AT$9:$AT23),0),0),$AS24))</f>
        <v>5000</v>
      </c>
      <c r="AU24" t="str">
        <f t="shared" si="15"/>
        <v>sample-xyz¦1</v>
      </c>
      <c r="AV24" s="51">
        <f>IF($AU24="",0,IF(AND(IFERROR(LOOKUP(2,1/($B$9:$B$23=$B24),$AR$9:$AR23),1),NOT(AND(OR($F24="dividend",$F24="fee"),IFERROR(LOOKUP(2,1/($B$9:$B$23=$B24),$T$9:$T23),0)&gt;0))),ROW(),0))</f>
        <v>0</v>
      </c>
      <c r="AW24">
        <f>IF($A24="",0,IF($AV24&gt;0,MAX($AW$9:$AW$23)+1,MAX($AW$9:$AW$23)))</f>
        <v>5</v>
      </c>
      <c r="AX24">
        <f>IF($AU24="",0,IF(AND($AR24,OR(NOT(IFERROR(LOOKUP(2,1/($B$9:$B$23=$B24),$AR$9:$AR23),1)),IFERROR(LOOKUP(2,1/($B$9:$B$23=$B24),$T$9:$T23),0)=0)),ROW(),0))</f>
        <v>24</v>
      </c>
      <c r="AY24" t="str">
        <f t="shared" si="16"/>
        <v>10:sample-xyzE0016</v>
      </c>
    </row>
    <row r="25" spans="1:51" ht="15" x14ac:dyDescent="0.25">
      <c r="A25" s="41" t="str">
        <f>IF(Trades!$A25="","",Trades!O25)</f>
        <v>E0017</v>
      </c>
      <c r="B25" s="41" t="str">
        <f>IF(Trades!$A25="","",Trades!B25)</f>
        <v>demo-held</v>
      </c>
      <c r="C25" s="41" t="str">
        <f>IF(Trades!$A25="","",Trades!C25)</f>
        <v>GHI</v>
      </c>
      <c r="D25" s="42">
        <f>IF(Trades!$A25="","",IF(Trades!$L25&gt;0,Trades!$L25,Trades!$C$6))</f>
        <v>100</v>
      </c>
      <c r="E25" s="43">
        <f>IF(Trades!$A25="","",Trades!A25)</f>
        <v>46283</v>
      </c>
      <c r="F25" s="41" t="str">
        <f>IF(Trades!$A25="","",IFERROR(INDEX(Trades!$V$2:$V$14,MATCH(Trades!$E25,Trades!$U$2:$U$14,0)),""))</f>
        <v>sell_put</v>
      </c>
      <c r="G25" s="41">
        <f>IF(Trades!$A25="","",Trades!N25)</f>
        <v>0</v>
      </c>
      <c r="H25" s="42">
        <f>IF(Trades!$A25="","",Trades!F25)</f>
        <v>1</v>
      </c>
      <c r="I25" s="44">
        <f>IF(Trades!$A25="","",Trades!G25)</f>
        <v>30</v>
      </c>
      <c r="J25" s="44">
        <f>IF(Trades!$A25="","",Trades!I25)</f>
        <v>0.8</v>
      </c>
      <c r="K25" s="44">
        <f>IF(Trades!$A25="","",Trades!Q25)</f>
        <v>0</v>
      </c>
      <c r="L25" s="42">
        <f>IF(Trades!$A25="","",Trades!F25)</f>
        <v>1</v>
      </c>
      <c r="M25" s="44">
        <f>IF(Trades!$A25="","",Trades!M25)</f>
        <v>0</v>
      </c>
      <c r="N25" s="44">
        <f>IF(Trades!$A25="","",Trades!R25)</f>
        <v>0</v>
      </c>
      <c r="O25" s="44">
        <f>IF(Trades!$A25="","",Trades!J25)</f>
        <v>0.65</v>
      </c>
      <c r="P25" s="43">
        <f>IF(Trades!$A25="","",Trades!H25)</f>
        <v>46303</v>
      </c>
      <c r="Q25" s="41" t="str">
        <f>IF(Trades!$A25="","",Trades!P25)</f>
        <v>Sample Data</v>
      </c>
      <c r="R25" s="45">
        <f t="shared" si="0"/>
        <v>80</v>
      </c>
      <c r="S25" s="45">
        <f t="shared" si="1"/>
        <v>79.349999999999994</v>
      </c>
      <c r="T25" s="46">
        <f>IF(OR($A25="",$B25=""),"",IF(AND(IFERROR(LOOKUP(2,1/($B$9:$B$24=$B25),$AR$9:$AR24),1),NOT(AND(OR($F25="dividend",$F25="fee"),IFERROR(LOOKUP(2,1/($B$9:$B$24=$B25),$T$9:$T24),0)&gt;0))),IFERROR(LOOKUP(2,1/($B$9:$B$24=$B25),$T$9:$T24),0)+1,IFERROR(LOOKUP(2,1/($B$9:$B$24=$B25),$T$9:$T24),0)))</f>
        <v>1</v>
      </c>
      <c r="U25" s="47" t="str">
        <f t="shared" si="2"/>
        <v>Short option open</v>
      </c>
      <c r="V25" s="47" t="str">
        <f>IF($A25="","",IF(OR($B25="",$C25="",$D25="",$E25="",$F25=""),"Missing required field",IF(COUNTIFS($A$9:$A25,$A25,$B$9:$B25,$B25)&gt;1,"Duplicate event ID",IF(AND($E25&lt;&gt;IFERROR(LOOKUP(2,1/($B$9:$B$24=$B25),$E$9:$E24),0),IFERROR(LOOKUP(2,1/($B$9:$B$24=$B25),$E$9:$E24),0)&gt;$E25),"Date out of order",IF(AND(OR($F25="buy_to_close",$F25="expire",$F25="roll",$F25="assignment",$F25="called_away"),$AF25=0),"Unknown lot",IF(OR(AND($F25="assignment",$AF25&gt;0,IF($AF25&gt;0,INDEX($AG$9:$AG$24,$AF25),"")&lt;&gt;"put"),AND($F25="called_away",$AF25&gt;0,IF($AF25&gt;0,INDEX($AG$9:$AG$24,$AF25),"")&lt;&gt;"call")),"Wrong option leg",IF(OR(AND(OR($F25="sell_put",$F25="sell_call"),OR($H25&lt;=0,$I25&lt;=0,$J25&lt;0)),AND(OR($F25="buy_to_close",$F25="expire",$F25="assignment",$F25="called_away"),OR($H25&lt;=0,$J25&lt;0)),AND($F25="roll",OR($H25&lt;=0,$I25&lt;=0,$J25&lt;0,$K25&lt;0)),AND(OR($F25="buy_shares",$F25="sell_shares"),OR($L25&lt;=0,$M25&lt;0)),AND(OR($F25="dividend",$F25="fee"),$N25&lt;0)),"Invalid value",IF(AND(OR($F25="sell_shares",$F25="called_away"),$AL25&lt;IF($F25="called_away",$AE25*$D25,$L25)),"Insufficient shares (capped)",IF(AND(OR($F25="buy_to_close",$F25="expire",$F25="roll",$F25="assignment",$F25="called_away"),$AF25&gt;0,$H25&gt;IF($AF25&gt;0,MAX(0,INDEX($AI$9:$AI$24,$AF25)-SUMIFS($AE$9:$AE$24,$G$9:$G$24,$G25,$B$9:$B$24,$B25)),0)),"Close quantity capped","OK")))))))))</f>
        <v>OK</v>
      </c>
      <c r="W25" s="48">
        <f t="shared" si="3"/>
        <v>0</v>
      </c>
      <c r="X25" s="49">
        <f t="shared" si="4"/>
        <v>3000</v>
      </c>
      <c r="Y25" s="50">
        <f t="shared" si="5"/>
        <v>80</v>
      </c>
      <c r="Z25" s="50">
        <f t="shared" si="6"/>
        <v>0</v>
      </c>
      <c r="AA25" s="50">
        <f t="shared" si="7"/>
        <v>0</v>
      </c>
      <c r="AB25" s="50">
        <f t="shared" si="8"/>
        <v>0.65</v>
      </c>
      <c r="AC25" s="50">
        <f>IF($A25="","",IF($F25="assignment",IF($AF25&gt;0,INDEX($AH$9:$AH$24,$AF25),0)*$AE25*$D25,IF($F25="buy_shares",$M25*$AL25,0)))</f>
        <v>0</v>
      </c>
      <c r="AD25" s="50">
        <f>IF($A25="","",IF($F25="called_away",IF($AF25&gt;0,INDEX($AH$9:$AH$24,$AF25),0)*$AL25,IF($F25="sell_shares",$M25*$AL25,0)))</f>
        <v>0</v>
      </c>
      <c r="AE25" s="51">
        <f>IF($A25="","",IF(OR($F25="sell_put",$F25="sell_call"),IF(AND($H25&gt;0,$I25&gt;0,$J25&gt;=0),$H25,0),IF(OR($F25="buy_to_close",$F25="expire",$F25="roll",$F25="assignment",$F25="called_away"),IF(AND($AF25&gt;0,$H25&gt;0,IF($F25="assignment",IF($AF25&gt;0,INDEX($AG$9:$AG$24,$AF25),"")="put",TRUE),IF($F25="called_away",IF($AF25&gt;0,INDEX($AG$9:$AG$24,$AF25),"")="call",TRUE)),MIN($H25,IF($AF25&gt;0,MAX(0,INDEX($AI$9:$AI$24,$AF25)-SUMIFS($AE$9:$AE$24,$G$9:$G$24,$G25,$B$9:$B$24,$B25)),0)),0),0)))</f>
        <v>1</v>
      </c>
      <c r="AF25">
        <f>IF($A25="","",IFERROR(MATCH(LEN($B25)&amp;":"&amp;$B25&amp;$G25,$AY$9:$AY$24,0),0))</f>
        <v>0</v>
      </c>
      <c r="AG25" t="str">
        <f>IF($A25="","",IF($F25="sell_put","put",IF($F25="sell_call","call",IF($F25="roll",IF($AF25&gt;0,IF($AF25&gt;0,INDEX($AG$9:$AG$24,$AF25),""),""),IF($AF25&gt;0,IF($AF25&gt;0,INDEX($AG$9:$AG$24,$AF25),""),"")))))</f>
        <v>put</v>
      </c>
      <c r="AH25">
        <f>IF($A25="","",IF(OR($F25="sell_put",$F25="sell_call",$F25="roll"),$I25,IF($AF25&gt;0,IF($AF25&gt;0,INDEX($AH$9:$AH$24,$AF25),0),0)))</f>
        <v>30</v>
      </c>
      <c r="AI25" s="51">
        <f t="shared" si="9"/>
        <v>1</v>
      </c>
      <c r="AJ25" s="51">
        <f>IF($A25="","",IFERROR(LOOKUP(2,1/($B$9:$B$24=$B25),$AM$9:$AM24),0))</f>
        <v>0</v>
      </c>
      <c r="AK25">
        <f>IF($A25="","",IFERROR(LOOKUP(2,1/($B$9:$B$24=$B25),$AN$9:$AN24),0))</f>
        <v>0</v>
      </c>
      <c r="AL25" s="51">
        <f t="shared" si="10"/>
        <v>0</v>
      </c>
      <c r="AM25" s="51">
        <f t="shared" si="11"/>
        <v>0</v>
      </c>
      <c r="AN25">
        <f t="shared" si="12"/>
        <v>0</v>
      </c>
      <c r="AO25" s="50">
        <f>IF($A25="","",IFERROR(LOOKUP(2,1/($B$9:$B$24=$B25),$AO$9:$AO24),0)+IF($F25="sell_put",$I25*$AE25*$D25,IF($F25="roll",IF($AG25="put",($I25-IF($AF25&gt;0,INDEX($AH$9:$AH$24,$AF25),0))*$AE25*$D25,0),IF(AND(OR($F25="buy_to_close",$F25="expire",$F25="roll",$F25="assignment",$F25="called_away"),$F25&lt;&gt;"roll",$AG25="put"),-IF($AF25&gt;0,INDEX($AH$9:$AH$24,$AF25),0)*$AE25*$D25,0))))</f>
        <v>3000</v>
      </c>
      <c r="AP25" s="51">
        <f>IF($A25="","",IFERROR(LOOKUP(2,1/($B$9:$B$24=$B25),$AP$9:$AP24),0)+IF($F25="sell_put",$AE25*$D25,IF(AND(OR($F25="buy_to_close",$F25="expire",$F25="roll",$F25="assignment",$F25="called_away"),$F25&lt;&gt;"roll",$AG25="put"),-$AE25*$D25,0)))</f>
        <v>100</v>
      </c>
      <c r="AQ25" s="51">
        <f>IF($A25="","",IFERROR(LOOKUP(2,1/($B$9:$B$24=$B25),$AQ$9:$AQ24),0)+IF(OR($F25="sell_put",$F25="sell_call"),$AE25,0)-IF(AND(OR($F25="buy_to_close",$F25="expire",$F25="roll",$F25="assignment",$F25="called_away"),$F25&lt;&gt;"roll"),$AE25,0))</f>
        <v>1</v>
      </c>
      <c r="AR25" t="b">
        <f t="shared" si="13"/>
        <v>0</v>
      </c>
      <c r="AS25" s="50">
        <f t="shared" si="14"/>
        <v>3000</v>
      </c>
      <c r="AT25" s="50">
        <f>IF($A25="","",MAX(IF($T25=IFERROR(LOOKUP(2,1/($B$9:$B$24=$B25),$T$9:$T24),0),IFERROR(LOOKUP(2,1/($B$9:$B$24=$B25),$AT$9:$AT24),0),0),$AS25))</f>
        <v>3000</v>
      </c>
      <c r="AU25" t="str">
        <f t="shared" si="15"/>
        <v>demo-held¦1</v>
      </c>
      <c r="AV25" s="51">
        <f>IF($AU25="",0,IF(AND(IFERROR(LOOKUP(2,1/($B$9:$B$24=$B25),$AR$9:$AR24),1),NOT(AND(OR($F25="dividend",$F25="fee"),IFERROR(LOOKUP(2,1/($B$9:$B$24=$B25),$T$9:$T24),0)&gt;0))),ROW(),0))</f>
        <v>25</v>
      </c>
      <c r="AW25">
        <f>IF($A25="",0,IF($AV25&gt;0,MAX($AW$9:$AW$24)+1,MAX($AW$9:$AW$24)))</f>
        <v>6</v>
      </c>
      <c r="AX25">
        <f>IF($AU25="",0,IF(AND($AR25,OR(NOT(IFERROR(LOOKUP(2,1/($B$9:$B$24=$B25),$AR$9:$AR24),1)),IFERROR(LOOKUP(2,1/($B$9:$B$24=$B25),$T$9:$T24),0)=0)),ROW(),0))</f>
        <v>0</v>
      </c>
      <c r="AY25" t="str">
        <f t="shared" si="16"/>
        <v>9:demo-heldE0017</v>
      </c>
    </row>
    <row r="26" spans="1:51" ht="15" x14ac:dyDescent="0.25">
      <c r="A26" s="52" t="str">
        <f>IF(Trades!$A26="","",Trades!O26)</f>
        <v>E0018</v>
      </c>
      <c r="B26" s="52" t="str">
        <f>IF(Trades!$A26="","",Trades!B26)</f>
        <v>sample-abc</v>
      </c>
      <c r="C26" s="52" t="str">
        <f>IF(Trades!$A26="","",Trades!C26)</f>
        <v>ABC</v>
      </c>
      <c r="D26" s="53">
        <f>IF(Trades!$A26="","",IF(Trades!$L26&gt;0,Trades!$L26,Trades!$C$6))</f>
        <v>100</v>
      </c>
      <c r="E26" s="54">
        <f>IF(Trades!$A26="","",Trades!A26)</f>
        <v>46287</v>
      </c>
      <c r="F26" s="52" t="str">
        <f>IF(Trades!$A26="","",IFERROR(INDEX(Trades!$V$2:$V$14,MATCH(Trades!$E26,Trades!$U$2:$U$14,0)),""))</f>
        <v>buy_to_close</v>
      </c>
      <c r="G26" s="52" t="str">
        <f>IF(Trades!$A26="","",Trades!N26)</f>
        <v>E0013</v>
      </c>
      <c r="H26" s="53">
        <f>IF(Trades!$A26="","",Trades!F26)</f>
        <v>2</v>
      </c>
      <c r="I26" s="55">
        <f>IF(Trades!$A26="","",Trades!G26)</f>
        <v>0</v>
      </c>
      <c r="J26" s="55">
        <f>IF(Trades!$A26="","",Trades!I26)</f>
        <v>0.1</v>
      </c>
      <c r="K26" s="55">
        <f>IF(Trades!$A26="","",Trades!Q26)</f>
        <v>0</v>
      </c>
      <c r="L26" s="53">
        <f>IF(Trades!$A26="","",Trades!F26)</f>
        <v>2</v>
      </c>
      <c r="M26" s="55">
        <f>IF(Trades!$A26="","",Trades!M26)</f>
        <v>0</v>
      </c>
      <c r="N26" s="55">
        <f>IF(Trades!$A26="","",Trades!R26)</f>
        <v>0</v>
      </c>
      <c r="O26" s="55">
        <f>IF(Trades!$A26="","",Trades!J26)</f>
        <v>1.3</v>
      </c>
      <c r="P26" s="54">
        <f>IF(Trades!$A26="","",Trades!H26)</f>
        <v>0</v>
      </c>
      <c r="Q26" s="52" t="str">
        <f>IF(Trades!$A26="","",Trades!P26)</f>
        <v>Sample Data</v>
      </c>
      <c r="R26" s="56">
        <f t="shared" si="0"/>
        <v>-20</v>
      </c>
      <c r="S26" s="56">
        <f t="shared" si="1"/>
        <v>-21.3</v>
      </c>
      <c r="T26" s="57">
        <f>IF(OR($A26="",$B26=""),"",IF(AND(IFERROR(LOOKUP(2,1/($B$9:$B$25=$B26),$AR$9:$AR25),1),NOT(AND(OR($F26="dividend",$F26="fee"),IFERROR(LOOKUP(2,1/($B$9:$B$25=$B26),$T$9:$T25),0)&gt;0))),IFERROR(LOOKUP(2,1/($B$9:$B$25=$B26),$T$9:$T25),0)+1,IFERROR(LOOKUP(2,1/($B$9:$B$25=$B26),$T$9:$T25),0)))</f>
        <v>1</v>
      </c>
      <c r="U26" s="58" t="str">
        <f t="shared" si="2"/>
        <v>Flat / cycle closed</v>
      </c>
      <c r="V26" s="58" t="str">
        <f>IF($A26="","",IF(OR($B26="",$C26="",$D26="",$E26="",$F26=""),"Missing required field",IF(COUNTIFS($A$9:$A26,$A26,$B$9:$B26,$B26)&gt;1,"Duplicate event ID",IF(AND($E26&lt;&gt;IFERROR(LOOKUP(2,1/($B$9:$B$25=$B26),$E$9:$E25),0),IFERROR(LOOKUP(2,1/($B$9:$B$25=$B26),$E$9:$E25),0)&gt;$E26),"Date out of order",IF(AND(OR($F26="buy_to_close",$F26="expire",$F26="roll",$F26="assignment",$F26="called_away"),$AF26=0),"Unknown lot",IF(OR(AND($F26="assignment",$AF26&gt;0,IF($AF26&gt;0,INDEX($AG$9:$AG$25,$AF26),"")&lt;&gt;"put"),AND($F26="called_away",$AF26&gt;0,IF($AF26&gt;0,INDEX($AG$9:$AG$25,$AF26),"")&lt;&gt;"call")),"Wrong option leg",IF(OR(AND(OR($F26="sell_put",$F26="sell_call"),OR($H26&lt;=0,$I26&lt;=0,$J26&lt;0)),AND(OR($F26="buy_to_close",$F26="expire",$F26="assignment",$F26="called_away"),OR($H26&lt;=0,$J26&lt;0)),AND($F26="roll",OR($H26&lt;=0,$I26&lt;=0,$J26&lt;0,$K26&lt;0)),AND(OR($F26="buy_shares",$F26="sell_shares"),OR($L26&lt;=0,$M26&lt;0)),AND(OR($F26="dividend",$F26="fee"),$N26&lt;0)),"Invalid value",IF(AND(OR($F26="sell_shares",$F26="called_away"),$AL26&lt;IF($F26="called_away",$AE26*$D26,$L26)),"Insufficient shares (capped)",IF(AND(OR($F26="buy_to_close",$F26="expire",$F26="roll",$F26="assignment",$F26="called_away"),$AF26&gt;0,$H26&gt;IF($AF26&gt;0,MAX(0,INDEX($AI$9:$AI$25,$AF26)-SUMIFS($AE$9:$AE$25,$G$9:$G$25,$G26,$B$9:$B$25,$B26)),0)),"Close quantity capped","OK")))))))))</f>
        <v>OK</v>
      </c>
      <c r="W26" s="59">
        <f t="shared" si="3"/>
        <v>0</v>
      </c>
      <c r="X26" s="60">
        <f t="shared" si="4"/>
        <v>0</v>
      </c>
      <c r="Y26" s="50">
        <f t="shared" si="5"/>
        <v>0</v>
      </c>
      <c r="Z26" s="50">
        <f t="shared" si="6"/>
        <v>20</v>
      </c>
      <c r="AA26" s="50">
        <f t="shared" si="7"/>
        <v>0</v>
      </c>
      <c r="AB26" s="50">
        <f t="shared" si="8"/>
        <v>1.3</v>
      </c>
      <c r="AC26" s="50">
        <f>IF($A26="","",IF($F26="assignment",IF($AF26&gt;0,INDEX($AH$9:$AH$25,$AF26),0)*$AE26*$D26,IF($F26="buy_shares",$M26*$AL26,0)))</f>
        <v>0</v>
      </c>
      <c r="AD26" s="50">
        <f>IF($A26="","",IF($F26="called_away",IF($AF26&gt;0,INDEX($AH$9:$AH$25,$AF26),0)*$AL26,IF($F26="sell_shares",$M26*$AL26,0)))</f>
        <v>0</v>
      </c>
      <c r="AE26" s="51">
        <f>IF($A26="","",IF(OR($F26="sell_put",$F26="sell_call"),IF(AND($H26&gt;0,$I26&gt;0,$J26&gt;=0),$H26,0),IF(OR($F26="buy_to_close",$F26="expire",$F26="roll",$F26="assignment",$F26="called_away"),IF(AND($AF26&gt;0,$H26&gt;0,IF($F26="assignment",IF($AF26&gt;0,INDEX($AG$9:$AG$25,$AF26),"")="put",TRUE),IF($F26="called_away",IF($AF26&gt;0,INDEX($AG$9:$AG$25,$AF26),"")="call",TRUE)),MIN($H26,IF($AF26&gt;0,MAX(0,INDEX($AI$9:$AI$25,$AF26)-SUMIFS($AE$9:$AE$25,$G$9:$G$25,$G26,$B$9:$B$25,$B26)),0)),0),0)))</f>
        <v>2</v>
      </c>
      <c r="AF26">
        <f>IF($A26="","",IFERROR(MATCH(LEN($B26)&amp;":"&amp;$B26&amp;$G26,$AY$9:$AY$25,0),0))</f>
        <v>13</v>
      </c>
      <c r="AG26" t="str">
        <f>IF($A26="","",IF($F26="sell_put","put",IF($F26="sell_call","call",IF($F26="roll",IF($AF26&gt;0,IF($AF26&gt;0,INDEX($AG$9:$AG$25,$AF26),""),""),IF($AF26&gt;0,IF($AF26&gt;0,INDEX($AG$9:$AG$25,$AF26),""),"")))))</f>
        <v>put</v>
      </c>
      <c r="AH26">
        <f>IF($A26="","",IF(OR($F26="sell_put",$F26="sell_call",$F26="roll"),$I26,IF($AF26&gt;0,IF($AF26&gt;0,INDEX($AH$9:$AH$25,$AF26),0),0)))</f>
        <v>20</v>
      </c>
      <c r="AI26" s="51">
        <f t="shared" si="9"/>
        <v>0</v>
      </c>
      <c r="AJ26" s="51">
        <f>IF($A26="","",IFERROR(LOOKUP(2,1/($B$9:$B$25=$B26),$AM$9:$AM25),0))</f>
        <v>0</v>
      </c>
      <c r="AK26">
        <f>IF($A26="","",IFERROR(LOOKUP(2,1/($B$9:$B$25=$B26),$AN$9:$AN25),0))</f>
        <v>0</v>
      </c>
      <c r="AL26" s="51">
        <f t="shared" si="10"/>
        <v>0</v>
      </c>
      <c r="AM26" s="51">
        <f t="shared" si="11"/>
        <v>0</v>
      </c>
      <c r="AN26">
        <f t="shared" si="12"/>
        <v>0</v>
      </c>
      <c r="AO26" s="50">
        <f>IF($A26="","",IFERROR(LOOKUP(2,1/($B$9:$B$25=$B26),$AO$9:$AO25),0)+IF($F26="sell_put",$I26*$AE26*$D26,IF($F26="roll",IF($AG26="put",($I26-IF($AF26&gt;0,INDEX($AH$9:$AH$25,$AF26),0))*$AE26*$D26,0),IF(AND(OR($F26="buy_to_close",$F26="expire",$F26="roll",$F26="assignment",$F26="called_away"),$F26&lt;&gt;"roll",$AG26="put"),-IF($AF26&gt;0,INDEX($AH$9:$AH$25,$AF26),0)*$AE26*$D26,0))))</f>
        <v>0</v>
      </c>
      <c r="AP26" s="51">
        <f>IF($A26="","",IFERROR(LOOKUP(2,1/($B$9:$B$25=$B26),$AP$9:$AP25),0)+IF($F26="sell_put",$AE26*$D26,IF(AND(OR($F26="buy_to_close",$F26="expire",$F26="roll",$F26="assignment",$F26="called_away"),$F26&lt;&gt;"roll",$AG26="put"),-$AE26*$D26,0)))</f>
        <v>0</v>
      </c>
      <c r="AQ26" s="51">
        <f>IF($A26="","",IFERROR(LOOKUP(2,1/($B$9:$B$25=$B26),$AQ$9:$AQ25),0)+IF(OR($F26="sell_put",$F26="sell_call"),$AE26,0)-IF(AND(OR($F26="buy_to_close",$F26="expire",$F26="roll",$F26="assignment",$F26="called_away"),$F26&lt;&gt;"roll"),$AE26,0))</f>
        <v>0</v>
      </c>
      <c r="AR26" t="b">
        <f t="shared" si="13"/>
        <v>1</v>
      </c>
      <c r="AS26" s="50">
        <f t="shared" si="14"/>
        <v>0</v>
      </c>
      <c r="AT26" s="50">
        <f>IF($A26="","",MAX(IF($T26=IFERROR(LOOKUP(2,1/($B$9:$B$25=$B26),$T$9:$T25),0),IFERROR(LOOKUP(2,1/($B$9:$B$25=$B26),$AT$9:$AT25),0),0),$AS26))</f>
        <v>4000</v>
      </c>
      <c r="AU26" t="str">
        <f t="shared" si="15"/>
        <v>sample-abc¦1</v>
      </c>
      <c r="AV26" s="51">
        <f>IF($AU26="",0,IF(AND(IFERROR(LOOKUP(2,1/($B$9:$B$25=$B26),$AR$9:$AR25),1),NOT(AND(OR($F26="dividend",$F26="fee"),IFERROR(LOOKUP(2,1/($B$9:$B$25=$B26),$T$9:$T25),0)&gt;0))),ROW(),0))</f>
        <v>0</v>
      </c>
      <c r="AW26">
        <f>IF($A26="",0,IF($AV26&gt;0,MAX($AW$9:$AW$25)+1,MAX($AW$9:$AW$25)))</f>
        <v>6</v>
      </c>
      <c r="AX26">
        <f>IF($AU26="",0,IF(AND($AR26,OR(NOT(IFERROR(LOOKUP(2,1/($B$9:$B$25=$B26),$AR$9:$AR25),1)),IFERROR(LOOKUP(2,1/($B$9:$B$25=$B26),$T$9:$T25),0)=0)),ROW(),0))</f>
        <v>26</v>
      </c>
      <c r="AY26" t="str">
        <f t="shared" si="16"/>
        <v>10:sample-abcE0018</v>
      </c>
    </row>
    <row r="27" spans="1:51" ht="15" x14ac:dyDescent="0.25">
      <c r="A27" s="41" t="str">
        <f>IF(Trades!$A27="","",Trades!O27)</f>
        <v>E0019</v>
      </c>
      <c r="B27" s="41" t="str">
        <f>IF(Trades!$A27="","",Trades!B27)</f>
        <v>sample-xyz</v>
      </c>
      <c r="C27" s="41" t="str">
        <f>IF(Trades!$A27="","",Trades!C27)</f>
        <v>XYZ</v>
      </c>
      <c r="D27" s="42">
        <f>IF(Trades!$A27="","",IF(Trades!$L27&gt;0,Trades!$L27,Trades!$C$6))</f>
        <v>100</v>
      </c>
      <c r="E27" s="43">
        <f>IF(Trades!$A27="","",Trades!A27)</f>
        <v>46288</v>
      </c>
      <c r="F27" s="41" t="str">
        <f>IF(Trades!$A27="","",IFERROR(INDEX(Trades!$V$2:$V$14,MATCH(Trades!$E27,Trades!$U$2:$U$14,0)),""))</f>
        <v>sell_put</v>
      </c>
      <c r="G27" s="41">
        <f>IF(Trades!$A27="","",Trades!N27)</f>
        <v>0</v>
      </c>
      <c r="H27" s="42">
        <f>IF(Trades!$A27="","",Trades!F27)</f>
        <v>1</v>
      </c>
      <c r="I27" s="44">
        <f>IF(Trades!$A27="","",Trades!G27)</f>
        <v>49</v>
      </c>
      <c r="J27" s="44">
        <f>IF(Trades!$A27="","",Trades!I27)</f>
        <v>1.1000000000000001</v>
      </c>
      <c r="K27" s="44">
        <f>IF(Trades!$A27="","",Trades!Q27)</f>
        <v>0</v>
      </c>
      <c r="L27" s="42">
        <f>IF(Trades!$A27="","",Trades!F27)</f>
        <v>1</v>
      </c>
      <c r="M27" s="44">
        <f>IF(Trades!$A27="","",Trades!M27)</f>
        <v>0</v>
      </c>
      <c r="N27" s="44">
        <f>IF(Trades!$A27="","",Trades!R27)</f>
        <v>0</v>
      </c>
      <c r="O27" s="44">
        <f>IF(Trades!$A27="","",Trades!J27)</f>
        <v>0.65</v>
      </c>
      <c r="P27" s="43">
        <f>IF(Trades!$A27="","",Trades!H27)</f>
        <v>46309</v>
      </c>
      <c r="Q27" s="41" t="str">
        <f>IF(Trades!$A27="","",Trades!P27)</f>
        <v>Sample Data</v>
      </c>
      <c r="R27" s="45">
        <f t="shared" si="0"/>
        <v>110.00000000000001</v>
      </c>
      <c r="S27" s="45">
        <f t="shared" si="1"/>
        <v>109.35000000000001</v>
      </c>
      <c r="T27" s="46">
        <f>IF(OR($A27="",$B27=""),"",IF(AND(IFERROR(LOOKUP(2,1/($B$9:$B$26=$B27),$AR$9:$AR26),1),NOT(AND(OR($F27="dividend",$F27="fee"),IFERROR(LOOKUP(2,1/($B$9:$B$26=$B27),$T$9:$T26),0)&gt;0))),IFERROR(LOOKUP(2,1/($B$9:$B$26=$B27),$T$9:$T26),0)+1,IFERROR(LOOKUP(2,1/($B$9:$B$26=$B27),$T$9:$T26),0)))</f>
        <v>2</v>
      </c>
      <c r="U27" s="47" t="str">
        <f t="shared" si="2"/>
        <v>Short option open</v>
      </c>
      <c r="V27" s="47" t="str">
        <f>IF($A27="","",IF(OR($B27="",$C27="",$D27="",$E27="",$F27=""),"Missing required field",IF(COUNTIFS($A$9:$A27,$A27,$B$9:$B27,$B27)&gt;1,"Duplicate event ID",IF(AND($E27&lt;&gt;IFERROR(LOOKUP(2,1/($B$9:$B$26=$B27),$E$9:$E26),0),IFERROR(LOOKUP(2,1/($B$9:$B$26=$B27),$E$9:$E26),0)&gt;$E27),"Date out of order",IF(AND(OR($F27="buy_to_close",$F27="expire",$F27="roll",$F27="assignment",$F27="called_away"),$AF27=0),"Unknown lot",IF(OR(AND($F27="assignment",$AF27&gt;0,IF($AF27&gt;0,INDEX($AG$9:$AG$26,$AF27),"")&lt;&gt;"put"),AND($F27="called_away",$AF27&gt;0,IF($AF27&gt;0,INDEX($AG$9:$AG$26,$AF27),"")&lt;&gt;"call")),"Wrong option leg",IF(OR(AND(OR($F27="sell_put",$F27="sell_call"),OR($H27&lt;=0,$I27&lt;=0,$J27&lt;0)),AND(OR($F27="buy_to_close",$F27="expire",$F27="assignment",$F27="called_away"),OR($H27&lt;=0,$J27&lt;0)),AND($F27="roll",OR($H27&lt;=0,$I27&lt;=0,$J27&lt;0,$K27&lt;0)),AND(OR($F27="buy_shares",$F27="sell_shares"),OR($L27&lt;=0,$M27&lt;0)),AND(OR($F27="dividend",$F27="fee"),$N27&lt;0)),"Invalid value",IF(AND(OR($F27="sell_shares",$F27="called_away"),$AL27&lt;IF($F27="called_away",$AE27*$D27,$L27)),"Insufficient shares (capped)",IF(AND(OR($F27="buy_to_close",$F27="expire",$F27="roll",$F27="assignment",$F27="called_away"),$AF27&gt;0,$H27&gt;IF($AF27&gt;0,MAX(0,INDEX($AI$9:$AI$26,$AF27)-SUMIFS($AE$9:$AE$26,$G$9:$G$26,$G27,$B$9:$B$26,$B27)),0)),"Close quantity capped","OK")))))))))</f>
        <v>OK</v>
      </c>
      <c r="W27" s="48">
        <f t="shared" si="3"/>
        <v>0</v>
      </c>
      <c r="X27" s="49">
        <f t="shared" si="4"/>
        <v>4900</v>
      </c>
      <c r="Y27" s="50">
        <f t="shared" si="5"/>
        <v>110.00000000000001</v>
      </c>
      <c r="Z27" s="50">
        <f t="shared" si="6"/>
        <v>0</v>
      </c>
      <c r="AA27" s="50">
        <f t="shared" si="7"/>
        <v>0</v>
      </c>
      <c r="AB27" s="50">
        <f t="shared" si="8"/>
        <v>0.65</v>
      </c>
      <c r="AC27" s="50">
        <f>IF($A27="","",IF($F27="assignment",IF($AF27&gt;0,INDEX($AH$9:$AH$26,$AF27),0)*$AE27*$D27,IF($F27="buy_shares",$M27*$AL27,0)))</f>
        <v>0</v>
      </c>
      <c r="AD27" s="50">
        <f>IF($A27="","",IF($F27="called_away",IF($AF27&gt;0,INDEX($AH$9:$AH$26,$AF27),0)*$AL27,IF($F27="sell_shares",$M27*$AL27,0)))</f>
        <v>0</v>
      </c>
      <c r="AE27" s="51">
        <f>IF($A27="","",IF(OR($F27="sell_put",$F27="sell_call"),IF(AND($H27&gt;0,$I27&gt;0,$J27&gt;=0),$H27,0),IF(OR($F27="buy_to_close",$F27="expire",$F27="roll",$F27="assignment",$F27="called_away"),IF(AND($AF27&gt;0,$H27&gt;0,IF($F27="assignment",IF($AF27&gt;0,INDEX($AG$9:$AG$26,$AF27),"")="put",TRUE),IF($F27="called_away",IF($AF27&gt;0,INDEX($AG$9:$AG$26,$AF27),"")="call",TRUE)),MIN($H27,IF($AF27&gt;0,MAX(0,INDEX($AI$9:$AI$26,$AF27)-SUMIFS($AE$9:$AE$26,$G$9:$G$26,$G27,$B$9:$B$26,$B27)),0)),0),0)))</f>
        <v>1</v>
      </c>
      <c r="AF27">
        <f>IF($A27="","",IFERROR(MATCH(LEN($B27)&amp;":"&amp;$B27&amp;$G27,$AY$9:$AY$26,0),0))</f>
        <v>0</v>
      </c>
      <c r="AG27" t="str">
        <f>IF($A27="","",IF($F27="sell_put","put",IF($F27="sell_call","call",IF($F27="roll",IF($AF27&gt;0,IF($AF27&gt;0,INDEX($AG$9:$AG$26,$AF27),""),""),IF($AF27&gt;0,IF($AF27&gt;0,INDEX($AG$9:$AG$26,$AF27),""),"")))))</f>
        <v>put</v>
      </c>
      <c r="AH27">
        <f>IF($A27="","",IF(OR($F27="sell_put",$F27="sell_call",$F27="roll"),$I27,IF($AF27&gt;0,IF($AF27&gt;0,INDEX($AH$9:$AH$26,$AF27),0),0)))</f>
        <v>49</v>
      </c>
      <c r="AI27" s="51">
        <f t="shared" si="9"/>
        <v>1</v>
      </c>
      <c r="AJ27" s="51">
        <f>IF($A27="","",IFERROR(LOOKUP(2,1/($B$9:$B$26=$B27),$AM$9:$AM26),0))</f>
        <v>0</v>
      </c>
      <c r="AK27">
        <f>IF($A27="","",IFERROR(LOOKUP(2,1/($B$9:$B$26=$B27),$AN$9:$AN26),0))</f>
        <v>0</v>
      </c>
      <c r="AL27" s="51">
        <f t="shared" si="10"/>
        <v>0</v>
      </c>
      <c r="AM27" s="51">
        <f t="shared" si="11"/>
        <v>0</v>
      </c>
      <c r="AN27">
        <f t="shared" si="12"/>
        <v>0</v>
      </c>
      <c r="AO27" s="50">
        <f>IF($A27="","",IFERROR(LOOKUP(2,1/($B$9:$B$26=$B27),$AO$9:$AO26),0)+IF($F27="sell_put",$I27*$AE27*$D27,IF($F27="roll",IF($AG27="put",($I27-IF($AF27&gt;0,INDEX($AH$9:$AH$26,$AF27),0))*$AE27*$D27,0),IF(AND(OR($F27="buy_to_close",$F27="expire",$F27="roll",$F27="assignment",$F27="called_away"),$F27&lt;&gt;"roll",$AG27="put"),-IF($AF27&gt;0,INDEX($AH$9:$AH$26,$AF27),0)*$AE27*$D27,0))))</f>
        <v>4900</v>
      </c>
      <c r="AP27" s="51">
        <f>IF($A27="","",IFERROR(LOOKUP(2,1/($B$9:$B$26=$B27),$AP$9:$AP26),0)+IF($F27="sell_put",$AE27*$D27,IF(AND(OR($F27="buy_to_close",$F27="expire",$F27="roll",$F27="assignment",$F27="called_away"),$F27&lt;&gt;"roll",$AG27="put"),-$AE27*$D27,0)))</f>
        <v>100</v>
      </c>
      <c r="AQ27" s="51">
        <f>IF($A27="","",IFERROR(LOOKUP(2,1/($B$9:$B$26=$B27),$AQ$9:$AQ26),0)+IF(OR($F27="sell_put",$F27="sell_call"),$AE27,0)-IF(AND(OR($F27="buy_to_close",$F27="expire",$F27="roll",$F27="assignment",$F27="called_away"),$F27&lt;&gt;"roll"),$AE27,0))</f>
        <v>1</v>
      </c>
      <c r="AR27" t="b">
        <f t="shared" si="13"/>
        <v>0</v>
      </c>
      <c r="AS27" s="50">
        <f t="shared" si="14"/>
        <v>4900</v>
      </c>
      <c r="AT27" s="50">
        <f>IF($A27="","",MAX(IF($T27=IFERROR(LOOKUP(2,1/($B$9:$B$26=$B27),$T$9:$T26),0),IFERROR(LOOKUP(2,1/($B$9:$B$26=$B27),$AT$9:$AT26),0),0),$AS27))</f>
        <v>4900</v>
      </c>
      <c r="AU27" t="str">
        <f t="shared" si="15"/>
        <v>sample-xyz¦2</v>
      </c>
      <c r="AV27" s="51">
        <f>IF($AU27="",0,IF(AND(IFERROR(LOOKUP(2,1/($B$9:$B$26=$B27),$AR$9:$AR26),1),NOT(AND(OR($F27="dividend",$F27="fee"),IFERROR(LOOKUP(2,1/($B$9:$B$26=$B27),$T$9:$T26),0)&gt;0))),ROW(),0))</f>
        <v>27</v>
      </c>
      <c r="AW27">
        <f>IF($A27="",0,IF($AV27&gt;0,MAX($AW$9:$AW$26)+1,MAX($AW$9:$AW$26)))</f>
        <v>7</v>
      </c>
      <c r="AX27">
        <f>IF($AU27="",0,IF(AND($AR27,OR(NOT(IFERROR(LOOKUP(2,1/($B$9:$B$26=$B27),$AR$9:$AR26),1)),IFERROR(LOOKUP(2,1/($B$9:$B$26=$B27),$T$9:$T26),0)=0)),ROW(),0))</f>
        <v>0</v>
      </c>
      <c r="AY27" t="str">
        <f t="shared" si="16"/>
        <v>10:sample-xyzE0019</v>
      </c>
    </row>
    <row r="28" spans="1:51" ht="15" x14ac:dyDescent="0.25">
      <c r="A28" s="52" t="str">
        <f>IF(Trades!$A28="","",Trades!O28)</f>
        <v>E0020</v>
      </c>
      <c r="B28" s="52" t="str">
        <f>IF(Trades!$A28="","",Trades!B28)</f>
        <v>demo-eur</v>
      </c>
      <c r="C28" s="52" t="str">
        <f>IF(Trades!$A28="","",Trades!C28)</f>
        <v>EURX</v>
      </c>
      <c r="D28" s="53">
        <f>IF(Trades!$A28="","",IF(Trades!$L28&gt;0,Trades!$L28,Trades!$C$6))</f>
        <v>100</v>
      </c>
      <c r="E28" s="54">
        <f>IF(Trades!$A28="","",Trades!A28)</f>
        <v>46293</v>
      </c>
      <c r="F28" s="52" t="str">
        <f>IF(Trades!$A28="","",IFERROR(INDEX(Trades!$V$2:$V$14,MATCH(Trades!$E28,Trades!$U$2:$U$14,0)),""))</f>
        <v>expire</v>
      </c>
      <c r="G28" s="52" t="str">
        <f>IF(Trades!$A28="","",Trades!N28)</f>
        <v>E0012</v>
      </c>
      <c r="H28" s="53">
        <f>IF(Trades!$A28="","",Trades!F28)</f>
        <v>1</v>
      </c>
      <c r="I28" s="55">
        <f>IF(Trades!$A28="","",Trades!G28)</f>
        <v>0</v>
      </c>
      <c r="J28" s="55">
        <f>IF(Trades!$A28="","",Trades!I28)</f>
        <v>0</v>
      </c>
      <c r="K28" s="55">
        <f>IF(Trades!$A28="","",Trades!Q28)</f>
        <v>0</v>
      </c>
      <c r="L28" s="53">
        <f>IF(Trades!$A28="","",Trades!F28)</f>
        <v>1</v>
      </c>
      <c r="M28" s="55">
        <f>IF(Trades!$A28="","",Trades!M28)</f>
        <v>0</v>
      </c>
      <c r="N28" s="55">
        <f>IF(Trades!$A28="","",Trades!R28)</f>
        <v>0</v>
      </c>
      <c r="O28" s="55">
        <f>IF(Trades!$A28="","",Trades!J28)</f>
        <v>0</v>
      </c>
      <c r="P28" s="54">
        <f>IF(Trades!$A28="","",Trades!H28)</f>
        <v>0</v>
      </c>
      <c r="Q28" s="52" t="str">
        <f>IF(Trades!$A28="","",Trades!P28)</f>
        <v>Sample Data</v>
      </c>
      <c r="R28" s="56">
        <f t="shared" si="0"/>
        <v>0</v>
      </c>
      <c r="S28" s="56">
        <f t="shared" si="1"/>
        <v>0</v>
      </c>
      <c r="T28" s="57">
        <f>IF(OR($A28="",$B28=""),"",IF(AND(IFERROR(LOOKUP(2,1/($B$9:$B$27=$B28),$AR$9:$AR27),1),NOT(AND(OR($F28="dividend",$F28="fee"),IFERROR(LOOKUP(2,1/($B$9:$B$27=$B28),$T$9:$T27),0)&gt;0))),IFERROR(LOOKUP(2,1/($B$9:$B$27=$B28),$T$9:$T27),0)+1,IFERROR(LOOKUP(2,1/($B$9:$B$27=$B28),$T$9:$T27),0)))</f>
        <v>1</v>
      </c>
      <c r="U28" s="58" t="str">
        <f t="shared" si="2"/>
        <v>Flat / cycle closed</v>
      </c>
      <c r="V28" s="58" t="str">
        <f>IF($A28="","",IF(OR($B28="",$C28="",$D28="",$E28="",$F28=""),"Missing required field",IF(COUNTIFS($A$9:$A28,$A28,$B$9:$B28,$B28)&gt;1,"Duplicate event ID",IF(AND($E28&lt;&gt;IFERROR(LOOKUP(2,1/($B$9:$B$27=$B28),$E$9:$E27),0),IFERROR(LOOKUP(2,1/($B$9:$B$27=$B28),$E$9:$E27),0)&gt;$E28),"Date out of order",IF(AND(OR($F28="buy_to_close",$F28="expire",$F28="roll",$F28="assignment",$F28="called_away"),$AF28=0),"Unknown lot",IF(OR(AND($F28="assignment",$AF28&gt;0,IF($AF28&gt;0,INDEX($AG$9:$AG$27,$AF28),"")&lt;&gt;"put"),AND($F28="called_away",$AF28&gt;0,IF($AF28&gt;0,INDEX($AG$9:$AG$27,$AF28),"")&lt;&gt;"call")),"Wrong option leg",IF(OR(AND(OR($F28="sell_put",$F28="sell_call"),OR($H28&lt;=0,$I28&lt;=0,$J28&lt;0)),AND(OR($F28="buy_to_close",$F28="expire",$F28="assignment",$F28="called_away"),OR($H28&lt;=0,$J28&lt;0)),AND($F28="roll",OR($H28&lt;=0,$I28&lt;=0,$J28&lt;0,$K28&lt;0)),AND(OR($F28="buy_shares",$F28="sell_shares"),OR($L28&lt;=0,$M28&lt;0)),AND(OR($F28="dividend",$F28="fee"),$N28&lt;0)),"Invalid value",IF(AND(OR($F28="sell_shares",$F28="called_away"),$AL28&lt;IF($F28="called_away",$AE28*$D28,$L28)),"Insufficient shares (capped)",IF(AND(OR($F28="buy_to_close",$F28="expire",$F28="roll",$F28="assignment",$F28="called_away"),$AF28&gt;0,$H28&gt;IF($AF28&gt;0,MAX(0,INDEX($AI$9:$AI$27,$AF28)-SUMIFS($AE$9:$AE$27,$G$9:$G$27,$G28,$B$9:$B$27,$B28)),0)),"Close quantity capped","OK")))))))))</f>
        <v>OK</v>
      </c>
      <c r="W28" s="59">
        <f t="shared" si="3"/>
        <v>0</v>
      </c>
      <c r="X28" s="60">
        <f t="shared" si="4"/>
        <v>0</v>
      </c>
      <c r="Y28" s="50">
        <f t="shared" si="5"/>
        <v>0</v>
      </c>
      <c r="Z28" s="50">
        <f t="shared" si="6"/>
        <v>0</v>
      </c>
      <c r="AA28" s="50">
        <f t="shared" si="7"/>
        <v>0</v>
      </c>
      <c r="AB28" s="50">
        <f t="shared" si="8"/>
        <v>0</v>
      </c>
      <c r="AC28" s="50">
        <f>IF($A28="","",IF($F28="assignment",IF($AF28&gt;0,INDEX($AH$9:$AH$27,$AF28),0)*$AE28*$D28,IF($F28="buy_shares",$M28*$AL28,0)))</f>
        <v>0</v>
      </c>
      <c r="AD28" s="50">
        <f>IF($A28="","",IF($F28="called_away",IF($AF28&gt;0,INDEX($AH$9:$AH$27,$AF28),0)*$AL28,IF($F28="sell_shares",$M28*$AL28,0)))</f>
        <v>0</v>
      </c>
      <c r="AE28" s="51">
        <f>IF($A28="","",IF(OR($F28="sell_put",$F28="sell_call"),IF(AND($H28&gt;0,$I28&gt;0,$J28&gt;=0),$H28,0),IF(OR($F28="buy_to_close",$F28="expire",$F28="roll",$F28="assignment",$F28="called_away"),IF(AND($AF28&gt;0,$H28&gt;0,IF($F28="assignment",IF($AF28&gt;0,INDEX($AG$9:$AG$27,$AF28),"")="put",TRUE),IF($F28="called_away",IF($AF28&gt;0,INDEX($AG$9:$AG$27,$AF28),"")="call",TRUE)),MIN($H28,IF($AF28&gt;0,MAX(0,INDEX($AI$9:$AI$27,$AF28)-SUMIFS($AE$9:$AE$27,$G$9:$G$27,$G28,$B$9:$B$27,$B28)),0)),0),0)))</f>
        <v>1</v>
      </c>
      <c r="AF28">
        <f>IF($A28="","",IFERROR(MATCH(LEN($B28)&amp;":"&amp;$B28&amp;$G28,$AY$9:$AY$27,0),0))</f>
        <v>12</v>
      </c>
      <c r="AG28" t="str">
        <f>IF($A28="","",IF($F28="sell_put","put",IF($F28="sell_call","call",IF($F28="roll",IF($AF28&gt;0,IF($AF28&gt;0,INDEX($AG$9:$AG$27,$AF28),""),""),IF($AF28&gt;0,IF($AF28&gt;0,INDEX($AG$9:$AG$27,$AF28),""),"")))))</f>
        <v>put</v>
      </c>
      <c r="AH28">
        <f>IF($A28="","",IF(OR($F28="sell_put",$F28="sell_call",$F28="roll"),$I28,IF($AF28&gt;0,IF($AF28&gt;0,INDEX($AH$9:$AH$27,$AF28),0),0)))</f>
        <v>35</v>
      </c>
      <c r="AI28" s="51">
        <f t="shared" si="9"/>
        <v>0</v>
      </c>
      <c r="AJ28" s="51">
        <f>IF($A28="","",IFERROR(LOOKUP(2,1/($B$9:$B$27=$B28),$AM$9:$AM27),0))</f>
        <v>0</v>
      </c>
      <c r="AK28">
        <f>IF($A28="","",IFERROR(LOOKUP(2,1/($B$9:$B$27=$B28),$AN$9:$AN27),0))</f>
        <v>0</v>
      </c>
      <c r="AL28" s="51">
        <f t="shared" si="10"/>
        <v>0</v>
      </c>
      <c r="AM28" s="51">
        <f t="shared" si="11"/>
        <v>0</v>
      </c>
      <c r="AN28">
        <f t="shared" si="12"/>
        <v>0</v>
      </c>
      <c r="AO28" s="50">
        <f>IF($A28="","",IFERROR(LOOKUP(2,1/($B$9:$B$27=$B28),$AO$9:$AO27),0)+IF($F28="sell_put",$I28*$AE28*$D28,IF($F28="roll",IF($AG28="put",($I28-IF($AF28&gt;0,INDEX($AH$9:$AH$27,$AF28),0))*$AE28*$D28,0),IF(AND(OR($F28="buy_to_close",$F28="expire",$F28="roll",$F28="assignment",$F28="called_away"),$F28&lt;&gt;"roll",$AG28="put"),-IF($AF28&gt;0,INDEX($AH$9:$AH$27,$AF28),0)*$AE28*$D28,0))))</f>
        <v>0</v>
      </c>
      <c r="AP28" s="51">
        <f>IF($A28="","",IFERROR(LOOKUP(2,1/($B$9:$B$27=$B28),$AP$9:$AP27),0)+IF($F28="sell_put",$AE28*$D28,IF(AND(OR($F28="buy_to_close",$F28="expire",$F28="roll",$F28="assignment",$F28="called_away"),$F28&lt;&gt;"roll",$AG28="put"),-$AE28*$D28,0)))</f>
        <v>0</v>
      </c>
      <c r="AQ28" s="51">
        <f>IF($A28="","",IFERROR(LOOKUP(2,1/($B$9:$B$27=$B28),$AQ$9:$AQ27),0)+IF(OR($F28="sell_put",$F28="sell_call"),$AE28,0)-IF(AND(OR($F28="buy_to_close",$F28="expire",$F28="roll",$F28="assignment",$F28="called_away"),$F28&lt;&gt;"roll"),$AE28,0))</f>
        <v>0</v>
      </c>
      <c r="AR28" t="b">
        <f t="shared" si="13"/>
        <v>1</v>
      </c>
      <c r="AS28" s="50">
        <f t="shared" si="14"/>
        <v>0</v>
      </c>
      <c r="AT28" s="50">
        <f>IF($A28="","",MAX(IF($T28=IFERROR(LOOKUP(2,1/($B$9:$B$27=$B28),$T$9:$T27),0),IFERROR(LOOKUP(2,1/($B$9:$B$27=$B28),$AT$9:$AT27),0),0),$AS28))</f>
        <v>3500</v>
      </c>
      <c r="AU28" t="str">
        <f t="shared" si="15"/>
        <v>demo-eur¦1</v>
      </c>
      <c r="AV28" s="51">
        <f>IF($AU28="",0,IF(AND(IFERROR(LOOKUP(2,1/($B$9:$B$27=$B28),$AR$9:$AR27),1),NOT(AND(OR($F28="dividend",$F28="fee"),IFERROR(LOOKUP(2,1/($B$9:$B$27=$B28),$T$9:$T27),0)&gt;0))),ROW(),0))</f>
        <v>0</v>
      </c>
      <c r="AW28">
        <f>IF($A28="",0,IF($AV28&gt;0,MAX($AW$9:$AW$27)+1,MAX($AW$9:$AW$27)))</f>
        <v>7</v>
      </c>
      <c r="AX28">
        <f>IF($AU28="",0,IF(AND($AR28,OR(NOT(IFERROR(LOOKUP(2,1/($B$9:$B$27=$B28),$AR$9:$AR27),1)),IFERROR(LOOKUP(2,1/($B$9:$B$27=$B28),$T$9:$T27),0)=0)),ROW(),0))</f>
        <v>28</v>
      </c>
      <c r="AY28" t="str">
        <f t="shared" si="16"/>
        <v>8:demo-eurE0020</v>
      </c>
    </row>
    <row r="29" spans="1:51" ht="15" x14ac:dyDescent="0.25">
      <c r="A29" s="41" t="str">
        <f>IF(Trades!$A29="","",Trades!O29)</f>
        <v>E0021</v>
      </c>
      <c r="B29" s="41" t="str">
        <f>IF(Trades!$A29="","",Trades!B29)</f>
        <v>demo-covered</v>
      </c>
      <c r="C29" s="41" t="str">
        <f>IF(Trades!$A29="","",Trades!C29)</f>
        <v>JKL</v>
      </c>
      <c r="D29" s="42">
        <f>IF(Trades!$A29="","",IF(Trades!$L29&gt;0,Trades!$L29,Trades!$C$6))</f>
        <v>100</v>
      </c>
      <c r="E29" s="43">
        <f>IF(Trades!$A29="","",Trades!A29)</f>
        <v>46295</v>
      </c>
      <c r="F29" s="41" t="str">
        <f>IF(Trades!$A29="","",IFERROR(INDEX(Trades!$V$2:$V$14,MATCH(Trades!$E29,Trades!$U$2:$U$14,0)),""))</f>
        <v>buy_shares</v>
      </c>
      <c r="G29" s="41">
        <f>IF(Trades!$A29="","",Trades!N29)</f>
        <v>0</v>
      </c>
      <c r="H29" s="42">
        <f>IF(Trades!$A29="","",Trades!F29)</f>
        <v>100</v>
      </c>
      <c r="I29" s="44">
        <f>IF(Trades!$A29="","",Trades!G29)</f>
        <v>0</v>
      </c>
      <c r="J29" s="44">
        <f>IF(Trades!$A29="","",Trades!I29)</f>
        <v>0</v>
      </c>
      <c r="K29" s="44">
        <f>IF(Trades!$A29="","",Trades!Q29)</f>
        <v>0</v>
      </c>
      <c r="L29" s="42">
        <f>IF(Trades!$A29="","",Trades!F29)</f>
        <v>100</v>
      </c>
      <c r="M29" s="44">
        <f>IF(Trades!$A29="","",Trades!M29)</f>
        <v>45</v>
      </c>
      <c r="N29" s="44">
        <f>IF(Trades!$A29="","",Trades!R29)</f>
        <v>0</v>
      </c>
      <c r="O29" s="44">
        <f>IF(Trades!$A29="","",Trades!J29)</f>
        <v>1</v>
      </c>
      <c r="P29" s="43">
        <f>IF(Trades!$A29="","",Trades!H29)</f>
        <v>0</v>
      </c>
      <c r="Q29" s="41" t="str">
        <f>IF(Trades!$A29="","",Trades!P29)</f>
        <v>Sample Data</v>
      </c>
      <c r="R29" s="45">
        <f t="shared" si="0"/>
        <v>0</v>
      </c>
      <c r="S29" s="45">
        <f t="shared" si="1"/>
        <v>-4501</v>
      </c>
      <c r="T29" s="46">
        <f>IF(OR($A29="",$B29=""),"",IF(AND(IFERROR(LOOKUP(2,1/($B$9:$B$28=$B29),$AR$9:$AR28),1),NOT(AND(OR($F29="dividend",$F29="fee"),IFERROR(LOOKUP(2,1/($B$9:$B$28=$B29),$T$9:$T28),0)&gt;0))),IFERROR(LOOKUP(2,1/($B$9:$B$28=$B29),$T$9:$T28),0)+1,IFERROR(LOOKUP(2,1/($B$9:$B$28=$B29),$T$9:$T28),0)))</f>
        <v>1</v>
      </c>
      <c r="U29" s="47" t="str">
        <f t="shared" si="2"/>
        <v>Shares held</v>
      </c>
      <c r="V29" s="47" t="str">
        <f>IF($A29="","",IF(OR($B29="",$C29="",$D29="",$E29="",$F29=""),"Missing required field",IF(COUNTIFS($A$9:$A29,$A29,$B$9:$B29,$B29)&gt;1,"Duplicate event ID",IF(AND($E29&lt;&gt;IFERROR(LOOKUP(2,1/($B$9:$B$28=$B29),$E$9:$E28),0),IFERROR(LOOKUP(2,1/($B$9:$B$28=$B29),$E$9:$E28),0)&gt;$E29),"Date out of order",IF(AND(OR($F29="buy_to_close",$F29="expire",$F29="roll",$F29="assignment",$F29="called_away"),$AF29=0),"Unknown lot",IF(OR(AND($F29="assignment",$AF29&gt;0,IF($AF29&gt;0,INDEX($AG$9:$AG$28,$AF29),"")&lt;&gt;"put"),AND($F29="called_away",$AF29&gt;0,IF($AF29&gt;0,INDEX($AG$9:$AG$28,$AF29),"")&lt;&gt;"call")),"Wrong option leg",IF(OR(AND(OR($F29="sell_put",$F29="sell_call"),OR($H29&lt;=0,$I29&lt;=0,$J29&lt;0)),AND(OR($F29="buy_to_close",$F29="expire",$F29="assignment",$F29="called_away"),OR($H29&lt;=0,$J29&lt;0)),AND($F29="roll",OR($H29&lt;=0,$I29&lt;=0,$J29&lt;0,$K29&lt;0)),AND(OR($F29="buy_shares",$F29="sell_shares"),OR($L29&lt;=0,$M29&lt;0)),AND(OR($F29="dividend",$F29="fee"),$N29&lt;0)),"Invalid value",IF(AND(OR($F29="sell_shares",$F29="called_away"),$AL29&lt;IF($F29="called_away",$AE29*$D29,$L29)),"Insufficient shares (capped)",IF(AND(OR($F29="buy_to_close",$F29="expire",$F29="roll",$F29="assignment",$F29="called_away"),$AF29&gt;0,$H29&gt;IF($AF29&gt;0,MAX(0,INDEX($AI$9:$AI$28,$AF29)-SUMIFS($AE$9:$AE$28,$G$9:$G$28,$G29,$B$9:$B$28,$B29)),0)),"Close quantity capped","OK")))))))))</f>
        <v>OK</v>
      </c>
      <c r="W29" s="48">
        <f t="shared" si="3"/>
        <v>100</v>
      </c>
      <c r="X29" s="49">
        <f t="shared" si="4"/>
        <v>4500</v>
      </c>
      <c r="Y29" s="50">
        <f t="shared" si="5"/>
        <v>0</v>
      </c>
      <c r="Z29" s="50">
        <f t="shared" si="6"/>
        <v>0</v>
      </c>
      <c r="AA29" s="50">
        <f t="shared" si="7"/>
        <v>0</v>
      </c>
      <c r="AB29" s="50">
        <f t="shared" si="8"/>
        <v>1</v>
      </c>
      <c r="AC29" s="50">
        <f>IF($A29="","",IF($F29="assignment",IF($AF29&gt;0,INDEX($AH$9:$AH$28,$AF29),0)*$AE29*$D29,IF($F29="buy_shares",$M29*$AL29,0)))</f>
        <v>4500</v>
      </c>
      <c r="AD29" s="50">
        <f>IF($A29="","",IF($F29="called_away",IF($AF29&gt;0,INDEX($AH$9:$AH$28,$AF29),0)*$AL29,IF($F29="sell_shares",$M29*$AL29,0)))</f>
        <v>0</v>
      </c>
      <c r="AE29" s="51">
        <f>IF($A29="","",IF(OR($F29="sell_put",$F29="sell_call"),IF(AND($H29&gt;0,$I29&gt;0,$J29&gt;=0),$H29,0),IF(OR($F29="buy_to_close",$F29="expire",$F29="roll",$F29="assignment",$F29="called_away"),IF(AND($AF29&gt;0,$H29&gt;0,IF($F29="assignment",IF($AF29&gt;0,INDEX($AG$9:$AG$28,$AF29),"")="put",TRUE),IF($F29="called_away",IF($AF29&gt;0,INDEX($AG$9:$AG$28,$AF29),"")="call",TRUE)),MIN($H29,IF($AF29&gt;0,MAX(0,INDEX($AI$9:$AI$28,$AF29)-SUMIFS($AE$9:$AE$28,$G$9:$G$28,$G29,$B$9:$B$28,$B29)),0)),0),0)))</f>
        <v>0</v>
      </c>
      <c r="AF29">
        <f>IF($A29="","",IFERROR(MATCH(LEN($B29)&amp;":"&amp;$B29&amp;$G29,$AY$9:$AY$28,0),0))</f>
        <v>0</v>
      </c>
      <c r="AG29" t="str">
        <f>IF($A29="","",IF($F29="sell_put","put",IF($F29="sell_call","call",IF($F29="roll",IF($AF29&gt;0,IF($AF29&gt;0,INDEX($AG$9:$AG$28,$AF29),""),""),IF($AF29&gt;0,IF($AF29&gt;0,INDEX($AG$9:$AG$28,$AF29),""),"")))))</f>
        <v/>
      </c>
      <c r="AH29">
        <f>IF($A29="","",IF(OR($F29="sell_put",$F29="sell_call",$F29="roll"),$I29,IF($AF29&gt;0,IF($AF29&gt;0,INDEX($AH$9:$AH$28,$AF29),0),0)))</f>
        <v>0</v>
      </c>
      <c r="AI29" s="51">
        <f t="shared" si="9"/>
        <v>0</v>
      </c>
      <c r="AJ29" s="51">
        <f>IF($A29="","",IFERROR(LOOKUP(2,1/($B$9:$B$28=$B29),$AM$9:$AM28),0))</f>
        <v>0</v>
      </c>
      <c r="AK29">
        <f>IF($A29="","",IFERROR(LOOKUP(2,1/($B$9:$B$28=$B29),$AN$9:$AN28),0))</f>
        <v>0</v>
      </c>
      <c r="AL29" s="51">
        <f t="shared" si="10"/>
        <v>100</v>
      </c>
      <c r="AM29" s="51">
        <f t="shared" si="11"/>
        <v>100</v>
      </c>
      <c r="AN29">
        <f t="shared" si="12"/>
        <v>4500</v>
      </c>
      <c r="AO29" s="50">
        <f>IF($A29="","",IFERROR(LOOKUP(2,1/($B$9:$B$28=$B29),$AO$9:$AO28),0)+IF($F29="sell_put",$I29*$AE29*$D29,IF($F29="roll",IF($AG29="put",($I29-IF($AF29&gt;0,INDEX($AH$9:$AH$28,$AF29),0))*$AE29*$D29,0),IF(AND(OR($F29="buy_to_close",$F29="expire",$F29="roll",$F29="assignment",$F29="called_away"),$F29&lt;&gt;"roll",$AG29="put"),-IF($AF29&gt;0,INDEX($AH$9:$AH$28,$AF29),0)*$AE29*$D29,0))))</f>
        <v>0</v>
      </c>
      <c r="AP29" s="51">
        <f>IF($A29="","",IFERROR(LOOKUP(2,1/($B$9:$B$28=$B29),$AP$9:$AP28),0)+IF($F29="sell_put",$AE29*$D29,IF(AND(OR($F29="buy_to_close",$F29="expire",$F29="roll",$F29="assignment",$F29="called_away"),$F29&lt;&gt;"roll",$AG29="put"),-$AE29*$D29,0)))</f>
        <v>0</v>
      </c>
      <c r="AQ29" s="51">
        <f>IF($A29="","",IFERROR(LOOKUP(2,1/($B$9:$B$28=$B29),$AQ$9:$AQ28),0)+IF(OR($F29="sell_put",$F29="sell_call"),$AE29,0)-IF(AND(OR($F29="buy_to_close",$F29="expire",$F29="roll",$F29="assignment",$F29="called_away"),$F29&lt;&gt;"roll"),$AE29,0))</f>
        <v>0</v>
      </c>
      <c r="AR29" t="b">
        <f t="shared" si="13"/>
        <v>0</v>
      </c>
      <c r="AS29" s="50">
        <f t="shared" si="14"/>
        <v>4500</v>
      </c>
      <c r="AT29" s="50">
        <f>IF($A29="","",MAX(IF($T29=IFERROR(LOOKUP(2,1/($B$9:$B$28=$B29),$T$9:$T28),0),IFERROR(LOOKUP(2,1/($B$9:$B$28=$B29),$AT$9:$AT28),0),0),$AS29))</f>
        <v>4500</v>
      </c>
      <c r="AU29" t="str">
        <f t="shared" si="15"/>
        <v>demo-covered¦1</v>
      </c>
      <c r="AV29" s="51">
        <f>IF($AU29="",0,IF(AND(IFERROR(LOOKUP(2,1/($B$9:$B$28=$B29),$AR$9:$AR28),1),NOT(AND(OR($F29="dividend",$F29="fee"),IFERROR(LOOKUP(2,1/($B$9:$B$28=$B29),$T$9:$T28),0)&gt;0))),ROW(),0))</f>
        <v>29</v>
      </c>
      <c r="AW29">
        <f>IF($A29="",0,IF($AV29&gt;0,MAX($AW$9:$AW$28)+1,MAX($AW$9:$AW$28)))</f>
        <v>8</v>
      </c>
      <c r="AX29">
        <f>IF($AU29="",0,IF(AND($AR29,OR(NOT(IFERROR(LOOKUP(2,1/($B$9:$B$28=$B29),$AR$9:$AR28),1)),IFERROR(LOOKUP(2,1/($B$9:$B$28=$B29),$T$9:$T28),0)=0)),ROW(),0))</f>
        <v>0</v>
      </c>
      <c r="AY29" t="str">
        <f t="shared" si="16"/>
        <v>12:demo-coveredE0021</v>
      </c>
    </row>
    <row r="30" spans="1:51" ht="15" x14ac:dyDescent="0.25">
      <c r="A30" s="52" t="str">
        <f>IF(Trades!$A30="","",Trades!O30)</f>
        <v>E0022</v>
      </c>
      <c r="B30" s="52" t="str">
        <f>IF(Trades!$A30="","",Trades!B30)</f>
        <v>demo-covered</v>
      </c>
      <c r="C30" s="52" t="str">
        <f>IF(Trades!$A30="","",Trades!C30)</f>
        <v>JKL</v>
      </c>
      <c r="D30" s="53">
        <f>IF(Trades!$A30="","",IF(Trades!$L30&gt;0,Trades!$L30,Trades!$C$6))</f>
        <v>100</v>
      </c>
      <c r="E30" s="54">
        <f>IF(Trades!$A30="","",Trades!A30)</f>
        <v>46298</v>
      </c>
      <c r="F30" s="52" t="str">
        <f>IF(Trades!$A30="","",IFERROR(INDEX(Trades!$V$2:$V$14,MATCH(Trades!$E30,Trades!$U$2:$U$14,0)),""))</f>
        <v>sell_call</v>
      </c>
      <c r="G30" s="52">
        <f>IF(Trades!$A30="","",Trades!N30)</f>
        <v>0</v>
      </c>
      <c r="H30" s="53">
        <f>IF(Trades!$A30="","",Trades!F30)</f>
        <v>1</v>
      </c>
      <c r="I30" s="55">
        <f>IF(Trades!$A30="","",Trades!G30)</f>
        <v>48</v>
      </c>
      <c r="J30" s="55">
        <f>IF(Trades!$A30="","",Trades!I30)</f>
        <v>1.1000000000000001</v>
      </c>
      <c r="K30" s="55">
        <f>IF(Trades!$A30="","",Trades!Q30)</f>
        <v>0</v>
      </c>
      <c r="L30" s="53">
        <f>IF(Trades!$A30="","",Trades!F30)</f>
        <v>1</v>
      </c>
      <c r="M30" s="55">
        <f>IF(Trades!$A30="","",Trades!M30)</f>
        <v>0</v>
      </c>
      <c r="N30" s="55">
        <f>IF(Trades!$A30="","",Trades!R30)</f>
        <v>0</v>
      </c>
      <c r="O30" s="55">
        <f>IF(Trades!$A30="","",Trades!J30)</f>
        <v>0.65</v>
      </c>
      <c r="P30" s="54">
        <f>IF(Trades!$A30="","",Trades!H30)</f>
        <v>46323</v>
      </c>
      <c r="Q30" s="52" t="str">
        <f>IF(Trades!$A30="","",Trades!P30)</f>
        <v>Sample Data</v>
      </c>
      <c r="R30" s="56">
        <f t="shared" si="0"/>
        <v>110.00000000000001</v>
      </c>
      <c r="S30" s="56">
        <f t="shared" si="1"/>
        <v>109.35000000000001</v>
      </c>
      <c r="T30" s="57">
        <f>IF(OR($A30="",$B30=""),"",IF(AND(IFERROR(LOOKUP(2,1/($B$9:$B$29=$B30),$AR$9:$AR29),1),NOT(AND(OR($F30="dividend",$F30="fee"),IFERROR(LOOKUP(2,1/($B$9:$B$29=$B30),$T$9:$T29),0)&gt;0))),IFERROR(LOOKUP(2,1/($B$9:$B$29=$B30),$T$9:$T29),0)+1,IFERROR(LOOKUP(2,1/($B$9:$B$29=$B30),$T$9:$T29),0)))</f>
        <v>1</v>
      </c>
      <c r="U30" s="58" t="str">
        <f t="shared" si="2"/>
        <v>Shares held</v>
      </c>
      <c r="V30" s="58" t="str">
        <f>IF($A30="","",IF(OR($B30="",$C30="",$D30="",$E30="",$F30=""),"Missing required field",IF(COUNTIFS($A$9:$A30,$A30,$B$9:$B30,$B30)&gt;1,"Duplicate event ID",IF(AND($E30&lt;&gt;IFERROR(LOOKUP(2,1/($B$9:$B$29=$B30),$E$9:$E29),0),IFERROR(LOOKUP(2,1/($B$9:$B$29=$B30),$E$9:$E29),0)&gt;$E30),"Date out of order",IF(AND(OR($F30="buy_to_close",$F30="expire",$F30="roll",$F30="assignment",$F30="called_away"),$AF30=0),"Unknown lot",IF(OR(AND($F30="assignment",$AF30&gt;0,IF($AF30&gt;0,INDEX($AG$9:$AG$29,$AF30),"")&lt;&gt;"put"),AND($F30="called_away",$AF30&gt;0,IF($AF30&gt;0,INDEX($AG$9:$AG$29,$AF30),"")&lt;&gt;"call")),"Wrong option leg",IF(OR(AND(OR($F30="sell_put",$F30="sell_call"),OR($H30&lt;=0,$I30&lt;=0,$J30&lt;0)),AND(OR($F30="buy_to_close",$F30="expire",$F30="assignment",$F30="called_away"),OR($H30&lt;=0,$J30&lt;0)),AND($F30="roll",OR($H30&lt;=0,$I30&lt;=0,$J30&lt;0,$K30&lt;0)),AND(OR($F30="buy_shares",$F30="sell_shares"),OR($L30&lt;=0,$M30&lt;0)),AND(OR($F30="dividend",$F30="fee"),$N30&lt;0)),"Invalid value",IF(AND(OR($F30="sell_shares",$F30="called_away"),$AL30&lt;IF($F30="called_away",$AE30*$D30,$L30)),"Insufficient shares (capped)",IF(AND(OR($F30="buy_to_close",$F30="expire",$F30="roll",$F30="assignment",$F30="called_away"),$AF30&gt;0,$H30&gt;IF($AF30&gt;0,MAX(0,INDEX($AI$9:$AI$29,$AF30)-SUMIFS($AE$9:$AE$29,$G$9:$G$29,$G30,$B$9:$B$29,$B30)),0)),"Close quantity capped","OK")))))))))</f>
        <v>OK</v>
      </c>
      <c r="W30" s="59">
        <f t="shared" si="3"/>
        <v>100</v>
      </c>
      <c r="X30" s="60">
        <f t="shared" si="4"/>
        <v>4500</v>
      </c>
      <c r="Y30" s="50">
        <f t="shared" si="5"/>
        <v>110.00000000000001</v>
      </c>
      <c r="Z30" s="50">
        <f t="shared" si="6"/>
        <v>0</v>
      </c>
      <c r="AA30" s="50">
        <f t="shared" si="7"/>
        <v>0</v>
      </c>
      <c r="AB30" s="50">
        <f t="shared" si="8"/>
        <v>0.65</v>
      </c>
      <c r="AC30" s="50">
        <f>IF($A30="","",IF($F30="assignment",IF($AF30&gt;0,INDEX($AH$9:$AH$29,$AF30),0)*$AE30*$D30,IF($F30="buy_shares",$M30*$AL30,0)))</f>
        <v>0</v>
      </c>
      <c r="AD30" s="50">
        <f>IF($A30="","",IF($F30="called_away",IF($AF30&gt;0,INDEX($AH$9:$AH$29,$AF30),0)*$AL30,IF($F30="sell_shares",$M30*$AL30,0)))</f>
        <v>0</v>
      </c>
      <c r="AE30" s="51">
        <f>IF($A30="","",IF(OR($F30="sell_put",$F30="sell_call"),IF(AND($H30&gt;0,$I30&gt;0,$J30&gt;=0),$H30,0),IF(OR($F30="buy_to_close",$F30="expire",$F30="roll",$F30="assignment",$F30="called_away"),IF(AND($AF30&gt;0,$H30&gt;0,IF($F30="assignment",IF($AF30&gt;0,INDEX($AG$9:$AG$29,$AF30),"")="put",TRUE),IF($F30="called_away",IF($AF30&gt;0,INDEX($AG$9:$AG$29,$AF30),"")="call",TRUE)),MIN($H30,IF($AF30&gt;0,MAX(0,INDEX($AI$9:$AI$29,$AF30)-SUMIFS($AE$9:$AE$29,$G$9:$G$29,$G30,$B$9:$B$29,$B30)),0)),0),0)))</f>
        <v>1</v>
      </c>
      <c r="AF30">
        <f>IF($A30="","",IFERROR(MATCH(LEN($B30)&amp;":"&amp;$B30&amp;$G30,$AY$9:$AY$29,0),0))</f>
        <v>0</v>
      </c>
      <c r="AG30" t="str">
        <f>IF($A30="","",IF($F30="sell_put","put",IF($F30="sell_call","call",IF($F30="roll",IF($AF30&gt;0,IF($AF30&gt;0,INDEX($AG$9:$AG$29,$AF30),""),""),IF($AF30&gt;0,IF($AF30&gt;0,INDEX($AG$9:$AG$29,$AF30),""),"")))))</f>
        <v>call</v>
      </c>
      <c r="AH30">
        <f>IF($A30="","",IF(OR($F30="sell_put",$F30="sell_call",$F30="roll"),$I30,IF($AF30&gt;0,IF($AF30&gt;0,INDEX($AH$9:$AH$29,$AF30),0),0)))</f>
        <v>48</v>
      </c>
      <c r="AI30" s="51">
        <f t="shared" si="9"/>
        <v>1</v>
      </c>
      <c r="AJ30" s="51">
        <f>IF($A30="","",IFERROR(LOOKUP(2,1/($B$9:$B$29=$B30),$AM$9:$AM29),0))</f>
        <v>100</v>
      </c>
      <c r="AK30">
        <f>IF($A30="","",IFERROR(LOOKUP(2,1/($B$9:$B$29=$B30),$AN$9:$AN29),0))</f>
        <v>4500</v>
      </c>
      <c r="AL30" s="51">
        <f t="shared" si="10"/>
        <v>0</v>
      </c>
      <c r="AM30" s="51">
        <f t="shared" si="11"/>
        <v>100</v>
      </c>
      <c r="AN30">
        <f t="shared" si="12"/>
        <v>4500</v>
      </c>
      <c r="AO30" s="50">
        <f>IF($A30="","",IFERROR(LOOKUP(2,1/($B$9:$B$29=$B30),$AO$9:$AO29),0)+IF($F30="sell_put",$I30*$AE30*$D30,IF($F30="roll",IF($AG30="put",($I30-IF($AF30&gt;0,INDEX($AH$9:$AH$29,$AF30),0))*$AE30*$D30,0),IF(AND(OR($F30="buy_to_close",$F30="expire",$F30="roll",$F30="assignment",$F30="called_away"),$F30&lt;&gt;"roll",$AG30="put"),-IF($AF30&gt;0,INDEX($AH$9:$AH$29,$AF30),0)*$AE30*$D30,0))))</f>
        <v>0</v>
      </c>
      <c r="AP30" s="51">
        <f>IF($A30="","",IFERROR(LOOKUP(2,1/($B$9:$B$29=$B30),$AP$9:$AP29),0)+IF($F30="sell_put",$AE30*$D30,IF(AND(OR($F30="buy_to_close",$F30="expire",$F30="roll",$F30="assignment",$F30="called_away"),$F30&lt;&gt;"roll",$AG30="put"),-$AE30*$D30,0)))</f>
        <v>0</v>
      </c>
      <c r="AQ30" s="51">
        <f>IF($A30="","",IFERROR(LOOKUP(2,1/($B$9:$B$29=$B30),$AQ$9:$AQ29),0)+IF(OR($F30="sell_put",$F30="sell_call"),$AE30,0)-IF(AND(OR($F30="buy_to_close",$F30="expire",$F30="roll",$F30="assignment",$F30="called_away"),$F30&lt;&gt;"roll"),$AE30,0))</f>
        <v>1</v>
      </c>
      <c r="AR30" t="b">
        <f t="shared" si="13"/>
        <v>0</v>
      </c>
      <c r="AS30" s="50">
        <f t="shared" si="14"/>
        <v>4500</v>
      </c>
      <c r="AT30" s="50">
        <f>IF($A30="","",MAX(IF($T30=IFERROR(LOOKUP(2,1/($B$9:$B$29=$B30),$T$9:$T29),0),IFERROR(LOOKUP(2,1/($B$9:$B$29=$B30),$AT$9:$AT29),0),0),$AS30))</f>
        <v>4500</v>
      </c>
      <c r="AU30" t="str">
        <f t="shared" si="15"/>
        <v>demo-covered¦1</v>
      </c>
      <c r="AV30" s="51">
        <f>IF($AU30="",0,IF(AND(IFERROR(LOOKUP(2,1/($B$9:$B$29=$B30),$AR$9:$AR29),1),NOT(AND(OR($F30="dividend",$F30="fee"),IFERROR(LOOKUP(2,1/($B$9:$B$29=$B30),$T$9:$T29),0)&gt;0))),ROW(),0))</f>
        <v>0</v>
      </c>
      <c r="AW30">
        <f>IF($A30="",0,IF($AV30&gt;0,MAX($AW$9:$AW$29)+1,MAX($AW$9:$AW$29)))</f>
        <v>8</v>
      </c>
      <c r="AX30">
        <f>IF($AU30="",0,IF(AND($AR30,OR(NOT(IFERROR(LOOKUP(2,1/($B$9:$B$29=$B30),$AR$9:$AR29),1)),IFERROR(LOOKUP(2,1/($B$9:$B$29=$B30),$T$9:$T29),0)=0)),ROW(),0))</f>
        <v>0</v>
      </c>
      <c r="AY30" t="str">
        <f t="shared" si="16"/>
        <v>12:demo-coveredE0022</v>
      </c>
    </row>
    <row r="31" spans="1:51" ht="15" x14ac:dyDescent="0.25">
      <c r="A31" s="41" t="str">
        <f>IF(Trades!$A31="","",Trades!O31)</f>
        <v>E0023</v>
      </c>
      <c r="B31" s="41" t="str">
        <f>IF(Trades!$A31="","",Trades!B31)</f>
        <v>demo-held</v>
      </c>
      <c r="C31" s="41" t="str">
        <f>IF(Trades!$A31="","",Trades!C31)</f>
        <v>GHI</v>
      </c>
      <c r="D31" s="42">
        <f>IF(Trades!$A31="","",IF(Trades!$L31&gt;0,Trades!$L31,Trades!$C$6))</f>
        <v>100</v>
      </c>
      <c r="E31" s="43">
        <f>IF(Trades!$A31="","",Trades!A31)</f>
        <v>46303</v>
      </c>
      <c r="F31" s="41" t="str">
        <f>IF(Trades!$A31="","",IFERROR(INDEX(Trades!$V$2:$V$14,MATCH(Trades!$E31,Trades!$U$2:$U$14,0)),""))</f>
        <v>assignment</v>
      </c>
      <c r="G31" s="41" t="str">
        <f>IF(Trades!$A31="","",Trades!N31)</f>
        <v>E0017</v>
      </c>
      <c r="H31" s="42">
        <f>IF(Trades!$A31="","",Trades!F31)</f>
        <v>1</v>
      </c>
      <c r="I31" s="44">
        <f>IF(Trades!$A31="","",Trades!G31)</f>
        <v>0</v>
      </c>
      <c r="J31" s="44">
        <f>IF(Trades!$A31="","",Trades!I31)</f>
        <v>0</v>
      </c>
      <c r="K31" s="44">
        <f>IF(Trades!$A31="","",Trades!Q31)</f>
        <v>0</v>
      </c>
      <c r="L31" s="42">
        <f>IF(Trades!$A31="","",Trades!F31)</f>
        <v>1</v>
      </c>
      <c r="M31" s="44">
        <f>IF(Trades!$A31="","",Trades!M31)</f>
        <v>0</v>
      </c>
      <c r="N31" s="44">
        <f>IF(Trades!$A31="","",Trades!R31)</f>
        <v>0</v>
      </c>
      <c r="O31" s="44">
        <f>IF(Trades!$A31="","",Trades!J31)</f>
        <v>0.65</v>
      </c>
      <c r="P31" s="43">
        <f>IF(Trades!$A31="","",Trades!H31)</f>
        <v>0</v>
      </c>
      <c r="Q31" s="41" t="str">
        <f>IF(Trades!$A31="","",Trades!P31)</f>
        <v>Sample Data</v>
      </c>
      <c r="R31" s="45">
        <f t="shared" si="0"/>
        <v>0</v>
      </c>
      <c r="S31" s="45">
        <f t="shared" si="1"/>
        <v>-3000.65</v>
      </c>
      <c r="T31" s="46">
        <f>IF(OR($A31="",$B31=""),"",IF(AND(IFERROR(LOOKUP(2,1/($B$9:$B$30=$B31),$AR$9:$AR30),1),NOT(AND(OR($F31="dividend",$F31="fee"),IFERROR(LOOKUP(2,1/($B$9:$B$30=$B31),$T$9:$T30),0)&gt;0))),IFERROR(LOOKUP(2,1/($B$9:$B$30=$B31),$T$9:$T30),0)+1,IFERROR(LOOKUP(2,1/($B$9:$B$30=$B31),$T$9:$T30),0)))</f>
        <v>1</v>
      </c>
      <c r="U31" s="47" t="str">
        <f t="shared" si="2"/>
        <v>Shares held</v>
      </c>
      <c r="V31" s="47" t="str">
        <f>IF($A31="","",IF(OR($B31="",$C31="",$D31="",$E31="",$F31=""),"Missing required field",IF(COUNTIFS($A$9:$A31,$A31,$B$9:$B31,$B31)&gt;1,"Duplicate event ID",IF(AND($E31&lt;&gt;IFERROR(LOOKUP(2,1/($B$9:$B$30=$B31),$E$9:$E30),0),IFERROR(LOOKUP(2,1/($B$9:$B$30=$B31),$E$9:$E30),0)&gt;$E31),"Date out of order",IF(AND(OR($F31="buy_to_close",$F31="expire",$F31="roll",$F31="assignment",$F31="called_away"),$AF31=0),"Unknown lot",IF(OR(AND($F31="assignment",$AF31&gt;0,IF($AF31&gt;0,INDEX($AG$9:$AG$30,$AF31),"")&lt;&gt;"put"),AND($F31="called_away",$AF31&gt;0,IF($AF31&gt;0,INDEX($AG$9:$AG$30,$AF31),"")&lt;&gt;"call")),"Wrong option leg",IF(OR(AND(OR($F31="sell_put",$F31="sell_call"),OR($H31&lt;=0,$I31&lt;=0,$J31&lt;0)),AND(OR($F31="buy_to_close",$F31="expire",$F31="assignment",$F31="called_away"),OR($H31&lt;=0,$J31&lt;0)),AND($F31="roll",OR($H31&lt;=0,$I31&lt;=0,$J31&lt;0,$K31&lt;0)),AND(OR($F31="buy_shares",$F31="sell_shares"),OR($L31&lt;=0,$M31&lt;0)),AND(OR($F31="dividend",$F31="fee"),$N31&lt;0)),"Invalid value",IF(AND(OR($F31="sell_shares",$F31="called_away"),$AL31&lt;IF($F31="called_away",$AE31*$D31,$L31)),"Insufficient shares (capped)",IF(AND(OR($F31="buy_to_close",$F31="expire",$F31="roll",$F31="assignment",$F31="called_away"),$AF31&gt;0,$H31&gt;IF($AF31&gt;0,MAX(0,INDEX($AI$9:$AI$30,$AF31)-SUMIFS($AE$9:$AE$30,$G$9:$G$30,$G31,$B$9:$B$30,$B31)),0)),"Close quantity capped","OK")))))))))</f>
        <v>OK</v>
      </c>
      <c r="W31" s="48">
        <f t="shared" si="3"/>
        <v>100</v>
      </c>
      <c r="X31" s="49">
        <f t="shared" si="4"/>
        <v>3000</v>
      </c>
      <c r="Y31" s="50">
        <f t="shared" si="5"/>
        <v>0</v>
      </c>
      <c r="Z31" s="50">
        <f t="shared" si="6"/>
        <v>0</v>
      </c>
      <c r="AA31" s="50">
        <f t="shared" si="7"/>
        <v>0</v>
      </c>
      <c r="AB31" s="50">
        <f t="shared" si="8"/>
        <v>0.65</v>
      </c>
      <c r="AC31" s="50">
        <f>IF($A31="","",IF($F31="assignment",IF($AF31&gt;0,INDEX($AH$9:$AH$30,$AF31),0)*$AE31*$D31,IF($F31="buy_shares",$M31*$AL31,0)))</f>
        <v>3000</v>
      </c>
      <c r="AD31" s="50">
        <f>IF($A31="","",IF($F31="called_away",IF($AF31&gt;0,INDEX($AH$9:$AH$30,$AF31),0)*$AL31,IF($F31="sell_shares",$M31*$AL31,0)))</f>
        <v>0</v>
      </c>
      <c r="AE31" s="51">
        <f>IF($A31="","",IF(OR($F31="sell_put",$F31="sell_call"),IF(AND($H31&gt;0,$I31&gt;0,$J31&gt;=0),$H31,0),IF(OR($F31="buy_to_close",$F31="expire",$F31="roll",$F31="assignment",$F31="called_away"),IF(AND($AF31&gt;0,$H31&gt;0,IF($F31="assignment",IF($AF31&gt;0,INDEX($AG$9:$AG$30,$AF31),"")="put",TRUE),IF($F31="called_away",IF($AF31&gt;0,INDEX($AG$9:$AG$30,$AF31),"")="call",TRUE)),MIN($H31,IF($AF31&gt;0,MAX(0,INDEX($AI$9:$AI$30,$AF31)-SUMIFS($AE$9:$AE$30,$G$9:$G$30,$G31,$B$9:$B$30,$B31)),0)),0),0)))</f>
        <v>1</v>
      </c>
      <c r="AF31">
        <f>IF($A31="","",IFERROR(MATCH(LEN($B31)&amp;":"&amp;$B31&amp;$G31,$AY$9:$AY$30,0),0))</f>
        <v>17</v>
      </c>
      <c r="AG31" t="str">
        <f>IF($A31="","",IF($F31="sell_put","put",IF($F31="sell_call","call",IF($F31="roll",IF($AF31&gt;0,IF($AF31&gt;0,INDEX($AG$9:$AG$30,$AF31),""),""),IF($AF31&gt;0,IF($AF31&gt;0,INDEX($AG$9:$AG$30,$AF31),""),"")))))</f>
        <v>put</v>
      </c>
      <c r="AH31">
        <f>IF($A31="","",IF(OR($F31="sell_put",$F31="sell_call",$F31="roll"),$I31,IF($AF31&gt;0,IF($AF31&gt;0,INDEX($AH$9:$AH$30,$AF31),0),0)))</f>
        <v>30</v>
      </c>
      <c r="AI31" s="51">
        <f t="shared" si="9"/>
        <v>0</v>
      </c>
      <c r="AJ31" s="51">
        <f>IF($A31="","",IFERROR(LOOKUP(2,1/($B$9:$B$30=$B31),$AM$9:$AM30),0))</f>
        <v>0</v>
      </c>
      <c r="AK31">
        <f>IF($A31="","",IFERROR(LOOKUP(2,1/($B$9:$B$30=$B31),$AN$9:$AN30),0))</f>
        <v>0</v>
      </c>
      <c r="AL31" s="51">
        <f t="shared" si="10"/>
        <v>100</v>
      </c>
      <c r="AM31" s="51">
        <f t="shared" si="11"/>
        <v>100</v>
      </c>
      <c r="AN31">
        <f t="shared" si="12"/>
        <v>3000</v>
      </c>
      <c r="AO31" s="50">
        <f>IF($A31="","",IFERROR(LOOKUP(2,1/($B$9:$B$30=$B31),$AO$9:$AO30),0)+IF($F31="sell_put",$I31*$AE31*$D31,IF($F31="roll",IF($AG31="put",($I31-IF($AF31&gt;0,INDEX($AH$9:$AH$30,$AF31),0))*$AE31*$D31,0),IF(AND(OR($F31="buy_to_close",$F31="expire",$F31="roll",$F31="assignment",$F31="called_away"),$F31&lt;&gt;"roll",$AG31="put"),-IF($AF31&gt;0,INDEX($AH$9:$AH$30,$AF31),0)*$AE31*$D31,0))))</f>
        <v>0</v>
      </c>
      <c r="AP31" s="51">
        <f>IF($A31="","",IFERROR(LOOKUP(2,1/($B$9:$B$30=$B31),$AP$9:$AP30),0)+IF($F31="sell_put",$AE31*$D31,IF(AND(OR($F31="buy_to_close",$F31="expire",$F31="roll",$F31="assignment",$F31="called_away"),$F31&lt;&gt;"roll",$AG31="put"),-$AE31*$D31,0)))</f>
        <v>0</v>
      </c>
      <c r="AQ31" s="51">
        <f>IF($A31="","",IFERROR(LOOKUP(2,1/($B$9:$B$30=$B31),$AQ$9:$AQ30),0)+IF(OR($F31="sell_put",$F31="sell_call"),$AE31,0)-IF(AND(OR($F31="buy_to_close",$F31="expire",$F31="roll",$F31="assignment",$F31="called_away"),$F31&lt;&gt;"roll"),$AE31,0))</f>
        <v>0</v>
      </c>
      <c r="AR31" t="b">
        <f t="shared" si="13"/>
        <v>0</v>
      </c>
      <c r="AS31" s="50">
        <f t="shared" si="14"/>
        <v>3000</v>
      </c>
      <c r="AT31" s="50">
        <f>IF($A31="","",MAX(IF($T31=IFERROR(LOOKUP(2,1/($B$9:$B$30=$B31),$T$9:$T30),0),IFERROR(LOOKUP(2,1/($B$9:$B$30=$B31),$AT$9:$AT30),0),0),$AS31))</f>
        <v>3000</v>
      </c>
      <c r="AU31" t="str">
        <f t="shared" si="15"/>
        <v>demo-held¦1</v>
      </c>
      <c r="AV31" s="51">
        <f>IF($AU31="",0,IF(AND(IFERROR(LOOKUP(2,1/($B$9:$B$30=$B31),$AR$9:$AR30),1),NOT(AND(OR($F31="dividend",$F31="fee"),IFERROR(LOOKUP(2,1/($B$9:$B$30=$B31),$T$9:$T30),0)&gt;0))),ROW(),0))</f>
        <v>0</v>
      </c>
      <c r="AW31">
        <f>IF($A31="",0,IF($AV31&gt;0,MAX($AW$9:$AW$30)+1,MAX($AW$9:$AW$30)))</f>
        <v>8</v>
      </c>
      <c r="AX31">
        <f>IF($AU31="",0,IF(AND($AR31,OR(NOT(IFERROR(LOOKUP(2,1/($B$9:$B$30=$B31),$AR$9:$AR30),1)),IFERROR(LOOKUP(2,1/($B$9:$B$30=$B31),$T$9:$T30),0)=0)),ROW(),0))</f>
        <v>0</v>
      </c>
      <c r="AY31" t="str">
        <f t="shared" si="16"/>
        <v>9:demo-heldE0023</v>
      </c>
    </row>
    <row r="32" spans="1:51" ht="15" x14ac:dyDescent="0.25">
      <c r="A32" s="52" t="str">
        <f>IF(Trades!$A32="","",Trades!O32)</f>
        <v>E0024</v>
      </c>
      <c r="B32" s="52" t="str">
        <f>IF(Trades!$A32="","",Trades!B32)</f>
        <v>sample-xyz</v>
      </c>
      <c r="C32" s="52" t="str">
        <f>IF(Trades!$A32="","",Trades!C32)</f>
        <v>XYZ</v>
      </c>
      <c r="D32" s="53">
        <f>IF(Trades!$A32="","",IF(Trades!$L32&gt;0,Trades!$L32,Trades!$C$6))</f>
        <v>100</v>
      </c>
      <c r="E32" s="54">
        <f>IF(Trades!$A32="","",Trades!A32)</f>
        <v>46308</v>
      </c>
      <c r="F32" s="52" t="str">
        <f>IF(Trades!$A32="","",IFERROR(INDEX(Trades!$V$2:$V$14,MATCH(Trades!$E32,Trades!$U$2:$U$14,0)),""))</f>
        <v>roll</v>
      </c>
      <c r="G32" s="52" t="str">
        <f>IF(Trades!$A32="","",Trades!N32)</f>
        <v>E0019</v>
      </c>
      <c r="H32" s="53">
        <f>IF(Trades!$A32="","",Trades!F32)</f>
        <v>1</v>
      </c>
      <c r="I32" s="55">
        <f>IF(Trades!$A32="","",Trades!G32)</f>
        <v>48</v>
      </c>
      <c r="J32" s="55">
        <f>IF(Trades!$A32="","",Trades!I32)</f>
        <v>1.6</v>
      </c>
      <c r="K32" s="55">
        <f>IF(Trades!$A32="","",Trades!Q32)</f>
        <v>0.9</v>
      </c>
      <c r="L32" s="53">
        <f>IF(Trades!$A32="","",Trades!F32)</f>
        <v>1</v>
      </c>
      <c r="M32" s="55">
        <f>IF(Trades!$A32="","",Trades!M32)</f>
        <v>0</v>
      </c>
      <c r="N32" s="55">
        <f>IF(Trades!$A32="","",Trades!R32)</f>
        <v>0</v>
      </c>
      <c r="O32" s="55">
        <f>IF(Trades!$A32="","",Trades!J32)</f>
        <v>1.3</v>
      </c>
      <c r="P32" s="54">
        <f>IF(Trades!$A32="","",Trades!H32)</f>
        <v>46337</v>
      </c>
      <c r="Q32" s="52" t="str">
        <f>IF(Trades!$A32="","",Trades!P32)</f>
        <v>Sample Data</v>
      </c>
      <c r="R32" s="56">
        <f t="shared" si="0"/>
        <v>70</v>
      </c>
      <c r="S32" s="56">
        <f t="shared" si="1"/>
        <v>68.7</v>
      </c>
      <c r="T32" s="57">
        <f>IF(OR($A32="",$B32=""),"",IF(AND(IFERROR(LOOKUP(2,1/($B$9:$B$31=$B32),$AR$9:$AR31),1),NOT(AND(OR($F32="dividend",$F32="fee"),IFERROR(LOOKUP(2,1/($B$9:$B$31=$B32),$T$9:$T31),0)&gt;0))),IFERROR(LOOKUP(2,1/($B$9:$B$31=$B32),$T$9:$T31),0)+1,IFERROR(LOOKUP(2,1/($B$9:$B$31=$B32),$T$9:$T31),0)))</f>
        <v>2</v>
      </c>
      <c r="U32" s="58" t="str">
        <f t="shared" si="2"/>
        <v>Short option open</v>
      </c>
      <c r="V32" s="58" t="str">
        <f>IF($A32="","",IF(OR($B32="",$C32="",$D32="",$E32="",$F32=""),"Missing required field",IF(COUNTIFS($A$9:$A32,$A32,$B$9:$B32,$B32)&gt;1,"Duplicate event ID",IF(AND($E32&lt;&gt;IFERROR(LOOKUP(2,1/($B$9:$B$31=$B32),$E$9:$E31),0),IFERROR(LOOKUP(2,1/($B$9:$B$31=$B32),$E$9:$E31),0)&gt;$E32),"Date out of order",IF(AND(OR($F32="buy_to_close",$F32="expire",$F32="roll",$F32="assignment",$F32="called_away"),$AF32=0),"Unknown lot",IF(OR(AND($F32="assignment",$AF32&gt;0,IF($AF32&gt;0,INDEX($AG$9:$AG$31,$AF32),"")&lt;&gt;"put"),AND($F32="called_away",$AF32&gt;0,IF($AF32&gt;0,INDEX($AG$9:$AG$31,$AF32),"")&lt;&gt;"call")),"Wrong option leg",IF(OR(AND(OR($F32="sell_put",$F32="sell_call"),OR($H32&lt;=0,$I32&lt;=0,$J32&lt;0)),AND(OR($F32="buy_to_close",$F32="expire",$F32="assignment",$F32="called_away"),OR($H32&lt;=0,$J32&lt;0)),AND($F32="roll",OR($H32&lt;=0,$I32&lt;=0,$J32&lt;0,$K32&lt;0)),AND(OR($F32="buy_shares",$F32="sell_shares"),OR($L32&lt;=0,$M32&lt;0)),AND(OR($F32="dividend",$F32="fee"),$N32&lt;0)),"Invalid value",IF(AND(OR($F32="sell_shares",$F32="called_away"),$AL32&lt;IF($F32="called_away",$AE32*$D32,$L32)),"Insufficient shares (capped)",IF(AND(OR($F32="buy_to_close",$F32="expire",$F32="roll",$F32="assignment",$F32="called_away"),$AF32&gt;0,$H32&gt;IF($AF32&gt;0,MAX(0,INDEX($AI$9:$AI$31,$AF32)-SUMIFS($AE$9:$AE$31,$G$9:$G$31,$G32,$B$9:$B$31,$B32)),0)),"Close quantity capped","OK")))))))))</f>
        <v>OK</v>
      </c>
      <c r="W32" s="59">
        <f t="shared" si="3"/>
        <v>0</v>
      </c>
      <c r="X32" s="60">
        <f t="shared" si="4"/>
        <v>4800</v>
      </c>
      <c r="Y32" s="50">
        <f t="shared" si="5"/>
        <v>160</v>
      </c>
      <c r="Z32" s="50">
        <f t="shared" si="6"/>
        <v>90</v>
      </c>
      <c r="AA32" s="50">
        <f t="shared" si="7"/>
        <v>0</v>
      </c>
      <c r="AB32" s="50">
        <f t="shared" si="8"/>
        <v>1.3</v>
      </c>
      <c r="AC32" s="50">
        <f>IF($A32="","",IF($F32="assignment",IF($AF32&gt;0,INDEX($AH$9:$AH$31,$AF32),0)*$AE32*$D32,IF($F32="buy_shares",$M32*$AL32,0)))</f>
        <v>0</v>
      </c>
      <c r="AD32" s="50">
        <f>IF($A32="","",IF($F32="called_away",IF($AF32&gt;0,INDEX($AH$9:$AH$31,$AF32),0)*$AL32,IF($F32="sell_shares",$M32*$AL32,0)))</f>
        <v>0</v>
      </c>
      <c r="AE32" s="51">
        <f>IF($A32="","",IF(OR($F32="sell_put",$F32="sell_call"),IF(AND($H32&gt;0,$I32&gt;0,$J32&gt;=0),$H32,0),IF(OR($F32="buy_to_close",$F32="expire",$F32="roll",$F32="assignment",$F32="called_away"),IF(AND($AF32&gt;0,$H32&gt;0,IF($F32="assignment",IF($AF32&gt;0,INDEX($AG$9:$AG$31,$AF32),"")="put",TRUE),IF($F32="called_away",IF($AF32&gt;0,INDEX($AG$9:$AG$31,$AF32),"")="call",TRUE)),MIN($H32,IF($AF32&gt;0,MAX(0,INDEX($AI$9:$AI$31,$AF32)-SUMIFS($AE$9:$AE$31,$G$9:$G$31,$G32,$B$9:$B$31,$B32)),0)),0),0)))</f>
        <v>1</v>
      </c>
      <c r="AF32">
        <f>IF($A32="","",IFERROR(MATCH(LEN($B32)&amp;":"&amp;$B32&amp;$G32,$AY$9:$AY$31,0),0))</f>
        <v>19</v>
      </c>
      <c r="AG32" t="str">
        <f>IF($A32="","",IF($F32="sell_put","put",IF($F32="sell_call","call",IF($F32="roll",IF($AF32&gt;0,IF($AF32&gt;0,INDEX($AG$9:$AG$31,$AF32),""),""),IF($AF32&gt;0,IF($AF32&gt;0,INDEX($AG$9:$AG$31,$AF32),""),"")))))</f>
        <v>put</v>
      </c>
      <c r="AH32">
        <f>IF($A32="","",IF(OR($F32="sell_put",$F32="sell_call",$F32="roll"),$I32,IF($AF32&gt;0,IF($AF32&gt;0,INDEX($AH$9:$AH$31,$AF32),0),0)))</f>
        <v>48</v>
      </c>
      <c r="AI32" s="51">
        <f t="shared" si="9"/>
        <v>1</v>
      </c>
      <c r="AJ32" s="51">
        <f>IF($A32="","",IFERROR(LOOKUP(2,1/($B$9:$B$31=$B32),$AM$9:$AM31),0))</f>
        <v>0</v>
      </c>
      <c r="AK32">
        <f>IF($A32="","",IFERROR(LOOKUP(2,1/($B$9:$B$31=$B32),$AN$9:$AN31),0))</f>
        <v>0</v>
      </c>
      <c r="AL32" s="51">
        <f t="shared" si="10"/>
        <v>0</v>
      </c>
      <c r="AM32" s="51">
        <f t="shared" si="11"/>
        <v>0</v>
      </c>
      <c r="AN32">
        <f t="shared" si="12"/>
        <v>0</v>
      </c>
      <c r="AO32" s="50">
        <f>IF($A32="","",IFERROR(LOOKUP(2,1/($B$9:$B$31=$B32),$AO$9:$AO31),0)+IF($F32="sell_put",$I32*$AE32*$D32,IF($F32="roll",IF($AG32="put",($I32-IF($AF32&gt;0,INDEX($AH$9:$AH$31,$AF32),0))*$AE32*$D32,0),IF(AND(OR($F32="buy_to_close",$F32="expire",$F32="roll",$F32="assignment",$F32="called_away"),$F32&lt;&gt;"roll",$AG32="put"),-IF($AF32&gt;0,INDEX($AH$9:$AH$31,$AF32),0)*$AE32*$D32,0))))</f>
        <v>4800</v>
      </c>
      <c r="AP32" s="51">
        <f>IF($A32="","",IFERROR(LOOKUP(2,1/($B$9:$B$31=$B32),$AP$9:$AP31),0)+IF($F32="sell_put",$AE32*$D32,IF(AND(OR($F32="buy_to_close",$F32="expire",$F32="roll",$F32="assignment",$F32="called_away"),$F32&lt;&gt;"roll",$AG32="put"),-$AE32*$D32,0)))</f>
        <v>100</v>
      </c>
      <c r="AQ32" s="51">
        <f>IF($A32="","",IFERROR(LOOKUP(2,1/($B$9:$B$31=$B32),$AQ$9:$AQ31),0)+IF(OR($F32="sell_put",$F32="sell_call"),$AE32,0)-IF(AND(OR($F32="buy_to_close",$F32="expire",$F32="roll",$F32="assignment",$F32="called_away"),$F32&lt;&gt;"roll"),$AE32,0))</f>
        <v>1</v>
      </c>
      <c r="AR32" t="b">
        <f t="shared" si="13"/>
        <v>0</v>
      </c>
      <c r="AS32" s="50">
        <f t="shared" si="14"/>
        <v>4800</v>
      </c>
      <c r="AT32" s="50">
        <f>IF($A32="","",MAX(IF($T32=IFERROR(LOOKUP(2,1/($B$9:$B$31=$B32),$T$9:$T31),0),IFERROR(LOOKUP(2,1/($B$9:$B$31=$B32),$AT$9:$AT31),0),0),$AS32))</f>
        <v>4900</v>
      </c>
      <c r="AU32" t="str">
        <f t="shared" si="15"/>
        <v>sample-xyz¦2</v>
      </c>
      <c r="AV32" s="51">
        <f>IF($AU32="",0,IF(AND(IFERROR(LOOKUP(2,1/($B$9:$B$31=$B32),$AR$9:$AR31),1),NOT(AND(OR($F32="dividend",$F32="fee"),IFERROR(LOOKUP(2,1/($B$9:$B$31=$B32),$T$9:$T31),0)&gt;0))),ROW(),0))</f>
        <v>0</v>
      </c>
      <c r="AW32">
        <f>IF($A32="",0,IF($AV32&gt;0,MAX($AW$9:$AW$31)+1,MAX($AW$9:$AW$31)))</f>
        <v>8</v>
      </c>
      <c r="AX32">
        <f>IF($AU32="",0,IF(AND($AR32,OR(NOT(IFERROR(LOOKUP(2,1/($B$9:$B$31=$B32),$AR$9:$AR31),1)),IFERROR(LOOKUP(2,1/($B$9:$B$31=$B32),$T$9:$T31),0)=0)),ROW(),0))</f>
        <v>0</v>
      </c>
      <c r="AY32" t="str">
        <f t="shared" si="16"/>
        <v>10:sample-xyzE0024</v>
      </c>
    </row>
    <row r="33" spans="1:51" ht="15" x14ac:dyDescent="0.25">
      <c r="A33" s="41" t="str">
        <f>IF(Trades!$A33="","",Trades!O33)</f>
        <v>E0025</v>
      </c>
      <c r="B33" s="41" t="str">
        <f>IF(Trades!$A33="","",Trades!B33)</f>
        <v>sample-abc</v>
      </c>
      <c r="C33" s="41" t="str">
        <f>IF(Trades!$A33="","",Trades!C33)</f>
        <v>ABC</v>
      </c>
      <c r="D33" s="42">
        <f>IF(Trades!$A33="","",IF(Trades!$L33&gt;0,Trades!$L33,Trades!$C$6))</f>
        <v>100</v>
      </c>
      <c r="E33" s="43">
        <f>IF(Trades!$A33="","",Trades!A33)</f>
        <v>46310</v>
      </c>
      <c r="F33" s="41" t="str">
        <f>IF(Trades!$A33="","",IFERROR(INDEX(Trades!$V$2:$V$14,MATCH(Trades!$E33,Trades!$U$2:$U$14,0)),""))</f>
        <v>sell_put</v>
      </c>
      <c r="G33" s="41">
        <f>IF(Trades!$A33="","",Trades!N33)</f>
        <v>0</v>
      </c>
      <c r="H33" s="42">
        <f>IF(Trades!$A33="","",Trades!F33)</f>
        <v>2</v>
      </c>
      <c r="I33" s="44">
        <f>IF(Trades!$A33="","",Trades!G33)</f>
        <v>19</v>
      </c>
      <c r="J33" s="44">
        <f>IF(Trades!$A33="","",Trades!I33)</f>
        <v>0.5</v>
      </c>
      <c r="K33" s="44">
        <f>IF(Trades!$A33="","",Trades!Q33)</f>
        <v>0</v>
      </c>
      <c r="L33" s="42">
        <f>IF(Trades!$A33="","",Trades!F33)</f>
        <v>2</v>
      </c>
      <c r="M33" s="44">
        <f>IF(Trades!$A33="","",Trades!M33)</f>
        <v>0</v>
      </c>
      <c r="N33" s="44">
        <f>IF(Trades!$A33="","",Trades!R33)</f>
        <v>0</v>
      </c>
      <c r="O33" s="44">
        <f>IF(Trades!$A33="","",Trades!J33)</f>
        <v>1.3</v>
      </c>
      <c r="P33" s="43">
        <f>IF(Trades!$A33="","",Trades!H33)</f>
        <v>46338</v>
      </c>
      <c r="Q33" s="41" t="str">
        <f>IF(Trades!$A33="","",Trades!P33)</f>
        <v>Sample Data</v>
      </c>
      <c r="R33" s="45">
        <f t="shared" si="0"/>
        <v>100</v>
      </c>
      <c r="S33" s="45">
        <f t="shared" si="1"/>
        <v>98.7</v>
      </c>
      <c r="T33" s="46">
        <f>IF(OR($A33="",$B33=""),"",IF(AND(IFERROR(LOOKUP(2,1/($B$9:$B$32=$B33),$AR$9:$AR32),1),NOT(AND(OR($F33="dividend",$F33="fee"),IFERROR(LOOKUP(2,1/($B$9:$B$32=$B33),$T$9:$T32),0)&gt;0))),IFERROR(LOOKUP(2,1/($B$9:$B$32=$B33),$T$9:$T32),0)+1,IFERROR(LOOKUP(2,1/($B$9:$B$32=$B33),$T$9:$T32),0)))</f>
        <v>2</v>
      </c>
      <c r="U33" s="47" t="str">
        <f t="shared" si="2"/>
        <v>Short option open</v>
      </c>
      <c r="V33" s="47" t="str">
        <f>IF($A33="","",IF(OR($B33="",$C33="",$D33="",$E33="",$F33=""),"Missing required field",IF(COUNTIFS($A$9:$A33,$A33,$B$9:$B33,$B33)&gt;1,"Duplicate event ID",IF(AND($E33&lt;&gt;IFERROR(LOOKUP(2,1/($B$9:$B$32=$B33),$E$9:$E32),0),IFERROR(LOOKUP(2,1/($B$9:$B$32=$B33),$E$9:$E32),0)&gt;$E33),"Date out of order",IF(AND(OR($F33="buy_to_close",$F33="expire",$F33="roll",$F33="assignment",$F33="called_away"),$AF33=0),"Unknown lot",IF(OR(AND($F33="assignment",$AF33&gt;0,IF($AF33&gt;0,INDEX($AG$9:$AG$32,$AF33),"")&lt;&gt;"put"),AND($F33="called_away",$AF33&gt;0,IF($AF33&gt;0,INDEX($AG$9:$AG$32,$AF33),"")&lt;&gt;"call")),"Wrong option leg",IF(OR(AND(OR($F33="sell_put",$F33="sell_call"),OR($H33&lt;=0,$I33&lt;=0,$J33&lt;0)),AND(OR($F33="buy_to_close",$F33="expire",$F33="assignment",$F33="called_away"),OR($H33&lt;=0,$J33&lt;0)),AND($F33="roll",OR($H33&lt;=0,$I33&lt;=0,$J33&lt;0,$K33&lt;0)),AND(OR($F33="buy_shares",$F33="sell_shares"),OR($L33&lt;=0,$M33&lt;0)),AND(OR($F33="dividend",$F33="fee"),$N33&lt;0)),"Invalid value",IF(AND(OR($F33="sell_shares",$F33="called_away"),$AL33&lt;IF($F33="called_away",$AE33*$D33,$L33)),"Insufficient shares (capped)",IF(AND(OR($F33="buy_to_close",$F33="expire",$F33="roll",$F33="assignment",$F33="called_away"),$AF33&gt;0,$H33&gt;IF($AF33&gt;0,MAX(0,INDEX($AI$9:$AI$32,$AF33)-SUMIFS($AE$9:$AE$32,$G$9:$G$32,$G33,$B$9:$B$32,$B33)),0)),"Close quantity capped","OK")))))))))</f>
        <v>OK</v>
      </c>
      <c r="W33" s="48">
        <f t="shared" si="3"/>
        <v>0</v>
      </c>
      <c r="X33" s="49">
        <f t="shared" si="4"/>
        <v>3800</v>
      </c>
      <c r="Y33" s="50">
        <f t="shared" si="5"/>
        <v>100</v>
      </c>
      <c r="Z33" s="50">
        <f t="shared" si="6"/>
        <v>0</v>
      </c>
      <c r="AA33" s="50">
        <f t="shared" si="7"/>
        <v>0</v>
      </c>
      <c r="AB33" s="50">
        <f t="shared" si="8"/>
        <v>1.3</v>
      </c>
      <c r="AC33" s="50">
        <f>IF($A33="","",IF($F33="assignment",IF($AF33&gt;0,INDEX($AH$9:$AH$32,$AF33),0)*$AE33*$D33,IF($F33="buy_shares",$M33*$AL33,0)))</f>
        <v>0</v>
      </c>
      <c r="AD33" s="50">
        <f>IF($A33="","",IF($F33="called_away",IF($AF33&gt;0,INDEX($AH$9:$AH$32,$AF33),0)*$AL33,IF($F33="sell_shares",$M33*$AL33,0)))</f>
        <v>0</v>
      </c>
      <c r="AE33" s="51">
        <f>IF($A33="","",IF(OR($F33="sell_put",$F33="sell_call"),IF(AND($H33&gt;0,$I33&gt;0,$J33&gt;=0),$H33,0),IF(OR($F33="buy_to_close",$F33="expire",$F33="roll",$F33="assignment",$F33="called_away"),IF(AND($AF33&gt;0,$H33&gt;0,IF($F33="assignment",IF($AF33&gt;0,INDEX($AG$9:$AG$32,$AF33),"")="put",TRUE),IF($F33="called_away",IF($AF33&gt;0,INDEX($AG$9:$AG$32,$AF33),"")="call",TRUE)),MIN($H33,IF($AF33&gt;0,MAX(0,INDEX($AI$9:$AI$32,$AF33)-SUMIFS($AE$9:$AE$32,$G$9:$G$32,$G33,$B$9:$B$32,$B33)),0)),0),0)))</f>
        <v>2</v>
      </c>
      <c r="AF33">
        <f>IF($A33="","",IFERROR(MATCH(LEN($B33)&amp;":"&amp;$B33&amp;$G33,$AY$9:$AY$32,0),0))</f>
        <v>0</v>
      </c>
      <c r="AG33" t="str">
        <f>IF($A33="","",IF($F33="sell_put","put",IF($F33="sell_call","call",IF($F33="roll",IF($AF33&gt;0,IF($AF33&gt;0,INDEX($AG$9:$AG$32,$AF33),""),""),IF($AF33&gt;0,IF($AF33&gt;0,INDEX($AG$9:$AG$32,$AF33),""),"")))))</f>
        <v>put</v>
      </c>
      <c r="AH33">
        <f>IF($A33="","",IF(OR($F33="sell_put",$F33="sell_call",$F33="roll"),$I33,IF($AF33&gt;0,IF($AF33&gt;0,INDEX($AH$9:$AH$32,$AF33),0),0)))</f>
        <v>19</v>
      </c>
      <c r="AI33" s="51">
        <f t="shared" si="9"/>
        <v>2</v>
      </c>
      <c r="AJ33" s="51">
        <f>IF($A33="","",IFERROR(LOOKUP(2,1/($B$9:$B$32=$B33),$AM$9:$AM32),0))</f>
        <v>0</v>
      </c>
      <c r="AK33">
        <f>IF($A33="","",IFERROR(LOOKUP(2,1/($B$9:$B$32=$B33),$AN$9:$AN32),0))</f>
        <v>0</v>
      </c>
      <c r="AL33" s="51">
        <f t="shared" si="10"/>
        <v>0</v>
      </c>
      <c r="AM33" s="51">
        <f t="shared" si="11"/>
        <v>0</v>
      </c>
      <c r="AN33">
        <f t="shared" si="12"/>
        <v>0</v>
      </c>
      <c r="AO33" s="50">
        <f>IF($A33="","",IFERROR(LOOKUP(2,1/($B$9:$B$32=$B33),$AO$9:$AO32),0)+IF($F33="sell_put",$I33*$AE33*$D33,IF($F33="roll",IF($AG33="put",($I33-IF($AF33&gt;0,INDEX($AH$9:$AH$32,$AF33),0))*$AE33*$D33,0),IF(AND(OR($F33="buy_to_close",$F33="expire",$F33="roll",$F33="assignment",$F33="called_away"),$F33&lt;&gt;"roll",$AG33="put"),-IF($AF33&gt;0,INDEX($AH$9:$AH$32,$AF33),0)*$AE33*$D33,0))))</f>
        <v>3800</v>
      </c>
      <c r="AP33" s="51">
        <f>IF($A33="","",IFERROR(LOOKUP(2,1/($B$9:$B$32=$B33),$AP$9:$AP32),0)+IF($F33="sell_put",$AE33*$D33,IF(AND(OR($F33="buy_to_close",$F33="expire",$F33="roll",$F33="assignment",$F33="called_away"),$F33&lt;&gt;"roll",$AG33="put"),-$AE33*$D33,0)))</f>
        <v>200</v>
      </c>
      <c r="AQ33" s="51">
        <f>IF($A33="","",IFERROR(LOOKUP(2,1/($B$9:$B$32=$B33),$AQ$9:$AQ32),0)+IF(OR($F33="sell_put",$F33="sell_call"),$AE33,0)-IF(AND(OR($F33="buy_to_close",$F33="expire",$F33="roll",$F33="assignment",$F33="called_away"),$F33&lt;&gt;"roll"),$AE33,0))</f>
        <v>2</v>
      </c>
      <c r="AR33" t="b">
        <f t="shared" si="13"/>
        <v>0</v>
      </c>
      <c r="AS33" s="50">
        <f t="shared" si="14"/>
        <v>3800</v>
      </c>
      <c r="AT33" s="50">
        <f>IF($A33="","",MAX(IF($T33=IFERROR(LOOKUP(2,1/($B$9:$B$32=$B33),$T$9:$T32),0),IFERROR(LOOKUP(2,1/($B$9:$B$32=$B33),$AT$9:$AT32),0),0),$AS33))</f>
        <v>3800</v>
      </c>
      <c r="AU33" t="str">
        <f t="shared" si="15"/>
        <v>sample-abc¦2</v>
      </c>
      <c r="AV33" s="51">
        <f>IF($AU33="",0,IF(AND(IFERROR(LOOKUP(2,1/($B$9:$B$32=$B33),$AR$9:$AR32),1),NOT(AND(OR($F33="dividend",$F33="fee"),IFERROR(LOOKUP(2,1/($B$9:$B$32=$B33),$T$9:$T32),0)&gt;0))),ROW(),0))</f>
        <v>33</v>
      </c>
      <c r="AW33">
        <f>IF($A33="",0,IF($AV33&gt;0,MAX($AW$9:$AW$32)+1,MAX($AW$9:$AW$32)))</f>
        <v>9</v>
      </c>
      <c r="AX33">
        <f>IF($AU33="",0,IF(AND($AR33,OR(NOT(IFERROR(LOOKUP(2,1/($B$9:$B$32=$B33),$AR$9:$AR32),1)),IFERROR(LOOKUP(2,1/($B$9:$B$32=$B33),$T$9:$T32),0)=0)),ROW(),0))</f>
        <v>0</v>
      </c>
      <c r="AY33" t="str">
        <f t="shared" si="16"/>
        <v>10:sample-abcE0025</v>
      </c>
    </row>
    <row r="34" spans="1:51" ht="15" x14ac:dyDescent="0.25">
      <c r="A34" s="52" t="str">
        <f>IF(Trades!$A34="","",Trades!O34)</f>
        <v/>
      </c>
      <c r="B34" s="52" t="str">
        <f>IF(Trades!$A34="","",Trades!B34)</f>
        <v/>
      </c>
      <c r="C34" s="52" t="str">
        <f>IF(Trades!$A34="","",Trades!C34)</f>
        <v/>
      </c>
      <c r="D34" s="53" t="str">
        <f>IF(Trades!$A34="","",IF(Trades!$L34&gt;0,Trades!$L34,Trades!$C$6))</f>
        <v/>
      </c>
      <c r="E34" s="54" t="str">
        <f>IF(Trades!$A34="","",Trades!A34)</f>
        <v/>
      </c>
      <c r="F34" s="52" t="str">
        <f>IF(Trades!$A34="","",IFERROR(INDEX(Trades!$V$2:$V$14,MATCH(Trades!$E34,Trades!$U$2:$U$14,0)),""))</f>
        <v/>
      </c>
      <c r="G34" s="52" t="str">
        <f>IF(Trades!$A34="","",Trades!N34)</f>
        <v/>
      </c>
      <c r="H34" s="53" t="str">
        <f>IF(Trades!$A34="","",Trades!F34)</f>
        <v/>
      </c>
      <c r="I34" s="55" t="str">
        <f>IF(Trades!$A34="","",Trades!G34)</f>
        <v/>
      </c>
      <c r="J34" s="55" t="str">
        <f>IF(Trades!$A34="","",Trades!I34)</f>
        <v/>
      </c>
      <c r="K34" s="55" t="str">
        <f>IF(Trades!$A34="","",Trades!Q34)</f>
        <v/>
      </c>
      <c r="L34" s="53" t="str">
        <f>IF(Trades!$A34="","",Trades!F34)</f>
        <v/>
      </c>
      <c r="M34" s="55" t="str">
        <f>IF(Trades!$A34="","",Trades!M34)</f>
        <v/>
      </c>
      <c r="N34" s="55" t="str">
        <f>IF(Trades!$A34="","",Trades!R34)</f>
        <v/>
      </c>
      <c r="O34" s="55" t="str">
        <f>IF(Trades!$A34="","",Trades!J34)</f>
        <v/>
      </c>
      <c r="P34" s="54" t="str">
        <f>IF(Trades!$A34="","",Trades!H34)</f>
        <v/>
      </c>
      <c r="Q34" s="52" t="str">
        <f>IF(Trades!$A34="","",Trades!P34)</f>
        <v/>
      </c>
      <c r="R34" s="56" t="str">
        <f t="shared" si="0"/>
        <v/>
      </c>
      <c r="S34" s="56" t="str">
        <f t="shared" si="1"/>
        <v/>
      </c>
      <c r="T34" s="57" t="str">
        <f>IF(OR($A34="",$B34=""),"",IF(AND(IFERROR(LOOKUP(2,1/($B$9:$B$33=$B34),$AR$9:$AR33),1),NOT(AND(OR($F34="dividend",$F34="fee"),IFERROR(LOOKUP(2,1/($B$9:$B$33=$B34),$T$9:$T33),0)&gt;0))),IFERROR(LOOKUP(2,1/($B$9:$B$33=$B34),$T$9:$T33),0)+1,IFERROR(LOOKUP(2,1/($B$9:$B$33=$B34),$T$9:$T33),0)))</f>
        <v/>
      </c>
      <c r="U34" s="58" t="str">
        <f t="shared" si="2"/>
        <v/>
      </c>
      <c r="V34" s="58" t="str">
        <f>IF($A34="","",IF(OR($B34="",$C34="",$D34="",$E34="",$F34=""),"Missing required field",IF(COUNTIFS($A$9:$A34,$A34,$B$9:$B34,$B34)&gt;1,"Duplicate event ID",IF(AND($E34&lt;&gt;IFERROR(LOOKUP(2,1/($B$9:$B$33=$B34),$E$9:$E33),0),IFERROR(LOOKUP(2,1/($B$9:$B$33=$B34),$E$9:$E33),0)&gt;$E34),"Date out of order",IF(AND(OR($F34="buy_to_close",$F34="expire",$F34="roll",$F34="assignment",$F34="called_away"),$AF34=0),"Unknown lot",IF(OR(AND($F34="assignment",$AF34&gt;0,IF($AF34&gt;0,INDEX($AG$9:$AG$33,$AF34),"")&lt;&gt;"put"),AND($F34="called_away",$AF34&gt;0,IF($AF34&gt;0,INDEX($AG$9:$AG$33,$AF34),"")&lt;&gt;"call")),"Wrong option leg",IF(OR(AND(OR($F34="sell_put",$F34="sell_call"),OR($H34&lt;=0,$I34&lt;=0,$J34&lt;0)),AND(OR($F34="buy_to_close",$F34="expire",$F34="assignment",$F34="called_away"),OR($H34&lt;=0,$J34&lt;0)),AND($F34="roll",OR($H34&lt;=0,$I34&lt;=0,$J34&lt;0,$K34&lt;0)),AND(OR($F34="buy_shares",$F34="sell_shares"),OR($L34&lt;=0,$M34&lt;0)),AND(OR($F34="dividend",$F34="fee"),$N34&lt;0)),"Invalid value",IF(AND(OR($F34="sell_shares",$F34="called_away"),$AL34&lt;IF($F34="called_away",$AE34*$D34,$L34)),"Insufficient shares (capped)",IF(AND(OR($F34="buy_to_close",$F34="expire",$F34="roll",$F34="assignment",$F34="called_away"),$AF34&gt;0,$H34&gt;IF($AF34&gt;0,MAX(0,INDEX($AI$9:$AI$33,$AF34)-SUMIFS($AE$9:$AE$33,$G$9:$G$33,$G34,$B$9:$B$33,$B34)),0)),"Close quantity capped","OK")))))))))</f>
        <v/>
      </c>
      <c r="W34" s="59" t="str">
        <f t="shared" si="3"/>
        <v/>
      </c>
      <c r="X34" s="60" t="str">
        <f t="shared" si="4"/>
        <v/>
      </c>
      <c r="Y34" s="50" t="str">
        <f t="shared" si="5"/>
        <v/>
      </c>
      <c r="Z34" s="50" t="str">
        <f t="shared" si="6"/>
        <v/>
      </c>
      <c r="AA34" s="50" t="str">
        <f t="shared" si="7"/>
        <v/>
      </c>
      <c r="AB34" s="50" t="str">
        <f t="shared" si="8"/>
        <v/>
      </c>
      <c r="AC34" s="50" t="str">
        <f>IF($A34="","",IF($F34="assignment",IF($AF34&gt;0,INDEX($AH$9:$AH$33,$AF34),0)*$AE34*$D34,IF($F34="buy_shares",$M34*$AL34,0)))</f>
        <v/>
      </c>
      <c r="AD34" s="50" t="str">
        <f>IF($A34="","",IF($F34="called_away",IF($AF34&gt;0,INDEX($AH$9:$AH$33,$AF34),0)*$AL34,IF($F34="sell_shares",$M34*$AL34,0)))</f>
        <v/>
      </c>
      <c r="AE34" s="51" t="str">
        <f>IF($A34="","",IF(OR($F34="sell_put",$F34="sell_call"),IF(AND($H34&gt;0,$I34&gt;0,$J34&gt;=0),$H34,0),IF(OR($F34="buy_to_close",$F34="expire",$F34="roll",$F34="assignment",$F34="called_away"),IF(AND($AF34&gt;0,$H34&gt;0,IF($F34="assignment",IF($AF34&gt;0,INDEX($AG$9:$AG$33,$AF34),"")="put",TRUE),IF($F34="called_away",IF($AF34&gt;0,INDEX($AG$9:$AG$33,$AF34),"")="call",TRUE)),MIN($H34,IF($AF34&gt;0,MAX(0,INDEX($AI$9:$AI$33,$AF34)-SUMIFS($AE$9:$AE$33,$G$9:$G$33,$G34,$B$9:$B$33,$B34)),0)),0),0)))</f>
        <v/>
      </c>
      <c r="AF34" t="str">
        <f>IF($A34="","",IFERROR(MATCH(LEN($B34)&amp;":"&amp;$B34&amp;$G34,$AY$9:$AY$33,0),0))</f>
        <v/>
      </c>
      <c r="AG34" t="str">
        <f>IF($A34="","",IF($F34="sell_put","put",IF($F34="sell_call","call",IF($F34="roll",IF($AF34&gt;0,IF($AF34&gt;0,INDEX($AG$9:$AG$33,$AF34),""),""),IF($AF34&gt;0,IF($AF34&gt;0,INDEX($AG$9:$AG$33,$AF34),""),"")))))</f>
        <v/>
      </c>
      <c r="AH34" t="str">
        <f>IF($A34="","",IF(OR($F34="sell_put",$F34="sell_call",$F34="roll"),$I34,IF($AF34&gt;0,IF($AF34&gt;0,INDEX($AH$9:$AH$33,$AF34),0),0)))</f>
        <v/>
      </c>
      <c r="AI34" s="51" t="str">
        <f t="shared" si="9"/>
        <v/>
      </c>
      <c r="AJ34" s="51" t="str">
        <f>IF($A34="","",IFERROR(LOOKUP(2,1/($B$9:$B$33=$B34),$AM$9:$AM33),0))</f>
        <v/>
      </c>
      <c r="AK34" t="str">
        <f>IF($A34="","",IFERROR(LOOKUP(2,1/($B$9:$B$33=$B34),$AN$9:$AN33),0))</f>
        <v/>
      </c>
      <c r="AL34" s="51" t="str">
        <f t="shared" si="10"/>
        <v/>
      </c>
      <c r="AM34" s="51" t="str">
        <f t="shared" si="11"/>
        <v/>
      </c>
      <c r="AN34" t="str">
        <f t="shared" si="12"/>
        <v/>
      </c>
      <c r="AO34" s="50" t="str">
        <f>IF($A34="","",IFERROR(LOOKUP(2,1/($B$9:$B$33=$B34),$AO$9:$AO33),0)+IF($F34="sell_put",$I34*$AE34*$D34,IF($F34="roll",IF($AG34="put",($I34-IF($AF34&gt;0,INDEX($AH$9:$AH$33,$AF34),0))*$AE34*$D34,0),IF(AND(OR($F34="buy_to_close",$F34="expire",$F34="roll",$F34="assignment",$F34="called_away"),$F34&lt;&gt;"roll",$AG34="put"),-IF($AF34&gt;0,INDEX($AH$9:$AH$33,$AF34),0)*$AE34*$D34,0))))</f>
        <v/>
      </c>
      <c r="AP34" s="51" t="str">
        <f>IF($A34="","",IFERROR(LOOKUP(2,1/($B$9:$B$33=$B34),$AP$9:$AP33),0)+IF($F34="sell_put",$AE34*$D34,IF(AND(OR($F34="buy_to_close",$F34="expire",$F34="roll",$F34="assignment",$F34="called_away"),$F34&lt;&gt;"roll",$AG34="put"),-$AE34*$D34,0)))</f>
        <v/>
      </c>
      <c r="AQ34" s="51" t="str">
        <f>IF($A34="","",IFERROR(LOOKUP(2,1/($B$9:$B$33=$B34),$AQ$9:$AQ33),0)+IF(OR($F34="sell_put",$F34="sell_call"),$AE34,0)-IF(AND(OR($F34="buy_to_close",$F34="expire",$F34="roll",$F34="assignment",$F34="called_away"),$F34&lt;&gt;"roll"),$AE34,0))</f>
        <v/>
      </c>
      <c r="AR34" t="str">
        <f t="shared" si="13"/>
        <v/>
      </c>
      <c r="AS34" s="50" t="str">
        <f t="shared" si="14"/>
        <v/>
      </c>
      <c r="AT34" s="50" t="str">
        <f>IF($A34="","",MAX(IF($T34=IFERROR(LOOKUP(2,1/($B$9:$B$33=$B34),$T$9:$T33),0),IFERROR(LOOKUP(2,1/($B$9:$B$33=$B34),$AT$9:$AT33),0),0),$AS34))</f>
        <v/>
      </c>
      <c r="AU34" t="str">
        <f t="shared" si="15"/>
        <v/>
      </c>
      <c r="AV34" s="51">
        <f>IF($AU34="",0,IF(AND(IFERROR(LOOKUP(2,1/($B$9:$B$33=$B34),$AR$9:$AR33),1),NOT(AND(OR($F34="dividend",$F34="fee"),IFERROR(LOOKUP(2,1/($B$9:$B$33=$B34),$T$9:$T33),0)&gt;0))),ROW(),0))</f>
        <v>0</v>
      </c>
      <c r="AW34">
        <f>IF($A34="",0,IF($AV34&gt;0,MAX($AW$9:$AW$33)+1,MAX($AW$9:$AW$33)))</f>
        <v>0</v>
      </c>
      <c r="AX34">
        <f>IF($AU34="",0,IF(AND($AR34,OR(NOT(IFERROR(LOOKUP(2,1/($B$9:$B$33=$B34),$AR$9:$AR33),1)),IFERROR(LOOKUP(2,1/($B$9:$B$33=$B34),$T$9:$T33),0)=0)),ROW(),0))</f>
        <v>0</v>
      </c>
      <c r="AY34" t="str">
        <f t="shared" si="16"/>
        <v/>
      </c>
    </row>
    <row r="35" spans="1:51" ht="15" x14ac:dyDescent="0.25">
      <c r="A35" s="41" t="str">
        <f>IF(Trades!$A35="","",Trades!O35)</f>
        <v/>
      </c>
      <c r="B35" s="41" t="str">
        <f>IF(Trades!$A35="","",Trades!B35)</f>
        <v/>
      </c>
      <c r="C35" s="41" t="str">
        <f>IF(Trades!$A35="","",Trades!C35)</f>
        <v/>
      </c>
      <c r="D35" s="42" t="str">
        <f>IF(Trades!$A35="","",IF(Trades!$L35&gt;0,Trades!$L35,Trades!$C$6))</f>
        <v/>
      </c>
      <c r="E35" s="43" t="str">
        <f>IF(Trades!$A35="","",Trades!A35)</f>
        <v/>
      </c>
      <c r="F35" s="41" t="str">
        <f>IF(Trades!$A35="","",IFERROR(INDEX(Trades!$V$2:$V$14,MATCH(Trades!$E35,Trades!$U$2:$U$14,0)),""))</f>
        <v/>
      </c>
      <c r="G35" s="41" t="str">
        <f>IF(Trades!$A35="","",Trades!N35)</f>
        <v/>
      </c>
      <c r="H35" s="42" t="str">
        <f>IF(Trades!$A35="","",Trades!F35)</f>
        <v/>
      </c>
      <c r="I35" s="44" t="str">
        <f>IF(Trades!$A35="","",Trades!G35)</f>
        <v/>
      </c>
      <c r="J35" s="44" t="str">
        <f>IF(Trades!$A35="","",Trades!I35)</f>
        <v/>
      </c>
      <c r="K35" s="44" t="str">
        <f>IF(Trades!$A35="","",Trades!Q35)</f>
        <v/>
      </c>
      <c r="L35" s="42" t="str">
        <f>IF(Trades!$A35="","",Trades!F35)</f>
        <v/>
      </c>
      <c r="M35" s="44" t="str">
        <f>IF(Trades!$A35="","",Trades!M35)</f>
        <v/>
      </c>
      <c r="N35" s="44" t="str">
        <f>IF(Trades!$A35="","",Trades!R35)</f>
        <v/>
      </c>
      <c r="O35" s="44" t="str">
        <f>IF(Trades!$A35="","",Trades!J35)</f>
        <v/>
      </c>
      <c r="P35" s="43" t="str">
        <f>IF(Trades!$A35="","",Trades!H35)</f>
        <v/>
      </c>
      <c r="Q35" s="41" t="str">
        <f>IF(Trades!$A35="","",Trades!P35)</f>
        <v/>
      </c>
      <c r="R35" s="45" t="str">
        <f t="shared" si="0"/>
        <v/>
      </c>
      <c r="S35" s="45" t="str">
        <f t="shared" si="1"/>
        <v/>
      </c>
      <c r="T35" s="46" t="str">
        <f>IF(OR($A35="",$B35=""),"",IF(AND(IFERROR(LOOKUP(2,1/($B$9:$B$34=$B35),$AR$9:$AR34),1),NOT(AND(OR($F35="dividend",$F35="fee"),IFERROR(LOOKUP(2,1/($B$9:$B$34=$B35),$T$9:$T34),0)&gt;0))),IFERROR(LOOKUP(2,1/($B$9:$B$34=$B35),$T$9:$T34),0)+1,IFERROR(LOOKUP(2,1/($B$9:$B$34=$B35),$T$9:$T34),0)))</f>
        <v/>
      </c>
      <c r="U35" s="47" t="str">
        <f t="shared" si="2"/>
        <v/>
      </c>
      <c r="V35" s="47" t="str">
        <f>IF($A35="","",IF(OR($B35="",$C35="",$D35="",$E35="",$F35=""),"Missing required field",IF(COUNTIFS($A$9:$A35,$A35,$B$9:$B35,$B35)&gt;1,"Duplicate event ID",IF(AND($E35&lt;&gt;IFERROR(LOOKUP(2,1/($B$9:$B$34=$B35),$E$9:$E34),0),IFERROR(LOOKUP(2,1/($B$9:$B$34=$B35),$E$9:$E34),0)&gt;$E35),"Date out of order",IF(AND(OR($F35="buy_to_close",$F35="expire",$F35="roll",$F35="assignment",$F35="called_away"),$AF35=0),"Unknown lot",IF(OR(AND($F35="assignment",$AF35&gt;0,IF($AF35&gt;0,INDEX($AG$9:$AG$34,$AF35),"")&lt;&gt;"put"),AND($F35="called_away",$AF35&gt;0,IF($AF35&gt;0,INDEX($AG$9:$AG$34,$AF35),"")&lt;&gt;"call")),"Wrong option leg",IF(OR(AND(OR($F35="sell_put",$F35="sell_call"),OR($H35&lt;=0,$I35&lt;=0,$J35&lt;0)),AND(OR($F35="buy_to_close",$F35="expire",$F35="assignment",$F35="called_away"),OR($H35&lt;=0,$J35&lt;0)),AND($F35="roll",OR($H35&lt;=0,$I35&lt;=0,$J35&lt;0,$K35&lt;0)),AND(OR($F35="buy_shares",$F35="sell_shares"),OR($L35&lt;=0,$M35&lt;0)),AND(OR($F35="dividend",$F35="fee"),$N35&lt;0)),"Invalid value",IF(AND(OR($F35="sell_shares",$F35="called_away"),$AL35&lt;IF($F35="called_away",$AE35*$D35,$L35)),"Insufficient shares (capped)",IF(AND(OR($F35="buy_to_close",$F35="expire",$F35="roll",$F35="assignment",$F35="called_away"),$AF35&gt;0,$H35&gt;IF($AF35&gt;0,MAX(0,INDEX($AI$9:$AI$34,$AF35)-SUMIFS($AE$9:$AE$34,$G$9:$G$34,$G35,$B$9:$B$34,$B35)),0)),"Close quantity capped","OK")))))))))</f>
        <v/>
      </c>
      <c r="W35" s="48" t="str">
        <f t="shared" si="3"/>
        <v/>
      </c>
      <c r="X35" s="49" t="str">
        <f t="shared" si="4"/>
        <v/>
      </c>
      <c r="Y35" s="50" t="str">
        <f t="shared" si="5"/>
        <v/>
      </c>
      <c r="Z35" s="50" t="str">
        <f t="shared" si="6"/>
        <v/>
      </c>
      <c r="AA35" s="50" t="str">
        <f t="shared" si="7"/>
        <v/>
      </c>
      <c r="AB35" s="50" t="str">
        <f t="shared" si="8"/>
        <v/>
      </c>
      <c r="AC35" s="50" t="str">
        <f>IF($A35="","",IF($F35="assignment",IF($AF35&gt;0,INDEX($AH$9:$AH$34,$AF35),0)*$AE35*$D35,IF($F35="buy_shares",$M35*$AL35,0)))</f>
        <v/>
      </c>
      <c r="AD35" s="50" t="str">
        <f>IF($A35="","",IF($F35="called_away",IF($AF35&gt;0,INDEX($AH$9:$AH$34,$AF35),0)*$AL35,IF($F35="sell_shares",$M35*$AL35,0)))</f>
        <v/>
      </c>
      <c r="AE35" s="51" t="str">
        <f>IF($A35="","",IF(OR($F35="sell_put",$F35="sell_call"),IF(AND($H35&gt;0,$I35&gt;0,$J35&gt;=0),$H35,0),IF(OR($F35="buy_to_close",$F35="expire",$F35="roll",$F35="assignment",$F35="called_away"),IF(AND($AF35&gt;0,$H35&gt;0,IF($F35="assignment",IF($AF35&gt;0,INDEX($AG$9:$AG$34,$AF35),"")="put",TRUE),IF($F35="called_away",IF($AF35&gt;0,INDEX($AG$9:$AG$34,$AF35),"")="call",TRUE)),MIN($H35,IF($AF35&gt;0,MAX(0,INDEX($AI$9:$AI$34,$AF35)-SUMIFS($AE$9:$AE$34,$G$9:$G$34,$G35,$B$9:$B$34,$B35)),0)),0),0)))</f>
        <v/>
      </c>
      <c r="AF35" t="str">
        <f>IF($A35="","",IFERROR(MATCH(LEN($B35)&amp;":"&amp;$B35&amp;$G35,$AY$9:$AY$34,0),0))</f>
        <v/>
      </c>
      <c r="AG35" t="str">
        <f>IF($A35="","",IF($F35="sell_put","put",IF($F35="sell_call","call",IF($F35="roll",IF($AF35&gt;0,IF($AF35&gt;0,INDEX($AG$9:$AG$34,$AF35),""),""),IF($AF35&gt;0,IF($AF35&gt;0,INDEX($AG$9:$AG$34,$AF35),""),"")))))</f>
        <v/>
      </c>
      <c r="AH35" t="str">
        <f>IF($A35="","",IF(OR($F35="sell_put",$F35="sell_call",$F35="roll"),$I35,IF($AF35&gt;0,IF($AF35&gt;0,INDEX($AH$9:$AH$34,$AF35),0),0)))</f>
        <v/>
      </c>
      <c r="AI35" s="51" t="str">
        <f t="shared" si="9"/>
        <v/>
      </c>
      <c r="AJ35" s="51" t="str">
        <f>IF($A35="","",IFERROR(LOOKUP(2,1/($B$9:$B$34=$B35),$AM$9:$AM34),0))</f>
        <v/>
      </c>
      <c r="AK35" t="str">
        <f>IF($A35="","",IFERROR(LOOKUP(2,1/($B$9:$B$34=$B35),$AN$9:$AN34),0))</f>
        <v/>
      </c>
      <c r="AL35" s="51" t="str">
        <f t="shared" si="10"/>
        <v/>
      </c>
      <c r="AM35" s="51" t="str">
        <f t="shared" si="11"/>
        <v/>
      </c>
      <c r="AN35" t="str">
        <f t="shared" si="12"/>
        <v/>
      </c>
      <c r="AO35" s="50" t="str">
        <f>IF($A35="","",IFERROR(LOOKUP(2,1/($B$9:$B$34=$B35),$AO$9:$AO34),0)+IF($F35="sell_put",$I35*$AE35*$D35,IF($F35="roll",IF($AG35="put",($I35-IF($AF35&gt;0,INDEX($AH$9:$AH$34,$AF35),0))*$AE35*$D35,0),IF(AND(OR($F35="buy_to_close",$F35="expire",$F35="roll",$F35="assignment",$F35="called_away"),$F35&lt;&gt;"roll",$AG35="put"),-IF($AF35&gt;0,INDEX($AH$9:$AH$34,$AF35),0)*$AE35*$D35,0))))</f>
        <v/>
      </c>
      <c r="AP35" s="51" t="str">
        <f>IF($A35="","",IFERROR(LOOKUP(2,1/($B$9:$B$34=$B35),$AP$9:$AP34),0)+IF($F35="sell_put",$AE35*$D35,IF(AND(OR($F35="buy_to_close",$F35="expire",$F35="roll",$F35="assignment",$F35="called_away"),$F35&lt;&gt;"roll",$AG35="put"),-$AE35*$D35,0)))</f>
        <v/>
      </c>
      <c r="AQ35" s="51" t="str">
        <f>IF($A35="","",IFERROR(LOOKUP(2,1/($B$9:$B$34=$B35),$AQ$9:$AQ34),0)+IF(OR($F35="sell_put",$F35="sell_call"),$AE35,0)-IF(AND(OR($F35="buy_to_close",$F35="expire",$F35="roll",$F35="assignment",$F35="called_away"),$F35&lt;&gt;"roll"),$AE35,0))</f>
        <v/>
      </c>
      <c r="AR35" t="str">
        <f t="shared" si="13"/>
        <v/>
      </c>
      <c r="AS35" s="50" t="str">
        <f t="shared" si="14"/>
        <v/>
      </c>
      <c r="AT35" s="50" t="str">
        <f>IF($A35="","",MAX(IF($T35=IFERROR(LOOKUP(2,1/($B$9:$B$34=$B35),$T$9:$T34),0),IFERROR(LOOKUP(2,1/($B$9:$B$34=$B35),$AT$9:$AT34),0),0),$AS35))</f>
        <v/>
      </c>
      <c r="AU35" t="str">
        <f t="shared" si="15"/>
        <v/>
      </c>
      <c r="AV35" s="51">
        <f>IF($AU35="",0,IF(AND(IFERROR(LOOKUP(2,1/($B$9:$B$34=$B35),$AR$9:$AR34),1),NOT(AND(OR($F35="dividend",$F35="fee"),IFERROR(LOOKUP(2,1/($B$9:$B$34=$B35),$T$9:$T34),0)&gt;0))),ROW(),0))</f>
        <v>0</v>
      </c>
      <c r="AW35">
        <f>IF($A35="",0,IF($AV35&gt;0,MAX($AW$9:$AW$34)+1,MAX($AW$9:$AW$34)))</f>
        <v>0</v>
      </c>
      <c r="AX35">
        <f>IF($AU35="",0,IF(AND($AR35,OR(NOT(IFERROR(LOOKUP(2,1/($B$9:$B$34=$B35),$AR$9:$AR34),1)),IFERROR(LOOKUP(2,1/($B$9:$B$34=$B35),$T$9:$T34),0)=0)),ROW(),0))</f>
        <v>0</v>
      </c>
      <c r="AY35" t="str">
        <f t="shared" si="16"/>
        <v/>
      </c>
    </row>
    <row r="36" spans="1:51" ht="15" x14ac:dyDescent="0.25">
      <c r="A36" s="52" t="str">
        <f>IF(Trades!$A36="","",Trades!O36)</f>
        <v/>
      </c>
      <c r="B36" s="52" t="str">
        <f>IF(Trades!$A36="","",Trades!B36)</f>
        <v/>
      </c>
      <c r="C36" s="52" t="str">
        <f>IF(Trades!$A36="","",Trades!C36)</f>
        <v/>
      </c>
      <c r="D36" s="53" t="str">
        <f>IF(Trades!$A36="","",IF(Trades!$L36&gt;0,Trades!$L36,Trades!$C$6))</f>
        <v/>
      </c>
      <c r="E36" s="54" t="str">
        <f>IF(Trades!$A36="","",Trades!A36)</f>
        <v/>
      </c>
      <c r="F36" s="52" t="str">
        <f>IF(Trades!$A36="","",IFERROR(INDEX(Trades!$V$2:$V$14,MATCH(Trades!$E36,Trades!$U$2:$U$14,0)),""))</f>
        <v/>
      </c>
      <c r="G36" s="52" t="str">
        <f>IF(Trades!$A36="","",Trades!N36)</f>
        <v/>
      </c>
      <c r="H36" s="53" t="str">
        <f>IF(Trades!$A36="","",Trades!F36)</f>
        <v/>
      </c>
      <c r="I36" s="55" t="str">
        <f>IF(Trades!$A36="","",Trades!G36)</f>
        <v/>
      </c>
      <c r="J36" s="55" t="str">
        <f>IF(Trades!$A36="","",Trades!I36)</f>
        <v/>
      </c>
      <c r="K36" s="55" t="str">
        <f>IF(Trades!$A36="","",Trades!Q36)</f>
        <v/>
      </c>
      <c r="L36" s="53" t="str">
        <f>IF(Trades!$A36="","",Trades!F36)</f>
        <v/>
      </c>
      <c r="M36" s="55" t="str">
        <f>IF(Trades!$A36="","",Trades!M36)</f>
        <v/>
      </c>
      <c r="N36" s="55" t="str">
        <f>IF(Trades!$A36="","",Trades!R36)</f>
        <v/>
      </c>
      <c r="O36" s="55" t="str">
        <f>IF(Trades!$A36="","",Trades!J36)</f>
        <v/>
      </c>
      <c r="P36" s="54" t="str">
        <f>IF(Trades!$A36="","",Trades!H36)</f>
        <v/>
      </c>
      <c r="Q36" s="52" t="str">
        <f>IF(Trades!$A36="","",Trades!P36)</f>
        <v/>
      </c>
      <c r="R36" s="56" t="str">
        <f t="shared" si="0"/>
        <v/>
      </c>
      <c r="S36" s="56" t="str">
        <f t="shared" si="1"/>
        <v/>
      </c>
      <c r="T36" s="57" t="str">
        <f>IF(OR($A36="",$B36=""),"",IF(AND(IFERROR(LOOKUP(2,1/($B$9:$B$35=$B36),$AR$9:$AR35),1),NOT(AND(OR($F36="dividend",$F36="fee"),IFERROR(LOOKUP(2,1/($B$9:$B$35=$B36),$T$9:$T35),0)&gt;0))),IFERROR(LOOKUP(2,1/($B$9:$B$35=$B36),$T$9:$T35),0)+1,IFERROR(LOOKUP(2,1/($B$9:$B$35=$B36),$T$9:$T35),0)))</f>
        <v/>
      </c>
      <c r="U36" s="58" t="str">
        <f t="shared" si="2"/>
        <v/>
      </c>
      <c r="V36" s="58" t="str">
        <f>IF($A36="","",IF(OR($B36="",$C36="",$D36="",$E36="",$F36=""),"Missing required field",IF(COUNTIFS($A$9:$A36,$A36,$B$9:$B36,$B36)&gt;1,"Duplicate event ID",IF(AND($E36&lt;&gt;IFERROR(LOOKUP(2,1/($B$9:$B$35=$B36),$E$9:$E35),0),IFERROR(LOOKUP(2,1/($B$9:$B$35=$B36),$E$9:$E35),0)&gt;$E36),"Date out of order",IF(AND(OR($F36="buy_to_close",$F36="expire",$F36="roll",$F36="assignment",$F36="called_away"),$AF36=0),"Unknown lot",IF(OR(AND($F36="assignment",$AF36&gt;0,IF($AF36&gt;0,INDEX($AG$9:$AG$35,$AF36),"")&lt;&gt;"put"),AND($F36="called_away",$AF36&gt;0,IF($AF36&gt;0,INDEX($AG$9:$AG$35,$AF36),"")&lt;&gt;"call")),"Wrong option leg",IF(OR(AND(OR($F36="sell_put",$F36="sell_call"),OR($H36&lt;=0,$I36&lt;=0,$J36&lt;0)),AND(OR($F36="buy_to_close",$F36="expire",$F36="assignment",$F36="called_away"),OR($H36&lt;=0,$J36&lt;0)),AND($F36="roll",OR($H36&lt;=0,$I36&lt;=0,$J36&lt;0,$K36&lt;0)),AND(OR($F36="buy_shares",$F36="sell_shares"),OR($L36&lt;=0,$M36&lt;0)),AND(OR($F36="dividend",$F36="fee"),$N36&lt;0)),"Invalid value",IF(AND(OR($F36="sell_shares",$F36="called_away"),$AL36&lt;IF($F36="called_away",$AE36*$D36,$L36)),"Insufficient shares (capped)",IF(AND(OR($F36="buy_to_close",$F36="expire",$F36="roll",$F36="assignment",$F36="called_away"),$AF36&gt;0,$H36&gt;IF($AF36&gt;0,MAX(0,INDEX($AI$9:$AI$35,$AF36)-SUMIFS($AE$9:$AE$35,$G$9:$G$35,$G36,$B$9:$B$35,$B36)),0)),"Close quantity capped","OK")))))))))</f>
        <v/>
      </c>
      <c r="W36" s="59" t="str">
        <f t="shared" si="3"/>
        <v/>
      </c>
      <c r="X36" s="60" t="str">
        <f t="shared" si="4"/>
        <v/>
      </c>
      <c r="Y36" s="50" t="str">
        <f t="shared" si="5"/>
        <v/>
      </c>
      <c r="Z36" s="50" t="str">
        <f t="shared" si="6"/>
        <v/>
      </c>
      <c r="AA36" s="50" t="str">
        <f t="shared" si="7"/>
        <v/>
      </c>
      <c r="AB36" s="50" t="str">
        <f t="shared" si="8"/>
        <v/>
      </c>
      <c r="AC36" s="50" t="str">
        <f>IF($A36="","",IF($F36="assignment",IF($AF36&gt;0,INDEX($AH$9:$AH$35,$AF36),0)*$AE36*$D36,IF($F36="buy_shares",$M36*$AL36,0)))</f>
        <v/>
      </c>
      <c r="AD36" s="50" t="str">
        <f>IF($A36="","",IF($F36="called_away",IF($AF36&gt;0,INDEX($AH$9:$AH$35,$AF36),0)*$AL36,IF($F36="sell_shares",$M36*$AL36,0)))</f>
        <v/>
      </c>
      <c r="AE36" s="51" t="str">
        <f>IF($A36="","",IF(OR($F36="sell_put",$F36="sell_call"),IF(AND($H36&gt;0,$I36&gt;0,$J36&gt;=0),$H36,0),IF(OR($F36="buy_to_close",$F36="expire",$F36="roll",$F36="assignment",$F36="called_away"),IF(AND($AF36&gt;0,$H36&gt;0,IF($F36="assignment",IF($AF36&gt;0,INDEX($AG$9:$AG$35,$AF36),"")="put",TRUE),IF($F36="called_away",IF($AF36&gt;0,INDEX($AG$9:$AG$35,$AF36),"")="call",TRUE)),MIN($H36,IF($AF36&gt;0,MAX(0,INDEX($AI$9:$AI$35,$AF36)-SUMIFS($AE$9:$AE$35,$G$9:$G$35,$G36,$B$9:$B$35,$B36)),0)),0),0)))</f>
        <v/>
      </c>
      <c r="AF36" t="str">
        <f>IF($A36="","",IFERROR(MATCH(LEN($B36)&amp;":"&amp;$B36&amp;$G36,$AY$9:$AY$35,0),0))</f>
        <v/>
      </c>
      <c r="AG36" t="str">
        <f>IF($A36="","",IF($F36="sell_put","put",IF($F36="sell_call","call",IF($F36="roll",IF($AF36&gt;0,IF($AF36&gt;0,INDEX($AG$9:$AG$35,$AF36),""),""),IF($AF36&gt;0,IF($AF36&gt;0,INDEX($AG$9:$AG$35,$AF36),""),"")))))</f>
        <v/>
      </c>
      <c r="AH36" t="str">
        <f>IF($A36="","",IF(OR($F36="sell_put",$F36="sell_call",$F36="roll"),$I36,IF($AF36&gt;0,IF($AF36&gt;0,INDEX($AH$9:$AH$35,$AF36),0),0)))</f>
        <v/>
      </c>
      <c r="AI36" s="51" t="str">
        <f t="shared" si="9"/>
        <v/>
      </c>
      <c r="AJ36" s="51" t="str">
        <f>IF($A36="","",IFERROR(LOOKUP(2,1/($B$9:$B$35=$B36),$AM$9:$AM35),0))</f>
        <v/>
      </c>
      <c r="AK36" t="str">
        <f>IF($A36="","",IFERROR(LOOKUP(2,1/($B$9:$B$35=$B36),$AN$9:$AN35),0))</f>
        <v/>
      </c>
      <c r="AL36" s="51" t="str">
        <f t="shared" si="10"/>
        <v/>
      </c>
      <c r="AM36" s="51" t="str">
        <f t="shared" si="11"/>
        <v/>
      </c>
      <c r="AN36" t="str">
        <f t="shared" si="12"/>
        <v/>
      </c>
      <c r="AO36" s="50" t="str">
        <f>IF($A36="","",IFERROR(LOOKUP(2,1/($B$9:$B$35=$B36),$AO$9:$AO35),0)+IF($F36="sell_put",$I36*$AE36*$D36,IF($F36="roll",IF($AG36="put",($I36-IF($AF36&gt;0,INDEX($AH$9:$AH$35,$AF36),0))*$AE36*$D36,0),IF(AND(OR($F36="buy_to_close",$F36="expire",$F36="roll",$F36="assignment",$F36="called_away"),$F36&lt;&gt;"roll",$AG36="put"),-IF($AF36&gt;0,INDEX($AH$9:$AH$35,$AF36),0)*$AE36*$D36,0))))</f>
        <v/>
      </c>
      <c r="AP36" s="51" t="str">
        <f>IF($A36="","",IFERROR(LOOKUP(2,1/($B$9:$B$35=$B36),$AP$9:$AP35),0)+IF($F36="sell_put",$AE36*$D36,IF(AND(OR($F36="buy_to_close",$F36="expire",$F36="roll",$F36="assignment",$F36="called_away"),$F36&lt;&gt;"roll",$AG36="put"),-$AE36*$D36,0)))</f>
        <v/>
      </c>
      <c r="AQ36" s="51" t="str">
        <f>IF($A36="","",IFERROR(LOOKUP(2,1/($B$9:$B$35=$B36),$AQ$9:$AQ35),0)+IF(OR($F36="sell_put",$F36="sell_call"),$AE36,0)-IF(AND(OR($F36="buy_to_close",$F36="expire",$F36="roll",$F36="assignment",$F36="called_away"),$F36&lt;&gt;"roll"),$AE36,0))</f>
        <v/>
      </c>
      <c r="AR36" t="str">
        <f t="shared" si="13"/>
        <v/>
      </c>
      <c r="AS36" s="50" t="str">
        <f t="shared" si="14"/>
        <v/>
      </c>
      <c r="AT36" s="50" t="str">
        <f>IF($A36="","",MAX(IF($T36=IFERROR(LOOKUP(2,1/($B$9:$B$35=$B36),$T$9:$T35),0),IFERROR(LOOKUP(2,1/($B$9:$B$35=$B36),$AT$9:$AT35),0),0),$AS36))</f>
        <v/>
      </c>
      <c r="AU36" t="str">
        <f t="shared" si="15"/>
        <v/>
      </c>
      <c r="AV36" s="51">
        <f>IF($AU36="",0,IF(AND(IFERROR(LOOKUP(2,1/($B$9:$B$35=$B36),$AR$9:$AR35),1),NOT(AND(OR($F36="dividend",$F36="fee"),IFERROR(LOOKUP(2,1/($B$9:$B$35=$B36),$T$9:$T35),0)&gt;0))),ROW(),0))</f>
        <v>0</v>
      </c>
      <c r="AW36">
        <f>IF($A36="",0,IF($AV36&gt;0,MAX($AW$9:$AW$35)+1,MAX($AW$9:$AW$35)))</f>
        <v>0</v>
      </c>
      <c r="AX36">
        <f>IF($AU36="",0,IF(AND($AR36,OR(NOT(IFERROR(LOOKUP(2,1/($B$9:$B$35=$B36),$AR$9:$AR35),1)),IFERROR(LOOKUP(2,1/($B$9:$B$35=$B36),$T$9:$T35),0)=0)),ROW(),0))</f>
        <v>0</v>
      </c>
      <c r="AY36" t="str">
        <f t="shared" si="16"/>
        <v/>
      </c>
    </row>
    <row r="37" spans="1:51" ht="15" x14ac:dyDescent="0.25">
      <c r="A37" s="41" t="str">
        <f>IF(Trades!$A37="","",Trades!O37)</f>
        <v/>
      </c>
      <c r="B37" s="41" t="str">
        <f>IF(Trades!$A37="","",Trades!B37)</f>
        <v/>
      </c>
      <c r="C37" s="41" t="str">
        <f>IF(Trades!$A37="","",Trades!C37)</f>
        <v/>
      </c>
      <c r="D37" s="42" t="str">
        <f>IF(Trades!$A37="","",IF(Trades!$L37&gt;0,Trades!$L37,Trades!$C$6))</f>
        <v/>
      </c>
      <c r="E37" s="43" t="str">
        <f>IF(Trades!$A37="","",Trades!A37)</f>
        <v/>
      </c>
      <c r="F37" s="41" t="str">
        <f>IF(Trades!$A37="","",IFERROR(INDEX(Trades!$V$2:$V$14,MATCH(Trades!$E37,Trades!$U$2:$U$14,0)),""))</f>
        <v/>
      </c>
      <c r="G37" s="41" t="str">
        <f>IF(Trades!$A37="","",Trades!N37)</f>
        <v/>
      </c>
      <c r="H37" s="42" t="str">
        <f>IF(Trades!$A37="","",Trades!F37)</f>
        <v/>
      </c>
      <c r="I37" s="44" t="str">
        <f>IF(Trades!$A37="","",Trades!G37)</f>
        <v/>
      </c>
      <c r="J37" s="44" t="str">
        <f>IF(Trades!$A37="","",Trades!I37)</f>
        <v/>
      </c>
      <c r="K37" s="44" t="str">
        <f>IF(Trades!$A37="","",Trades!Q37)</f>
        <v/>
      </c>
      <c r="L37" s="42" t="str">
        <f>IF(Trades!$A37="","",Trades!F37)</f>
        <v/>
      </c>
      <c r="M37" s="44" t="str">
        <f>IF(Trades!$A37="","",Trades!M37)</f>
        <v/>
      </c>
      <c r="N37" s="44" t="str">
        <f>IF(Trades!$A37="","",Trades!R37)</f>
        <v/>
      </c>
      <c r="O37" s="44" t="str">
        <f>IF(Trades!$A37="","",Trades!J37)</f>
        <v/>
      </c>
      <c r="P37" s="43" t="str">
        <f>IF(Trades!$A37="","",Trades!H37)</f>
        <v/>
      </c>
      <c r="Q37" s="41" t="str">
        <f>IF(Trades!$A37="","",Trades!P37)</f>
        <v/>
      </c>
      <c r="R37" s="45" t="str">
        <f t="shared" si="0"/>
        <v/>
      </c>
      <c r="S37" s="45" t="str">
        <f t="shared" si="1"/>
        <v/>
      </c>
      <c r="T37" s="46" t="str">
        <f>IF(OR($A37="",$B37=""),"",IF(AND(IFERROR(LOOKUP(2,1/($B$9:$B$36=$B37),$AR$9:$AR36),1),NOT(AND(OR($F37="dividend",$F37="fee"),IFERROR(LOOKUP(2,1/($B$9:$B$36=$B37),$T$9:$T36),0)&gt;0))),IFERROR(LOOKUP(2,1/($B$9:$B$36=$B37),$T$9:$T36),0)+1,IFERROR(LOOKUP(2,1/($B$9:$B$36=$B37),$T$9:$T36),0)))</f>
        <v/>
      </c>
      <c r="U37" s="47" t="str">
        <f t="shared" si="2"/>
        <v/>
      </c>
      <c r="V37" s="47" t="str">
        <f>IF($A37="","",IF(OR($B37="",$C37="",$D37="",$E37="",$F37=""),"Missing required field",IF(COUNTIFS($A$9:$A37,$A37,$B$9:$B37,$B37)&gt;1,"Duplicate event ID",IF(AND($E37&lt;&gt;IFERROR(LOOKUP(2,1/($B$9:$B$36=$B37),$E$9:$E36),0),IFERROR(LOOKUP(2,1/($B$9:$B$36=$B37),$E$9:$E36),0)&gt;$E37),"Date out of order",IF(AND(OR($F37="buy_to_close",$F37="expire",$F37="roll",$F37="assignment",$F37="called_away"),$AF37=0),"Unknown lot",IF(OR(AND($F37="assignment",$AF37&gt;0,IF($AF37&gt;0,INDEX($AG$9:$AG$36,$AF37),"")&lt;&gt;"put"),AND($F37="called_away",$AF37&gt;0,IF($AF37&gt;0,INDEX($AG$9:$AG$36,$AF37),"")&lt;&gt;"call")),"Wrong option leg",IF(OR(AND(OR($F37="sell_put",$F37="sell_call"),OR($H37&lt;=0,$I37&lt;=0,$J37&lt;0)),AND(OR($F37="buy_to_close",$F37="expire",$F37="assignment",$F37="called_away"),OR($H37&lt;=0,$J37&lt;0)),AND($F37="roll",OR($H37&lt;=0,$I37&lt;=0,$J37&lt;0,$K37&lt;0)),AND(OR($F37="buy_shares",$F37="sell_shares"),OR($L37&lt;=0,$M37&lt;0)),AND(OR($F37="dividend",$F37="fee"),$N37&lt;0)),"Invalid value",IF(AND(OR($F37="sell_shares",$F37="called_away"),$AL37&lt;IF($F37="called_away",$AE37*$D37,$L37)),"Insufficient shares (capped)",IF(AND(OR($F37="buy_to_close",$F37="expire",$F37="roll",$F37="assignment",$F37="called_away"),$AF37&gt;0,$H37&gt;IF($AF37&gt;0,MAX(0,INDEX($AI$9:$AI$36,$AF37)-SUMIFS($AE$9:$AE$36,$G$9:$G$36,$G37,$B$9:$B$36,$B37)),0)),"Close quantity capped","OK")))))))))</f>
        <v/>
      </c>
      <c r="W37" s="48" t="str">
        <f t="shared" si="3"/>
        <v/>
      </c>
      <c r="X37" s="49" t="str">
        <f t="shared" si="4"/>
        <v/>
      </c>
      <c r="Y37" s="50" t="str">
        <f t="shared" si="5"/>
        <v/>
      </c>
      <c r="Z37" s="50" t="str">
        <f t="shared" si="6"/>
        <v/>
      </c>
      <c r="AA37" s="50" t="str">
        <f t="shared" si="7"/>
        <v/>
      </c>
      <c r="AB37" s="50" t="str">
        <f t="shared" si="8"/>
        <v/>
      </c>
      <c r="AC37" s="50" t="str">
        <f>IF($A37="","",IF($F37="assignment",IF($AF37&gt;0,INDEX($AH$9:$AH$36,$AF37),0)*$AE37*$D37,IF($F37="buy_shares",$M37*$AL37,0)))</f>
        <v/>
      </c>
      <c r="AD37" s="50" t="str">
        <f>IF($A37="","",IF($F37="called_away",IF($AF37&gt;0,INDEX($AH$9:$AH$36,$AF37),0)*$AL37,IF($F37="sell_shares",$M37*$AL37,0)))</f>
        <v/>
      </c>
      <c r="AE37" s="51" t="str">
        <f>IF($A37="","",IF(OR($F37="sell_put",$F37="sell_call"),IF(AND($H37&gt;0,$I37&gt;0,$J37&gt;=0),$H37,0),IF(OR($F37="buy_to_close",$F37="expire",$F37="roll",$F37="assignment",$F37="called_away"),IF(AND($AF37&gt;0,$H37&gt;0,IF($F37="assignment",IF($AF37&gt;0,INDEX($AG$9:$AG$36,$AF37),"")="put",TRUE),IF($F37="called_away",IF($AF37&gt;0,INDEX($AG$9:$AG$36,$AF37),"")="call",TRUE)),MIN($H37,IF($AF37&gt;0,MAX(0,INDEX($AI$9:$AI$36,$AF37)-SUMIFS($AE$9:$AE$36,$G$9:$G$36,$G37,$B$9:$B$36,$B37)),0)),0),0)))</f>
        <v/>
      </c>
      <c r="AF37" t="str">
        <f>IF($A37="","",IFERROR(MATCH(LEN($B37)&amp;":"&amp;$B37&amp;$G37,$AY$9:$AY$36,0),0))</f>
        <v/>
      </c>
      <c r="AG37" t="str">
        <f>IF($A37="","",IF($F37="sell_put","put",IF($F37="sell_call","call",IF($F37="roll",IF($AF37&gt;0,IF($AF37&gt;0,INDEX($AG$9:$AG$36,$AF37),""),""),IF($AF37&gt;0,IF($AF37&gt;0,INDEX($AG$9:$AG$36,$AF37),""),"")))))</f>
        <v/>
      </c>
      <c r="AH37" t="str">
        <f>IF($A37="","",IF(OR($F37="sell_put",$F37="sell_call",$F37="roll"),$I37,IF($AF37&gt;0,IF($AF37&gt;0,INDEX($AH$9:$AH$36,$AF37),0),0)))</f>
        <v/>
      </c>
      <c r="AI37" s="51" t="str">
        <f t="shared" si="9"/>
        <v/>
      </c>
      <c r="AJ37" s="51" t="str">
        <f>IF($A37="","",IFERROR(LOOKUP(2,1/($B$9:$B$36=$B37),$AM$9:$AM36),0))</f>
        <v/>
      </c>
      <c r="AK37" t="str">
        <f>IF($A37="","",IFERROR(LOOKUP(2,1/($B$9:$B$36=$B37),$AN$9:$AN36),0))</f>
        <v/>
      </c>
      <c r="AL37" s="51" t="str">
        <f t="shared" si="10"/>
        <v/>
      </c>
      <c r="AM37" s="51" t="str">
        <f t="shared" si="11"/>
        <v/>
      </c>
      <c r="AN37" t="str">
        <f t="shared" si="12"/>
        <v/>
      </c>
      <c r="AO37" s="50" t="str">
        <f>IF($A37="","",IFERROR(LOOKUP(2,1/($B$9:$B$36=$B37),$AO$9:$AO36),0)+IF($F37="sell_put",$I37*$AE37*$D37,IF($F37="roll",IF($AG37="put",($I37-IF($AF37&gt;0,INDEX($AH$9:$AH$36,$AF37),0))*$AE37*$D37,0),IF(AND(OR($F37="buy_to_close",$F37="expire",$F37="roll",$F37="assignment",$F37="called_away"),$F37&lt;&gt;"roll",$AG37="put"),-IF($AF37&gt;0,INDEX($AH$9:$AH$36,$AF37),0)*$AE37*$D37,0))))</f>
        <v/>
      </c>
      <c r="AP37" s="51" t="str">
        <f>IF($A37="","",IFERROR(LOOKUP(2,1/($B$9:$B$36=$B37),$AP$9:$AP36),0)+IF($F37="sell_put",$AE37*$D37,IF(AND(OR($F37="buy_to_close",$F37="expire",$F37="roll",$F37="assignment",$F37="called_away"),$F37&lt;&gt;"roll",$AG37="put"),-$AE37*$D37,0)))</f>
        <v/>
      </c>
      <c r="AQ37" s="51" t="str">
        <f>IF($A37="","",IFERROR(LOOKUP(2,1/($B$9:$B$36=$B37),$AQ$9:$AQ36),0)+IF(OR($F37="sell_put",$F37="sell_call"),$AE37,0)-IF(AND(OR($F37="buy_to_close",$F37="expire",$F37="roll",$F37="assignment",$F37="called_away"),$F37&lt;&gt;"roll"),$AE37,0))</f>
        <v/>
      </c>
      <c r="AR37" t="str">
        <f t="shared" si="13"/>
        <v/>
      </c>
      <c r="AS37" s="50" t="str">
        <f t="shared" si="14"/>
        <v/>
      </c>
      <c r="AT37" s="50" t="str">
        <f>IF($A37="","",MAX(IF($T37=IFERROR(LOOKUP(2,1/($B$9:$B$36=$B37),$T$9:$T36),0),IFERROR(LOOKUP(2,1/($B$9:$B$36=$B37),$AT$9:$AT36),0),0),$AS37))</f>
        <v/>
      </c>
      <c r="AU37" t="str">
        <f t="shared" si="15"/>
        <v/>
      </c>
      <c r="AV37" s="51">
        <f>IF($AU37="",0,IF(AND(IFERROR(LOOKUP(2,1/($B$9:$B$36=$B37),$AR$9:$AR36),1),NOT(AND(OR($F37="dividend",$F37="fee"),IFERROR(LOOKUP(2,1/($B$9:$B$36=$B37),$T$9:$T36),0)&gt;0))),ROW(),0))</f>
        <v>0</v>
      </c>
      <c r="AW37">
        <f>IF($A37="",0,IF($AV37&gt;0,MAX($AW$9:$AW$36)+1,MAX($AW$9:$AW$36)))</f>
        <v>0</v>
      </c>
      <c r="AX37">
        <f>IF($AU37="",0,IF(AND($AR37,OR(NOT(IFERROR(LOOKUP(2,1/($B$9:$B$36=$B37),$AR$9:$AR36),1)),IFERROR(LOOKUP(2,1/($B$9:$B$36=$B37),$T$9:$T36),0)=0)),ROW(),0))</f>
        <v>0</v>
      </c>
      <c r="AY37" t="str">
        <f t="shared" si="16"/>
        <v/>
      </c>
    </row>
    <row r="38" spans="1:51" ht="15" x14ac:dyDescent="0.25">
      <c r="A38" s="52" t="str">
        <f>IF(Trades!$A38="","",Trades!O38)</f>
        <v/>
      </c>
      <c r="B38" s="52" t="str">
        <f>IF(Trades!$A38="","",Trades!B38)</f>
        <v/>
      </c>
      <c r="C38" s="52" t="str">
        <f>IF(Trades!$A38="","",Trades!C38)</f>
        <v/>
      </c>
      <c r="D38" s="53" t="str">
        <f>IF(Trades!$A38="","",IF(Trades!$L38&gt;0,Trades!$L38,Trades!$C$6))</f>
        <v/>
      </c>
      <c r="E38" s="54" t="str">
        <f>IF(Trades!$A38="","",Trades!A38)</f>
        <v/>
      </c>
      <c r="F38" s="52" t="str">
        <f>IF(Trades!$A38="","",IFERROR(INDEX(Trades!$V$2:$V$14,MATCH(Trades!$E38,Trades!$U$2:$U$14,0)),""))</f>
        <v/>
      </c>
      <c r="G38" s="52" t="str">
        <f>IF(Trades!$A38="","",Trades!N38)</f>
        <v/>
      </c>
      <c r="H38" s="53" t="str">
        <f>IF(Trades!$A38="","",Trades!F38)</f>
        <v/>
      </c>
      <c r="I38" s="55" t="str">
        <f>IF(Trades!$A38="","",Trades!G38)</f>
        <v/>
      </c>
      <c r="J38" s="55" t="str">
        <f>IF(Trades!$A38="","",Trades!I38)</f>
        <v/>
      </c>
      <c r="K38" s="55" t="str">
        <f>IF(Trades!$A38="","",Trades!Q38)</f>
        <v/>
      </c>
      <c r="L38" s="53" t="str">
        <f>IF(Trades!$A38="","",Trades!F38)</f>
        <v/>
      </c>
      <c r="M38" s="55" t="str">
        <f>IF(Trades!$A38="","",Trades!M38)</f>
        <v/>
      </c>
      <c r="N38" s="55" t="str">
        <f>IF(Trades!$A38="","",Trades!R38)</f>
        <v/>
      </c>
      <c r="O38" s="55" t="str">
        <f>IF(Trades!$A38="","",Trades!J38)</f>
        <v/>
      </c>
      <c r="P38" s="54" t="str">
        <f>IF(Trades!$A38="","",Trades!H38)</f>
        <v/>
      </c>
      <c r="Q38" s="52" t="str">
        <f>IF(Trades!$A38="","",Trades!P38)</f>
        <v/>
      </c>
      <c r="R38" s="56" t="str">
        <f t="shared" si="0"/>
        <v/>
      </c>
      <c r="S38" s="56" t="str">
        <f t="shared" si="1"/>
        <v/>
      </c>
      <c r="T38" s="57" t="str">
        <f>IF(OR($A38="",$B38=""),"",IF(AND(IFERROR(LOOKUP(2,1/($B$9:$B$37=$B38),$AR$9:$AR37),1),NOT(AND(OR($F38="dividend",$F38="fee"),IFERROR(LOOKUP(2,1/($B$9:$B$37=$B38),$T$9:$T37),0)&gt;0))),IFERROR(LOOKUP(2,1/($B$9:$B$37=$B38),$T$9:$T37),0)+1,IFERROR(LOOKUP(2,1/($B$9:$B$37=$B38),$T$9:$T37),0)))</f>
        <v/>
      </c>
      <c r="U38" s="58" t="str">
        <f t="shared" si="2"/>
        <v/>
      </c>
      <c r="V38" s="58" t="str">
        <f>IF($A38="","",IF(OR($B38="",$C38="",$D38="",$E38="",$F38=""),"Missing required field",IF(COUNTIFS($A$9:$A38,$A38,$B$9:$B38,$B38)&gt;1,"Duplicate event ID",IF(AND($E38&lt;&gt;IFERROR(LOOKUP(2,1/($B$9:$B$37=$B38),$E$9:$E37),0),IFERROR(LOOKUP(2,1/($B$9:$B$37=$B38),$E$9:$E37),0)&gt;$E38),"Date out of order",IF(AND(OR($F38="buy_to_close",$F38="expire",$F38="roll",$F38="assignment",$F38="called_away"),$AF38=0),"Unknown lot",IF(OR(AND($F38="assignment",$AF38&gt;0,IF($AF38&gt;0,INDEX($AG$9:$AG$37,$AF38),"")&lt;&gt;"put"),AND($F38="called_away",$AF38&gt;0,IF($AF38&gt;0,INDEX($AG$9:$AG$37,$AF38),"")&lt;&gt;"call")),"Wrong option leg",IF(OR(AND(OR($F38="sell_put",$F38="sell_call"),OR($H38&lt;=0,$I38&lt;=0,$J38&lt;0)),AND(OR($F38="buy_to_close",$F38="expire",$F38="assignment",$F38="called_away"),OR($H38&lt;=0,$J38&lt;0)),AND($F38="roll",OR($H38&lt;=0,$I38&lt;=0,$J38&lt;0,$K38&lt;0)),AND(OR($F38="buy_shares",$F38="sell_shares"),OR($L38&lt;=0,$M38&lt;0)),AND(OR($F38="dividend",$F38="fee"),$N38&lt;0)),"Invalid value",IF(AND(OR($F38="sell_shares",$F38="called_away"),$AL38&lt;IF($F38="called_away",$AE38*$D38,$L38)),"Insufficient shares (capped)",IF(AND(OR($F38="buy_to_close",$F38="expire",$F38="roll",$F38="assignment",$F38="called_away"),$AF38&gt;0,$H38&gt;IF($AF38&gt;0,MAX(0,INDEX($AI$9:$AI$37,$AF38)-SUMIFS($AE$9:$AE$37,$G$9:$G$37,$G38,$B$9:$B$37,$B38)),0)),"Close quantity capped","OK")))))))))</f>
        <v/>
      </c>
      <c r="W38" s="59" t="str">
        <f t="shared" si="3"/>
        <v/>
      </c>
      <c r="X38" s="60" t="str">
        <f t="shared" si="4"/>
        <v/>
      </c>
      <c r="Y38" s="50" t="str">
        <f t="shared" si="5"/>
        <v/>
      </c>
      <c r="Z38" s="50" t="str">
        <f t="shared" si="6"/>
        <v/>
      </c>
      <c r="AA38" s="50" t="str">
        <f t="shared" si="7"/>
        <v/>
      </c>
      <c r="AB38" s="50" t="str">
        <f t="shared" si="8"/>
        <v/>
      </c>
      <c r="AC38" s="50" t="str">
        <f>IF($A38="","",IF($F38="assignment",IF($AF38&gt;0,INDEX($AH$9:$AH$37,$AF38),0)*$AE38*$D38,IF($F38="buy_shares",$M38*$AL38,0)))</f>
        <v/>
      </c>
      <c r="AD38" s="50" t="str">
        <f>IF($A38="","",IF($F38="called_away",IF($AF38&gt;0,INDEX($AH$9:$AH$37,$AF38),0)*$AL38,IF($F38="sell_shares",$M38*$AL38,0)))</f>
        <v/>
      </c>
      <c r="AE38" s="51" t="str">
        <f>IF($A38="","",IF(OR($F38="sell_put",$F38="sell_call"),IF(AND($H38&gt;0,$I38&gt;0,$J38&gt;=0),$H38,0),IF(OR($F38="buy_to_close",$F38="expire",$F38="roll",$F38="assignment",$F38="called_away"),IF(AND($AF38&gt;0,$H38&gt;0,IF($F38="assignment",IF($AF38&gt;0,INDEX($AG$9:$AG$37,$AF38),"")="put",TRUE),IF($F38="called_away",IF($AF38&gt;0,INDEX($AG$9:$AG$37,$AF38),"")="call",TRUE)),MIN($H38,IF($AF38&gt;0,MAX(0,INDEX($AI$9:$AI$37,$AF38)-SUMIFS($AE$9:$AE$37,$G$9:$G$37,$G38,$B$9:$B$37,$B38)),0)),0),0)))</f>
        <v/>
      </c>
      <c r="AF38" t="str">
        <f>IF($A38="","",IFERROR(MATCH(LEN($B38)&amp;":"&amp;$B38&amp;$G38,$AY$9:$AY$37,0),0))</f>
        <v/>
      </c>
      <c r="AG38" t="str">
        <f>IF($A38="","",IF($F38="sell_put","put",IF($F38="sell_call","call",IF($F38="roll",IF($AF38&gt;0,IF($AF38&gt;0,INDEX($AG$9:$AG$37,$AF38),""),""),IF($AF38&gt;0,IF($AF38&gt;0,INDEX($AG$9:$AG$37,$AF38),""),"")))))</f>
        <v/>
      </c>
      <c r="AH38" t="str">
        <f>IF($A38="","",IF(OR($F38="sell_put",$F38="sell_call",$F38="roll"),$I38,IF($AF38&gt;0,IF($AF38&gt;0,INDEX($AH$9:$AH$37,$AF38),0),0)))</f>
        <v/>
      </c>
      <c r="AI38" s="51" t="str">
        <f t="shared" si="9"/>
        <v/>
      </c>
      <c r="AJ38" s="51" t="str">
        <f>IF($A38="","",IFERROR(LOOKUP(2,1/($B$9:$B$37=$B38),$AM$9:$AM37),0))</f>
        <v/>
      </c>
      <c r="AK38" t="str">
        <f>IF($A38="","",IFERROR(LOOKUP(2,1/($B$9:$B$37=$B38),$AN$9:$AN37),0))</f>
        <v/>
      </c>
      <c r="AL38" s="51" t="str">
        <f t="shared" si="10"/>
        <v/>
      </c>
      <c r="AM38" s="51" t="str">
        <f t="shared" si="11"/>
        <v/>
      </c>
      <c r="AN38" t="str">
        <f t="shared" si="12"/>
        <v/>
      </c>
      <c r="AO38" s="50" t="str">
        <f>IF($A38="","",IFERROR(LOOKUP(2,1/($B$9:$B$37=$B38),$AO$9:$AO37),0)+IF($F38="sell_put",$I38*$AE38*$D38,IF($F38="roll",IF($AG38="put",($I38-IF($AF38&gt;0,INDEX($AH$9:$AH$37,$AF38),0))*$AE38*$D38,0),IF(AND(OR($F38="buy_to_close",$F38="expire",$F38="roll",$F38="assignment",$F38="called_away"),$F38&lt;&gt;"roll",$AG38="put"),-IF($AF38&gt;0,INDEX($AH$9:$AH$37,$AF38),0)*$AE38*$D38,0))))</f>
        <v/>
      </c>
      <c r="AP38" s="51" t="str">
        <f>IF($A38="","",IFERROR(LOOKUP(2,1/($B$9:$B$37=$B38),$AP$9:$AP37),0)+IF($F38="sell_put",$AE38*$D38,IF(AND(OR($F38="buy_to_close",$F38="expire",$F38="roll",$F38="assignment",$F38="called_away"),$F38&lt;&gt;"roll",$AG38="put"),-$AE38*$D38,0)))</f>
        <v/>
      </c>
      <c r="AQ38" s="51" t="str">
        <f>IF($A38="","",IFERROR(LOOKUP(2,1/($B$9:$B$37=$B38),$AQ$9:$AQ37),0)+IF(OR($F38="sell_put",$F38="sell_call"),$AE38,0)-IF(AND(OR($F38="buy_to_close",$F38="expire",$F38="roll",$F38="assignment",$F38="called_away"),$F38&lt;&gt;"roll"),$AE38,0))</f>
        <v/>
      </c>
      <c r="AR38" t="str">
        <f t="shared" si="13"/>
        <v/>
      </c>
      <c r="AS38" s="50" t="str">
        <f t="shared" si="14"/>
        <v/>
      </c>
      <c r="AT38" s="50" t="str">
        <f>IF($A38="","",MAX(IF($T38=IFERROR(LOOKUP(2,1/($B$9:$B$37=$B38),$T$9:$T37),0),IFERROR(LOOKUP(2,1/($B$9:$B$37=$B38),$AT$9:$AT37),0),0),$AS38))</f>
        <v/>
      </c>
      <c r="AU38" t="str">
        <f t="shared" si="15"/>
        <v/>
      </c>
      <c r="AV38" s="51">
        <f>IF($AU38="",0,IF(AND(IFERROR(LOOKUP(2,1/($B$9:$B$37=$B38),$AR$9:$AR37),1),NOT(AND(OR($F38="dividend",$F38="fee"),IFERROR(LOOKUP(2,1/($B$9:$B$37=$B38),$T$9:$T37),0)&gt;0))),ROW(),0))</f>
        <v>0</v>
      </c>
      <c r="AW38">
        <f>IF($A38="",0,IF($AV38&gt;0,MAX($AW$9:$AW$37)+1,MAX($AW$9:$AW$37)))</f>
        <v>0</v>
      </c>
      <c r="AX38">
        <f>IF($AU38="",0,IF(AND($AR38,OR(NOT(IFERROR(LOOKUP(2,1/($B$9:$B$37=$B38),$AR$9:$AR37),1)),IFERROR(LOOKUP(2,1/($B$9:$B$37=$B38),$T$9:$T37),0)=0)),ROW(),0))</f>
        <v>0</v>
      </c>
      <c r="AY38" t="str">
        <f t="shared" si="16"/>
        <v/>
      </c>
    </row>
    <row r="39" spans="1:51" ht="15" x14ac:dyDescent="0.25">
      <c r="A39" s="41" t="str">
        <f>IF(Trades!$A39="","",Trades!O39)</f>
        <v/>
      </c>
      <c r="B39" s="41" t="str">
        <f>IF(Trades!$A39="","",Trades!B39)</f>
        <v/>
      </c>
      <c r="C39" s="41" t="str">
        <f>IF(Trades!$A39="","",Trades!C39)</f>
        <v/>
      </c>
      <c r="D39" s="42" t="str">
        <f>IF(Trades!$A39="","",IF(Trades!$L39&gt;0,Trades!$L39,Trades!$C$6))</f>
        <v/>
      </c>
      <c r="E39" s="43" t="str">
        <f>IF(Trades!$A39="","",Trades!A39)</f>
        <v/>
      </c>
      <c r="F39" s="41" t="str">
        <f>IF(Trades!$A39="","",IFERROR(INDEX(Trades!$V$2:$V$14,MATCH(Trades!$E39,Trades!$U$2:$U$14,0)),""))</f>
        <v/>
      </c>
      <c r="G39" s="41" t="str">
        <f>IF(Trades!$A39="","",Trades!N39)</f>
        <v/>
      </c>
      <c r="H39" s="42" t="str">
        <f>IF(Trades!$A39="","",Trades!F39)</f>
        <v/>
      </c>
      <c r="I39" s="44" t="str">
        <f>IF(Trades!$A39="","",Trades!G39)</f>
        <v/>
      </c>
      <c r="J39" s="44" t="str">
        <f>IF(Trades!$A39="","",Trades!I39)</f>
        <v/>
      </c>
      <c r="K39" s="44" t="str">
        <f>IF(Trades!$A39="","",Trades!Q39)</f>
        <v/>
      </c>
      <c r="L39" s="42" t="str">
        <f>IF(Trades!$A39="","",Trades!F39)</f>
        <v/>
      </c>
      <c r="M39" s="44" t="str">
        <f>IF(Trades!$A39="","",Trades!M39)</f>
        <v/>
      </c>
      <c r="N39" s="44" t="str">
        <f>IF(Trades!$A39="","",Trades!R39)</f>
        <v/>
      </c>
      <c r="O39" s="44" t="str">
        <f>IF(Trades!$A39="","",Trades!J39)</f>
        <v/>
      </c>
      <c r="P39" s="43" t="str">
        <f>IF(Trades!$A39="","",Trades!H39)</f>
        <v/>
      </c>
      <c r="Q39" s="41" t="str">
        <f>IF(Trades!$A39="","",Trades!P39)</f>
        <v/>
      </c>
      <c r="R39" s="45" t="str">
        <f t="shared" si="0"/>
        <v/>
      </c>
      <c r="S39" s="45" t="str">
        <f t="shared" si="1"/>
        <v/>
      </c>
      <c r="T39" s="46" t="str">
        <f>IF(OR($A39="",$B39=""),"",IF(AND(IFERROR(LOOKUP(2,1/($B$9:$B$38=$B39),$AR$9:$AR38),1),NOT(AND(OR($F39="dividend",$F39="fee"),IFERROR(LOOKUP(2,1/($B$9:$B$38=$B39),$T$9:$T38),0)&gt;0))),IFERROR(LOOKUP(2,1/($B$9:$B$38=$B39),$T$9:$T38),0)+1,IFERROR(LOOKUP(2,1/($B$9:$B$38=$B39),$T$9:$T38),0)))</f>
        <v/>
      </c>
      <c r="U39" s="47" t="str">
        <f t="shared" si="2"/>
        <v/>
      </c>
      <c r="V39" s="47" t="str">
        <f>IF($A39="","",IF(OR($B39="",$C39="",$D39="",$E39="",$F39=""),"Missing required field",IF(COUNTIFS($A$9:$A39,$A39,$B$9:$B39,$B39)&gt;1,"Duplicate event ID",IF(AND($E39&lt;&gt;IFERROR(LOOKUP(2,1/($B$9:$B$38=$B39),$E$9:$E38),0),IFERROR(LOOKUP(2,1/($B$9:$B$38=$B39),$E$9:$E38),0)&gt;$E39),"Date out of order",IF(AND(OR($F39="buy_to_close",$F39="expire",$F39="roll",$F39="assignment",$F39="called_away"),$AF39=0),"Unknown lot",IF(OR(AND($F39="assignment",$AF39&gt;0,IF($AF39&gt;0,INDEX($AG$9:$AG$38,$AF39),"")&lt;&gt;"put"),AND($F39="called_away",$AF39&gt;0,IF($AF39&gt;0,INDEX($AG$9:$AG$38,$AF39),"")&lt;&gt;"call")),"Wrong option leg",IF(OR(AND(OR($F39="sell_put",$F39="sell_call"),OR($H39&lt;=0,$I39&lt;=0,$J39&lt;0)),AND(OR($F39="buy_to_close",$F39="expire",$F39="assignment",$F39="called_away"),OR($H39&lt;=0,$J39&lt;0)),AND($F39="roll",OR($H39&lt;=0,$I39&lt;=0,$J39&lt;0,$K39&lt;0)),AND(OR($F39="buy_shares",$F39="sell_shares"),OR($L39&lt;=0,$M39&lt;0)),AND(OR($F39="dividend",$F39="fee"),$N39&lt;0)),"Invalid value",IF(AND(OR($F39="sell_shares",$F39="called_away"),$AL39&lt;IF($F39="called_away",$AE39*$D39,$L39)),"Insufficient shares (capped)",IF(AND(OR($F39="buy_to_close",$F39="expire",$F39="roll",$F39="assignment",$F39="called_away"),$AF39&gt;0,$H39&gt;IF($AF39&gt;0,MAX(0,INDEX($AI$9:$AI$38,$AF39)-SUMIFS($AE$9:$AE$38,$G$9:$G$38,$G39,$B$9:$B$38,$B39)),0)),"Close quantity capped","OK")))))))))</f>
        <v/>
      </c>
      <c r="W39" s="48" t="str">
        <f t="shared" si="3"/>
        <v/>
      </c>
      <c r="X39" s="49" t="str">
        <f t="shared" si="4"/>
        <v/>
      </c>
      <c r="Y39" s="50" t="str">
        <f t="shared" si="5"/>
        <v/>
      </c>
      <c r="Z39" s="50" t="str">
        <f t="shared" si="6"/>
        <v/>
      </c>
      <c r="AA39" s="50" t="str">
        <f t="shared" si="7"/>
        <v/>
      </c>
      <c r="AB39" s="50" t="str">
        <f t="shared" si="8"/>
        <v/>
      </c>
      <c r="AC39" s="50" t="str">
        <f>IF($A39="","",IF($F39="assignment",IF($AF39&gt;0,INDEX($AH$9:$AH$38,$AF39),0)*$AE39*$D39,IF($F39="buy_shares",$M39*$AL39,0)))</f>
        <v/>
      </c>
      <c r="AD39" s="50" t="str">
        <f>IF($A39="","",IF($F39="called_away",IF($AF39&gt;0,INDEX($AH$9:$AH$38,$AF39),0)*$AL39,IF($F39="sell_shares",$M39*$AL39,0)))</f>
        <v/>
      </c>
      <c r="AE39" s="51" t="str">
        <f>IF($A39="","",IF(OR($F39="sell_put",$F39="sell_call"),IF(AND($H39&gt;0,$I39&gt;0,$J39&gt;=0),$H39,0),IF(OR($F39="buy_to_close",$F39="expire",$F39="roll",$F39="assignment",$F39="called_away"),IF(AND($AF39&gt;0,$H39&gt;0,IF($F39="assignment",IF($AF39&gt;0,INDEX($AG$9:$AG$38,$AF39),"")="put",TRUE),IF($F39="called_away",IF($AF39&gt;0,INDEX($AG$9:$AG$38,$AF39),"")="call",TRUE)),MIN($H39,IF($AF39&gt;0,MAX(0,INDEX($AI$9:$AI$38,$AF39)-SUMIFS($AE$9:$AE$38,$G$9:$G$38,$G39,$B$9:$B$38,$B39)),0)),0),0)))</f>
        <v/>
      </c>
      <c r="AF39" t="str">
        <f>IF($A39="","",IFERROR(MATCH(LEN($B39)&amp;":"&amp;$B39&amp;$G39,$AY$9:$AY$38,0),0))</f>
        <v/>
      </c>
      <c r="AG39" t="str">
        <f>IF($A39="","",IF($F39="sell_put","put",IF($F39="sell_call","call",IF($F39="roll",IF($AF39&gt;0,IF($AF39&gt;0,INDEX($AG$9:$AG$38,$AF39),""),""),IF($AF39&gt;0,IF($AF39&gt;0,INDEX($AG$9:$AG$38,$AF39),""),"")))))</f>
        <v/>
      </c>
      <c r="AH39" t="str">
        <f>IF($A39="","",IF(OR($F39="sell_put",$F39="sell_call",$F39="roll"),$I39,IF($AF39&gt;0,IF($AF39&gt;0,INDEX($AH$9:$AH$38,$AF39),0),0)))</f>
        <v/>
      </c>
      <c r="AI39" s="51" t="str">
        <f t="shared" si="9"/>
        <v/>
      </c>
      <c r="AJ39" s="51" t="str">
        <f>IF($A39="","",IFERROR(LOOKUP(2,1/($B$9:$B$38=$B39),$AM$9:$AM38),0))</f>
        <v/>
      </c>
      <c r="AK39" t="str">
        <f>IF($A39="","",IFERROR(LOOKUP(2,1/($B$9:$B$38=$B39),$AN$9:$AN38),0))</f>
        <v/>
      </c>
      <c r="AL39" s="51" t="str">
        <f t="shared" si="10"/>
        <v/>
      </c>
      <c r="AM39" s="51" t="str">
        <f t="shared" si="11"/>
        <v/>
      </c>
      <c r="AN39" t="str">
        <f t="shared" si="12"/>
        <v/>
      </c>
      <c r="AO39" s="50" t="str">
        <f>IF($A39="","",IFERROR(LOOKUP(2,1/($B$9:$B$38=$B39),$AO$9:$AO38),0)+IF($F39="sell_put",$I39*$AE39*$D39,IF($F39="roll",IF($AG39="put",($I39-IF($AF39&gt;0,INDEX($AH$9:$AH$38,$AF39),0))*$AE39*$D39,0),IF(AND(OR($F39="buy_to_close",$F39="expire",$F39="roll",$F39="assignment",$F39="called_away"),$F39&lt;&gt;"roll",$AG39="put"),-IF($AF39&gt;0,INDEX($AH$9:$AH$38,$AF39),0)*$AE39*$D39,0))))</f>
        <v/>
      </c>
      <c r="AP39" s="51" t="str">
        <f>IF($A39="","",IFERROR(LOOKUP(2,1/($B$9:$B$38=$B39),$AP$9:$AP38),0)+IF($F39="sell_put",$AE39*$D39,IF(AND(OR($F39="buy_to_close",$F39="expire",$F39="roll",$F39="assignment",$F39="called_away"),$F39&lt;&gt;"roll",$AG39="put"),-$AE39*$D39,0)))</f>
        <v/>
      </c>
      <c r="AQ39" s="51" t="str">
        <f>IF($A39="","",IFERROR(LOOKUP(2,1/($B$9:$B$38=$B39),$AQ$9:$AQ38),0)+IF(OR($F39="sell_put",$F39="sell_call"),$AE39,0)-IF(AND(OR($F39="buy_to_close",$F39="expire",$F39="roll",$F39="assignment",$F39="called_away"),$F39&lt;&gt;"roll"),$AE39,0))</f>
        <v/>
      </c>
      <c r="AR39" t="str">
        <f t="shared" si="13"/>
        <v/>
      </c>
      <c r="AS39" s="50" t="str">
        <f t="shared" si="14"/>
        <v/>
      </c>
      <c r="AT39" s="50" t="str">
        <f>IF($A39="","",MAX(IF($T39=IFERROR(LOOKUP(2,1/($B$9:$B$38=$B39),$T$9:$T38),0),IFERROR(LOOKUP(2,1/($B$9:$B$38=$B39),$AT$9:$AT38),0),0),$AS39))</f>
        <v/>
      </c>
      <c r="AU39" t="str">
        <f t="shared" si="15"/>
        <v/>
      </c>
      <c r="AV39" s="51">
        <f>IF($AU39="",0,IF(AND(IFERROR(LOOKUP(2,1/($B$9:$B$38=$B39),$AR$9:$AR38),1),NOT(AND(OR($F39="dividend",$F39="fee"),IFERROR(LOOKUP(2,1/($B$9:$B$38=$B39),$T$9:$T38),0)&gt;0))),ROW(),0))</f>
        <v>0</v>
      </c>
      <c r="AW39">
        <f>IF($A39="",0,IF($AV39&gt;0,MAX($AW$9:$AW$38)+1,MAX($AW$9:$AW$38)))</f>
        <v>0</v>
      </c>
      <c r="AX39">
        <f>IF($AU39="",0,IF(AND($AR39,OR(NOT(IFERROR(LOOKUP(2,1/($B$9:$B$38=$B39),$AR$9:$AR38),1)),IFERROR(LOOKUP(2,1/($B$9:$B$38=$B39),$T$9:$T38),0)=0)),ROW(),0))</f>
        <v>0</v>
      </c>
      <c r="AY39" t="str">
        <f t="shared" si="16"/>
        <v/>
      </c>
    </row>
    <row r="40" spans="1:51" ht="15" x14ac:dyDescent="0.25">
      <c r="A40" s="52" t="str">
        <f>IF(Trades!$A40="","",Trades!O40)</f>
        <v/>
      </c>
      <c r="B40" s="52" t="str">
        <f>IF(Trades!$A40="","",Trades!B40)</f>
        <v/>
      </c>
      <c r="C40" s="52" t="str">
        <f>IF(Trades!$A40="","",Trades!C40)</f>
        <v/>
      </c>
      <c r="D40" s="53" t="str">
        <f>IF(Trades!$A40="","",IF(Trades!$L40&gt;0,Trades!$L40,Trades!$C$6))</f>
        <v/>
      </c>
      <c r="E40" s="54" t="str">
        <f>IF(Trades!$A40="","",Trades!A40)</f>
        <v/>
      </c>
      <c r="F40" s="52" t="str">
        <f>IF(Trades!$A40="","",IFERROR(INDEX(Trades!$V$2:$V$14,MATCH(Trades!$E40,Trades!$U$2:$U$14,0)),""))</f>
        <v/>
      </c>
      <c r="G40" s="52" t="str">
        <f>IF(Trades!$A40="","",Trades!N40)</f>
        <v/>
      </c>
      <c r="H40" s="53" t="str">
        <f>IF(Trades!$A40="","",Trades!F40)</f>
        <v/>
      </c>
      <c r="I40" s="55" t="str">
        <f>IF(Trades!$A40="","",Trades!G40)</f>
        <v/>
      </c>
      <c r="J40" s="55" t="str">
        <f>IF(Trades!$A40="","",Trades!I40)</f>
        <v/>
      </c>
      <c r="K40" s="55" t="str">
        <f>IF(Trades!$A40="","",Trades!Q40)</f>
        <v/>
      </c>
      <c r="L40" s="53" t="str">
        <f>IF(Trades!$A40="","",Trades!F40)</f>
        <v/>
      </c>
      <c r="M40" s="55" t="str">
        <f>IF(Trades!$A40="","",Trades!M40)</f>
        <v/>
      </c>
      <c r="N40" s="55" t="str">
        <f>IF(Trades!$A40="","",Trades!R40)</f>
        <v/>
      </c>
      <c r="O40" s="55" t="str">
        <f>IF(Trades!$A40="","",Trades!J40)</f>
        <v/>
      </c>
      <c r="P40" s="54" t="str">
        <f>IF(Trades!$A40="","",Trades!H40)</f>
        <v/>
      </c>
      <c r="Q40" s="52" t="str">
        <f>IF(Trades!$A40="","",Trades!P40)</f>
        <v/>
      </c>
      <c r="R40" s="56" t="str">
        <f t="shared" si="0"/>
        <v/>
      </c>
      <c r="S40" s="56" t="str">
        <f t="shared" si="1"/>
        <v/>
      </c>
      <c r="T40" s="57" t="str">
        <f>IF(OR($A40="",$B40=""),"",IF(AND(IFERROR(LOOKUP(2,1/($B$9:$B$39=$B40),$AR$9:$AR39),1),NOT(AND(OR($F40="dividend",$F40="fee"),IFERROR(LOOKUP(2,1/($B$9:$B$39=$B40),$T$9:$T39),0)&gt;0))),IFERROR(LOOKUP(2,1/($B$9:$B$39=$B40),$T$9:$T39),0)+1,IFERROR(LOOKUP(2,1/($B$9:$B$39=$B40),$T$9:$T39),0)))</f>
        <v/>
      </c>
      <c r="U40" s="58" t="str">
        <f t="shared" si="2"/>
        <v/>
      </c>
      <c r="V40" s="58" t="str">
        <f>IF($A40="","",IF(OR($B40="",$C40="",$D40="",$E40="",$F40=""),"Missing required field",IF(COUNTIFS($A$9:$A40,$A40,$B$9:$B40,$B40)&gt;1,"Duplicate event ID",IF(AND($E40&lt;&gt;IFERROR(LOOKUP(2,1/($B$9:$B$39=$B40),$E$9:$E39),0),IFERROR(LOOKUP(2,1/($B$9:$B$39=$B40),$E$9:$E39),0)&gt;$E40),"Date out of order",IF(AND(OR($F40="buy_to_close",$F40="expire",$F40="roll",$F40="assignment",$F40="called_away"),$AF40=0),"Unknown lot",IF(OR(AND($F40="assignment",$AF40&gt;0,IF($AF40&gt;0,INDEX($AG$9:$AG$39,$AF40),"")&lt;&gt;"put"),AND($F40="called_away",$AF40&gt;0,IF($AF40&gt;0,INDEX($AG$9:$AG$39,$AF40),"")&lt;&gt;"call")),"Wrong option leg",IF(OR(AND(OR($F40="sell_put",$F40="sell_call"),OR($H40&lt;=0,$I40&lt;=0,$J40&lt;0)),AND(OR($F40="buy_to_close",$F40="expire",$F40="assignment",$F40="called_away"),OR($H40&lt;=0,$J40&lt;0)),AND($F40="roll",OR($H40&lt;=0,$I40&lt;=0,$J40&lt;0,$K40&lt;0)),AND(OR($F40="buy_shares",$F40="sell_shares"),OR($L40&lt;=0,$M40&lt;0)),AND(OR($F40="dividend",$F40="fee"),$N40&lt;0)),"Invalid value",IF(AND(OR($F40="sell_shares",$F40="called_away"),$AL40&lt;IF($F40="called_away",$AE40*$D40,$L40)),"Insufficient shares (capped)",IF(AND(OR($F40="buy_to_close",$F40="expire",$F40="roll",$F40="assignment",$F40="called_away"),$AF40&gt;0,$H40&gt;IF($AF40&gt;0,MAX(0,INDEX($AI$9:$AI$39,$AF40)-SUMIFS($AE$9:$AE$39,$G$9:$G$39,$G40,$B$9:$B$39,$B40)),0)),"Close quantity capped","OK")))))))))</f>
        <v/>
      </c>
      <c r="W40" s="59" t="str">
        <f t="shared" si="3"/>
        <v/>
      </c>
      <c r="X40" s="60" t="str">
        <f t="shared" si="4"/>
        <v/>
      </c>
      <c r="Y40" s="50" t="str">
        <f t="shared" si="5"/>
        <v/>
      </c>
      <c r="Z40" s="50" t="str">
        <f t="shared" si="6"/>
        <v/>
      </c>
      <c r="AA40" s="50" t="str">
        <f t="shared" si="7"/>
        <v/>
      </c>
      <c r="AB40" s="50" t="str">
        <f t="shared" si="8"/>
        <v/>
      </c>
      <c r="AC40" s="50" t="str">
        <f>IF($A40="","",IF($F40="assignment",IF($AF40&gt;0,INDEX($AH$9:$AH$39,$AF40),0)*$AE40*$D40,IF($F40="buy_shares",$M40*$AL40,0)))</f>
        <v/>
      </c>
      <c r="AD40" s="50" t="str">
        <f>IF($A40="","",IF($F40="called_away",IF($AF40&gt;0,INDEX($AH$9:$AH$39,$AF40),0)*$AL40,IF($F40="sell_shares",$M40*$AL40,0)))</f>
        <v/>
      </c>
      <c r="AE40" s="51" t="str">
        <f>IF($A40="","",IF(OR($F40="sell_put",$F40="sell_call"),IF(AND($H40&gt;0,$I40&gt;0,$J40&gt;=0),$H40,0),IF(OR($F40="buy_to_close",$F40="expire",$F40="roll",$F40="assignment",$F40="called_away"),IF(AND($AF40&gt;0,$H40&gt;0,IF($F40="assignment",IF($AF40&gt;0,INDEX($AG$9:$AG$39,$AF40),"")="put",TRUE),IF($F40="called_away",IF($AF40&gt;0,INDEX($AG$9:$AG$39,$AF40),"")="call",TRUE)),MIN($H40,IF($AF40&gt;0,MAX(0,INDEX($AI$9:$AI$39,$AF40)-SUMIFS($AE$9:$AE$39,$G$9:$G$39,$G40,$B$9:$B$39,$B40)),0)),0),0)))</f>
        <v/>
      </c>
      <c r="AF40" t="str">
        <f>IF($A40="","",IFERROR(MATCH(LEN($B40)&amp;":"&amp;$B40&amp;$G40,$AY$9:$AY$39,0),0))</f>
        <v/>
      </c>
      <c r="AG40" t="str">
        <f>IF($A40="","",IF($F40="sell_put","put",IF($F40="sell_call","call",IF($F40="roll",IF($AF40&gt;0,IF($AF40&gt;0,INDEX($AG$9:$AG$39,$AF40),""),""),IF($AF40&gt;0,IF($AF40&gt;0,INDEX($AG$9:$AG$39,$AF40),""),"")))))</f>
        <v/>
      </c>
      <c r="AH40" t="str">
        <f>IF($A40="","",IF(OR($F40="sell_put",$F40="sell_call",$F40="roll"),$I40,IF($AF40&gt;0,IF($AF40&gt;0,INDEX($AH$9:$AH$39,$AF40),0),0)))</f>
        <v/>
      </c>
      <c r="AI40" s="51" t="str">
        <f t="shared" si="9"/>
        <v/>
      </c>
      <c r="AJ40" s="51" t="str">
        <f>IF($A40="","",IFERROR(LOOKUP(2,1/($B$9:$B$39=$B40),$AM$9:$AM39),0))</f>
        <v/>
      </c>
      <c r="AK40" t="str">
        <f>IF($A40="","",IFERROR(LOOKUP(2,1/($B$9:$B$39=$B40),$AN$9:$AN39),0))</f>
        <v/>
      </c>
      <c r="AL40" s="51" t="str">
        <f t="shared" si="10"/>
        <v/>
      </c>
      <c r="AM40" s="51" t="str">
        <f t="shared" si="11"/>
        <v/>
      </c>
      <c r="AN40" t="str">
        <f t="shared" si="12"/>
        <v/>
      </c>
      <c r="AO40" s="50" t="str">
        <f>IF($A40="","",IFERROR(LOOKUP(2,1/($B$9:$B$39=$B40),$AO$9:$AO39),0)+IF($F40="sell_put",$I40*$AE40*$D40,IF($F40="roll",IF($AG40="put",($I40-IF($AF40&gt;0,INDEX($AH$9:$AH$39,$AF40),0))*$AE40*$D40,0),IF(AND(OR($F40="buy_to_close",$F40="expire",$F40="roll",$F40="assignment",$F40="called_away"),$F40&lt;&gt;"roll",$AG40="put"),-IF($AF40&gt;0,INDEX($AH$9:$AH$39,$AF40),0)*$AE40*$D40,0))))</f>
        <v/>
      </c>
      <c r="AP40" s="51" t="str">
        <f>IF($A40="","",IFERROR(LOOKUP(2,1/($B$9:$B$39=$B40),$AP$9:$AP39),0)+IF($F40="sell_put",$AE40*$D40,IF(AND(OR($F40="buy_to_close",$F40="expire",$F40="roll",$F40="assignment",$F40="called_away"),$F40&lt;&gt;"roll",$AG40="put"),-$AE40*$D40,0)))</f>
        <v/>
      </c>
      <c r="AQ40" s="51" t="str">
        <f>IF($A40="","",IFERROR(LOOKUP(2,1/($B$9:$B$39=$B40),$AQ$9:$AQ39),0)+IF(OR($F40="sell_put",$F40="sell_call"),$AE40,0)-IF(AND(OR($F40="buy_to_close",$F40="expire",$F40="roll",$F40="assignment",$F40="called_away"),$F40&lt;&gt;"roll"),$AE40,0))</f>
        <v/>
      </c>
      <c r="AR40" t="str">
        <f t="shared" si="13"/>
        <v/>
      </c>
      <c r="AS40" s="50" t="str">
        <f t="shared" si="14"/>
        <v/>
      </c>
      <c r="AT40" s="50" t="str">
        <f>IF($A40="","",MAX(IF($T40=IFERROR(LOOKUP(2,1/($B$9:$B$39=$B40),$T$9:$T39),0),IFERROR(LOOKUP(2,1/($B$9:$B$39=$B40),$AT$9:$AT39),0),0),$AS40))</f>
        <v/>
      </c>
      <c r="AU40" t="str">
        <f t="shared" si="15"/>
        <v/>
      </c>
      <c r="AV40" s="51">
        <f>IF($AU40="",0,IF(AND(IFERROR(LOOKUP(2,1/($B$9:$B$39=$B40),$AR$9:$AR39),1),NOT(AND(OR($F40="dividend",$F40="fee"),IFERROR(LOOKUP(2,1/($B$9:$B$39=$B40),$T$9:$T39),0)&gt;0))),ROW(),0))</f>
        <v>0</v>
      </c>
      <c r="AW40">
        <f>IF($A40="",0,IF($AV40&gt;0,MAX($AW$9:$AW$39)+1,MAX($AW$9:$AW$39)))</f>
        <v>0</v>
      </c>
      <c r="AX40">
        <f>IF($AU40="",0,IF(AND($AR40,OR(NOT(IFERROR(LOOKUP(2,1/($B$9:$B$39=$B40),$AR$9:$AR39),1)),IFERROR(LOOKUP(2,1/($B$9:$B$39=$B40),$T$9:$T39),0)=0)),ROW(),0))</f>
        <v>0</v>
      </c>
      <c r="AY40" t="str">
        <f t="shared" si="16"/>
        <v/>
      </c>
    </row>
    <row r="41" spans="1:51" ht="15" x14ac:dyDescent="0.25">
      <c r="A41" s="41" t="str">
        <f>IF(Trades!$A41="","",Trades!O41)</f>
        <v/>
      </c>
      <c r="B41" s="41" t="str">
        <f>IF(Trades!$A41="","",Trades!B41)</f>
        <v/>
      </c>
      <c r="C41" s="41" t="str">
        <f>IF(Trades!$A41="","",Trades!C41)</f>
        <v/>
      </c>
      <c r="D41" s="42" t="str">
        <f>IF(Trades!$A41="","",IF(Trades!$L41&gt;0,Trades!$L41,Trades!$C$6))</f>
        <v/>
      </c>
      <c r="E41" s="43" t="str">
        <f>IF(Trades!$A41="","",Trades!A41)</f>
        <v/>
      </c>
      <c r="F41" s="41" t="str">
        <f>IF(Trades!$A41="","",IFERROR(INDEX(Trades!$V$2:$V$14,MATCH(Trades!$E41,Trades!$U$2:$U$14,0)),""))</f>
        <v/>
      </c>
      <c r="G41" s="41" t="str">
        <f>IF(Trades!$A41="","",Trades!N41)</f>
        <v/>
      </c>
      <c r="H41" s="42" t="str">
        <f>IF(Trades!$A41="","",Trades!F41)</f>
        <v/>
      </c>
      <c r="I41" s="44" t="str">
        <f>IF(Trades!$A41="","",Trades!G41)</f>
        <v/>
      </c>
      <c r="J41" s="44" t="str">
        <f>IF(Trades!$A41="","",Trades!I41)</f>
        <v/>
      </c>
      <c r="K41" s="44" t="str">
        <f>IF(Trades!$A41="","",Trades!Q41)</f>
        <v/>
      </c>
      <c r="L41" s="42" t="str">
        <f>IF(Trades!$A41="","",Trades!F41)</f>
        <v/>
      </c>
      <c r="M41" s="44" t="str">
        <f>IF(Trades!$A41="","",Trades!M41)</f>
        <v/>
      </c>
      <c r="N41" s="44" t="str">
        <f>IF(Trades!$A41="","",Trades!R41)</f>
        <v/>
      </c>
      <c r="O41" s="44" t="str">
        <f>IF(Trades!$A41="","",Trades!J41)</f>
        <v/>
      </c>
      <c r="P41" s="43" t="str">
        <f>IF(Trades!$A41="","",Trades!H41)</f>
        <v/>
      </c>
      <c r="Q41" s="41" t="str">
        <f>IF(Trades!$A41="","",Trades!P41)</f>
        <v/>
      </c>
      <c r="R41" s="45" t="str">
        <f t="shared" si="0"/>
        <v/>
      </c>
      <c r="S41" s="45" t="str">
        <f t="shared" si="1"/>
        <v/>
      </c>
      <c r="T41" s="46" t="str">
        <f>IF(OR($A41="",$B41=""),"",IF(AND(IFERROR(LOOKUP(2,1/($B$9:$B$40=$B41),$AR$9:$AR40),1),NOT(AND(OR($F41="dividend",$F41="fee"),IFERROR(LOOKUP(2,1/($B$9:$B$40=$B41),$T$9:$T40),0)&gt;0))),IFERROR(LOOKUP(2,1/($B$9:$B$40=$B41),$T$9:$T40),0)+1,IFERROR(LOOKUP(2,1/($B$9:$B$40=$B41),$T$9:$T40),0)))</f>
        <v/>
      </c>
      <c r="U41" s="47" t="str">
        <f t="shared" si="2"/>
        <v/>
      </c>
      <c r="V41" s="47" t="str">
        <f>IF($A41="","",IF(OR($B41="",$C41="",$D41="",$E41="",$F41=""),"Missing required field",IF(COUNTIFS($A$9:$A41,$A41,$B$9:$B41,$B41)&gt;1,"Duplicate event ID",IF(AND($E41&lt;&gt;IFERROR(LOOKUP(2,1/($B$9:$B$40=$B41),$E$9:$E40),0),IFERROR(LOOKUP(2,1/($B$9:$B$40=$B41),$E$9:$E40),0)&gt;$E41),"Date out of order",IF(AND(OR($F41="buy_to_close",$F41="expire",$F41="roll",$F41="assignment",$F41="called_away"),$AF41=0),"Unknown lot",IF(OR(AND($F41="assignment",$AF41&gt;0,IF($AF41&gt;0,INDEX($AG$9:$AG$40,$AF41),"")&lt;&gt;"put"),AND($F41="called_away",$AF41&gt;0,IF($AF41&gt;0,INDEX($AG$9:$AG$40,$AF41),"")&lt;&gt;"call")),"Wrong option leg",IF(OR(AND(OR($F41="sell_put",$F41="sell_call"),OR($H41&lt;=0,$I41&lt;=0,$J41&lt;0)),AND(OR($F41="buy_to_close",$F41="expire",$F41="assignment",$F41="called_away"),OR($H41&lt;=0,$J41&lt;0)),AND($F41="roll",OR($H41&lt;=0,$I41&lt;=0,$J41&lt;0,$K41&lt;0)),AND(OR($F41="buy_shares",$F41="sell_shares"),OR($L41&lt;=0,$M41&lt;0)),AND(OR($F41="dividend",$F41="fee"),$N41&lt;0)),"Invalid value",IF(AND(OR($F41="sell_shares",$F41="called_away"),$AL41&lt;IF($F41="called_away",$AE41*$D41,$L41)),"Insufficient shares (capped)",IF(AND(OR($F41="buy_to_close",$F41="expire",$F41="roll",$F41="assignment",$F41="called_away"),$AF41&gt;0,$H41&gt;IF($AF41&gt;0,MAX(0,INDEX($AI$9:$AI$40,$AF41)-SUMIFS($AE$9:$AE$40,$G$9:$G$40,$G41,$B$9:$B$40,$B41)),0)),"Close quantity capped","OK")))))))))</f>
        <v/>
      </c>
      <c r="W41" s="48" t="str">
        <f t="shared" si="3"/>
        <v/>
      </c>
      <c r="X41" s="49" t="str">
        <f t="shared" si="4"/>
        <v/>
      </c>
      <c r="Y41" s="50" t="str">
        <f t="shared" si="5"/>
        <v/>
      </c>
      <c r="Z41" s="50" t="str">
        <f t="shared" si="6"/>
        <v/>
      </c>
      <c r="AA41" s="50" t="str">
        <f t="shared" si="7"/>
        <v/>
      </c>
      <c r="AB41" s="50" t="str">
        <f t="shared" si="8"/>
        <v/>
      </c>
      <c r="AC41" s="50" t="str">
        <f>IF($A41="","",IF($F41="assignment",IF($AF41&gt;0,INDEX($AH$9:$AH$40,$AF41),0)*$AE41*$D41,IF($F41="buy_shares",$M41*$AL41,0)))</f>
        <v/>
      </c>
      <c r="AD41" s="50" t="str">
        <f>IF($A41="","",IF($F41="called_away",IF($AF41&gt;0,INDEX($AH$9:$AH$40,$AF41),0)*$AL41,IF($F41="sell_shares",$M41*$AL41,0)))</f>
        <v/>
      </c>
      <c r="AE41" s="51" t="str">
        <f>IF($A41="","",IF(OR($F41="sell_put",$F41="sell_call"),IF(AND($H41&gt;0,$I41&gt;0,$J41&gt;=0),$H41,0),IF(OR($F41="buy_to_close",$F41="expire",$F41="roll",$F41="assignment",$F41="called_away"),IF(AND($AF41&gt;0,$H41&gt;0,IF($F41="assignment",IF($AF41&gt;0,INDEX($AG$9:$AG$40,$AF41),"")="put",TRUE),IF($F41="called_away",IF($AF41&gt;0,INDEX($AG$9:$AG$40,$AF41),"")="call",TRUE)),MIN($H41,IF($AF41&gt;0,MAX(0,INDEX($AI$9:$AI$40,$AF41)-SUMIFS($AE$9:$AE$40,$G$9:$G$40,$G41,$B$9:$B$40,$B41)),0)),0),0)))</f>
        <v/>
      </c>
      <c r="AF41" t="str">
        <f>IF($A41="","",IFERROR(MATCH(LEN($B41)&amp;":"&amp;$B41&amp;$G41,$AY$9:$AY$40,0),0))</f>
        <v/>
      </c>
      <c r="AG41" t="str">
        <f>IF($A41="","",IF($F41="sell_put","put",IF($F41="sell_call","call",IF($F41="roll",IF($AF41&gt;0,IF($AF41&gt;0,INDEX($AG$9:$AG$40,$AF41),""),""),IF($AF41&gt;0,IF($AF41&gt;0,INDEX($AG$9:$AG$40,$AF41),""),"")))))</f>
        <v/>
      </c>
      <c r="AH41" t="str">
        <f>IF($A41="","",IF(OR($F41="sell_put",$F41="sell_call",$F41="roll"),$I41,IF($AF41&gt;0,IF($AF41&gt;0,INDEX($AH$9:$AH$40,$AF41),0),0)))</f>
        <v/>
      </c>
      <c r="AI41" s="51" t="str">
        <f t="shared" si="9"/>
        <v/>
      </c>
      <c r="AJ41" s="51" t="str">
        <f>IF($A41="","",IFERROR(LOOKUP(2,1/($B$9:$B$40=$B41),$AM$9:$AM40),0))</f>
        <v/>
      </c>
      <c r="AK41" t="str">
        <f>IF($A41="","",IFERROR(LOOKUP(2,1/($B$9:$B$40=$B41),$AN$9:$AN40),0))</f>
        <v/>
      </c>
      <c r="AL41" s="51" t="str">
        <f t="shared" si="10"/>
        <v/>
      </c>
      <c r="AM41" s="51" t="str">
        <f t="shared" si="11"/>
        <v/>
      </c>
      <c r="AN41" t="str">
        <f t="shared" si="12"/>
        <v/>
      </c>
      <c r="AO41" s="50" t="str">
        <f>IF($A41="","",IFERROR(LOOKUP(2,1/($B$9:$B$40=$B41),$AO$9:$AO40),0)+IF($F41="sell_put",$I41*$AE41*$D41,IF($F41="roll",IF($AG41="put",($I41-IF($AF41&gt;0,INDEX($AH$9:$AH$40,$AF41),0))*$AE41*$D41,0),IF(AND(OR($F41="buy_to_close",$F41="expire",$F41="roll",$F41="assignment",$F41="called_away"),$F41&lt;&gt;"roll",$AG41="put"),-IF($AF41&gt;0,INDEX($AH$9:$AH$40,$AF41),0)*$AE41*$D41,0))))</f>
        <v/>
      </c>
      <c r="AP41" s="51" t="str">
        <f>IF($A41="","",IFERROR(LOOKUP(2,1/($B$9:$B$40=$B41),$AP$9:$AP40),0)+IF($F41="sell_put",$AE41*$D41,IF(AND(OR($F41="buy_to_close",$F41="expire",$F41="roll",$F41="assignment",$F41="called_away"),$F41&lt;&gt;"roll",$AG41="put"),-$AE41*$D41,0)))</f>
        <v/>
      </c>
      <c r="AQ41" s="51" t="str">
        <f>IF($A41="","",IFERROR(LOOKUP(2,1/($B$9:$B$40=$B41),$AQ$9:$AQ40),0)+IF(OR($F41="sell_put",$F41="sell_call"),$AE41,0)-IF(AND(OR($F41="buy_to_close",$F41="expire",$F41="roll",$F41="assignment",$F41="called_away"),$F41&lt;&gt;"roll"),$AE41,0))</f>
        <v/>
      </c>
      <c r="AR41" t="str">
        <f t="shared" si="13"/>
        <v/>
      </c>
      <c r="AS41" s="50" t="str">
        <f t="shared" si="14"/>
        <v/>
      </c>
      <c r="AT41" s="50" t="str">
        <f>IF($A41="","",MAX(IF($T41=IFERROR(LOOKUP(2,1/($B$9:$B$40=$B41),$T$9:$T40),0),IFERROR(LOOKUP(2,1/($B$9:$B$40=$B41),$AT$9:$AT40),0),0),$AS41))</f>
        <v/>
      </c>
      <c r="AU41" t="str">
        <f t="shared" si="15"/>
        <v/>
      </c>
      <c r="AV41" s="51">
        <f>IF($AU41="",0,IF(AND(IFERROR(LOOKUP(2,1/($B$9:$B$40=$B41),$AR$9:$AR40),1),NOT(AND(OR($F41="dividend",$F41="fee"),IFERROR(LOOKUP(2,1/($B$9:$B$40=$B41),$T$9:$T40),0)&gt;0))),ROW(),0))</f>
        <v>0</v>
      </c>
      <c r="AW41">
        <f>IF($A41="",0,IF($AV41&gt;0,MAX($AW$9:$AW$40)+1,MAX($AW$9:$AW$40)))</f>
        <v>0</v>
      </c>
      <c r="AX41">
        <f>IF($AU41="",0,IF(AND($AR41,OR(NOT(IFERROR(LOOKUP(2,1/($B$9:$B$40=$B41),$AR$9:$AR40),1)),IFERROR(LOOKUP(2,1/($B$9:$B$40=$B41),$T$9:$T40),0)=0)),ROW(),0))</f>
        <v>0</v>
      </c>
      <c r="AY41" t="str">
        <f t="shared" si="16"/>
        <v/>
      </c>
    </row>
    <row r="42" spans="1:51" ht="15" x14ac:dyDescent="0.25">
      <c r="A42" s="52" t="str">
        <f>IF(Trades!$A42="","",Trades!O42)</f>
        <v/>
      </c>
      <c r="B42" s="52" t="str">
        <f>IF(Trades!$A42="","",Trades!B42)</f>
        <v/>
      </c>
      <c r="C42" s="52" t="str">
        <f>IF(Trades!$A42="","",Trades!C42)</f>
        <v/>
      </c>
      <c r="D42" s="53" t="str">
        <f>IF(Trades!$A42="","",IF(Trades!$L42&gt;0,Trades!$L42,Trades!$C$6))</f>
        <v/>
      </c>
      <c r="E42" s="54" t="str">
        <f>IF(Trades!$A42="","",Trades!A42)</f>
        <v/>
      </c>
      <c r="F42" s="52" t="str">
        <f>IF(Trades!$A42="","",IFERROR(INDEX(Trades!$V$2:$V$14,MATCH(Trades!$E42,Trades!$U$2:$U$14,0)),""))</f>
        <v/>
      </c>
      <c r="G42" s="52" t="str">
        <f>IF(Trades!$A42="","",Trades!N42)</f>
        <v/>
      </c>
      <c r="H42" s="53" t="str">
        <f>IF(Trades!$A42="","",Trades!F42)</f>
        <v/>
      </c>
      <c r="I42" s="55" t="str">
        <f>IF(Trades!$A42="","",Trades!G42)</f>
        <v/>
      </c>
      <c r="J42" s="55" t="str">
        <f>IF(Trades!$A42="","",Trades!I42)</f>
        <v/>
      </c>
      <c r="K42" s="55" t="str">
        <f>IF(Trades!$A42="","",Trades!Q42)</f>
        <v/>
      </c>
      <c r="L42" s="53" t="str">
        <f>IF(Trades!$A42="","",Trades!F42)</f>
        <v/>
      </c>
      <c r="M42" s="55" t="str">
        <f>IF(Trades!$A42="","",Trades!M42)</f>
        <v/>
      </c>
      <c r="N42" s="55" t="str">
        <f>IF(Trades!$A42="","",Trades!R42)</f>
        <v/>
      </c>
      <c r="O42" s="55" t="str">
        <f>IF(Trades!$A42="","",Trades!J42)</f>
        <v/>
      </c>
      <c r="P42" s="54" t="str">
        <f>IF(Trades!$A42="","",Trades!H42)</f>
        <v/>
      </c>
      <c r="Q42" s="52" t="str">
        <f>IF(Trades!$A42="","",Trades!P42)</f>
        <v/>
      </c>
      <c r="R42" s="56" t="str">
        <f t="shared" si="0"/>
        <v/>
      </c>
      <c r="S42" s="56" t="str">
        <f t="shared" si="1"/>
        <v/>
      </c>
      <c r="T42" s="57" t="str">
        <f>IF(OR($A42="",$B42=""),"",IF(AND(IFERROR(LOOKUP(2,1/($B$9:$B$41=$B42),$AR$9:$AR41),1),NOT(AND(OR($F42="dividend",$F42="fee"),IFERROR(LOOKUP(2,1/($B$9:$B$41=$B42),$T$9:$T41),0)&gt;0))),IFERROR(LOOKUP(2,1/($B$9:$B$41=$B42),$T$9:$T41),0)+1,IFERROR(LOOKUP(2,1/($B$9:$B$41=$B42),$T$9:$T41),0)))</f>
        <v/>
      </c>
      <c r="U42" s="58" t="str">
        <f t="shared" si="2"/>
        <v/>
      </c>
      <c r="V42" s="58" t="str">
        <f>IF($A42="","",IF(OR($B42="",$C42="",$D42="",$E42="",$F42=""),"Missing required field",IF(COUNTIFS($A$9:$A42,$A42,$B$9:$B42,$B42)&gt;1,"Duplicate event ID",IF(AND($E42&lt;&gt;IFERROR(LOOKUP(2,1/($B$9:$B$41=$B42),$E$9:$E41),0),IFERROR(LOOKUP(2,1/($B$9:$B$41=$B42),$E$9:$E41),0)&gt;$E42),"Date out of order",IF(AND(OR($F42="buy_to_close",$F42="expire",$F42="roll",$F42="assignment",$F42="called_away"),$AF42=0),"Unknown lot",IF(OR(AND($F42="assignment",$AF42&gt;0,IF($AF42&gt;0,INDEX($AG$9:$AG$41,$AF42),"")&lt;&gt;"put"),AND($F42="called_away",$AF42&gt;0,IF($AF42&gt;0,INDEX($AG$9:$AG$41,$AF42),"")&lt;&gt;"call")),"Wrong option leg",IF(OR(AND(OR($F42="sell_put",$F42="sell_call"),OR($H42&lt;=0,$I42&lt;=0,$J42&lt;0)),AND(OR($F42="buy_to_close",$F42="expire",$F42="assignment",$F42="called_away"),OR($H42&lt;=0,$J42&lt;0)),AND($F42="roll",OR($H42&lt;=0,$I42&lt;=0,$J42&lt;0,$K42&lt;0)),AND(OR($F42="buy_shares",$F42="sell_shares"),OR($L42&lt;=0,$M42&lt;0)),AND(OR($F42="dividend",$F42="fee"),$N42&lt;0)),"Invalid value",IF(AND(OR($F42="sell_shares",$F42="called_away"),$AL42&lt;IF($F42="called_away",$AE42*$D42,$L42)),"Insufficient shares (capped)",IF(AND(OR($F42="buy_to_close",$F42="expire",$F42="roll",$F42="assignment",$F42="called_away"),$AF42&gt;0,$H42&gt;IF($AF42&gt;0,MAX(0,INDEX($AI$9:$AI$41,$AF42)-SUMIFS($AE$9:$AE$41,$G$9:$G$41,$G42,$B$9:$B$41,$B42)),0)),"Close quantity capped","OK")))))))))</f>
        <v/>
      </c>
      <c r="W42" s="59" t="str">
        <f t="shared" si="3"/>
        <v/>
      </c>
      <c r="X42" s="60" t="str">
        <f t="shared" si="4"/>
        <v/>
      </c>
      <c r="Y42" s="50" t="str">
        <f t="shared" si="5"/>
        <v/>
      </c>
      <c r="Z42" s="50" t="str">
        <f t="shared" si="6"/>
        <v/>
      </c>
      <c r="AA42" s="50" t="str">
        <f t="shared" si="7"/>
        <v/>
      </c>
      <c r="AB42" s="50" t="str">
        <f t="shared" si="8"/>
        <v/>
      </c>
      <c r="AC42" s="50" t="str">
        <f>IF($A42="","",IF($F42="assignment",IF($AF42&gt;0,INDEX($AH$9:$AH$41,$AF42),0)*$AE42*$D42,IF($F42="buy_shares",$M42*$AL42,0)))</f>
        <v/>
      </c>
      <c r="AD42" s="50" t="str">
        <f>IF($A42="","",IF($F42="called_away",IF($AF42&gt;0,INDEX($AH$9:$AH$41,$AF42),0)*$AL42,IF($F42="sell_shares",$M42*$AL42,0)))</f>
        <v/>
      </c>
      <c r="AE42" s="51" t="str">
        <f>IF($A42="","",IF(OR($F42="sell_put",$F42="sell_call"),IF(AND($H42&gt;0,$I42&gt;0,$J42&gt;=0),$H42,0),IF(OR($F42="buy_to_close",$F42="expire",$F42="roll",$F42="assignment",$F42="called_away"),IF(AND($AF42&gt;0,$H42&gt;0,IF($F42="assignment",IF($AF42&gt;0,INDEX($AG$9:$AG$41,$AF42),"")="put",TRUE),IF($F42="called_away",IF($AF42&gt;0,INDEX($AG$9:$AG$41,$AF42),"")="call",TRUE)),MIN($H42,IF($AF42&gt;0,MAX(0,INDEX($AI$9:$AI$41,$AF42)-SUMIFS($AE$9:$AE$41,$G$9:$G$41,$G42,$B$9:$B$41,$B42)),0)),0),0)))</f>
        <v/>
      </c>
      <c r="AF42" t="str">
        <f>IF($A42="","",IFERROR(MATCH(LEN($B42)&amp;":"&amp;$B42&amp;$G42,$AY$9:$AY$41,0),0))</f>
        <v/>
      </c>
      <c r="AG42" t="str">
        <f>IF($A42="","",IF($F42="sell_put","put",IF($F42="sell_call","call",IF($F42="roll",IF($AF42&gt;0,IF($AF42&gt;0,INDEX($AG$9:$AG$41,$AF42),""),""),IF($AF42&gt;0,IF($AF42&gt;0,INDEX($AG$9:$AG$41,$AF42),""),"")))))</f>
        <v/>
      </c>
      <c r="AH42" t="str">
        <f>IF($A42="","",IF(OR($F42="sell_put",$F42="sell_call",$F42="roll"),$I42,IF($AF42&gt;0,IF($AF42&gt;0,INDEX($AH$9:$AH$41,$AF42),0),0)))</f>
        <v/>
      </c>
      <c r="AI42" s="51" t="str">
        <f t="shared" si="9"/>
        <v/>
      </c>
      <c r="AJ42" s="51" t="str">
        <f>IF($A42="","",IFERROR(LOOKUP(2,1/($B$9:$B$41=$B42),$AM$9:$AM41),0))</f>
        <v/>
      </c>
      <c r="AK42" t="str">
        <f>IF($A42="","",IFERROR(LOOKUP(2,1/($B$9:$B$41=$B42),$AN$9:$AN41),0))</f>
        <v/>
      </c>
      <c r="AL42" s="51" t="str">
        <f t="shared" si="10"/>
        <v/>
      </c>
      <c r="AM42" s="51" t="str">
        <f t="shared" si="11"/>
        <v/>
      </c>
      <c r="AN42" t="str">
        <f t="shared" si="12"/>
        <v/>
      </c>
      <c r="AO42" s="50" t="str">
        <f>IF($A42="","",IFERROR(LOOKUP(2,1/($B$9:$B$41=$B42),$AO$9:$AO41),0)+IF($F42="sell_put",$I42*$AE42*$D42,IF($F42="roll",IF($AG42="put",($I42-IF($AF42&gt;0,INDEX($AH$9:$AH$41,$AF42),0))*$AE42*$D42,0),IF(AND(OR($F42="buy_to_close",$F42="expire",$F42="roll",$F42="assignment",$F42="called_away"),$F42&lt;&gt;"roll",$AG42="put"),-IF($AF42&gt;0,INDEX($AH$9:$AH$41,$AF42),0)*$AE42*$D42,0))))</f>
        <v/>
      </c>
      <c r="AP42" s="51" t="str">
        <f>IF($A42="","",IFERROR(LOOKUP(2,1/($B$9:$B$41=$B42),$AP$9:$AP41),0)+IF($F42="sell_put",$AE42*$D42,IF(AND(OR($F42="buy_to_close",$F42="expire",$F42="roll",$F42="assignment",$F42="called_away"),$F42&lt;&gt;"roll",$AG42="put"),-$AE42*$D42,0)))</f>
        <v/>
      </c>
      <c r="AQ42" s="51" t="str">
        <f>IF($A42="","",IFERROR(LOOKUP(2,1/($B$9:$B$41=$B42),$AQ$9:$AQ41),0)+IF(OR($F42="sell_put",$F42="sell_call"),$AE42,0)-IF(AND(OR($F42="buy_to_close",$F42="expire",$F42="roll",$F42="assignment",$F42="called_away"),$F42&lt;&gt;"roll"),$AE42,0))</f>
        <v/>
      </c>
      <c r="AR42" t="str">
        <f t="shared" si="13"/>
        <v/>
      </c>
      <c r="AS42" s="50" t="str">
        <f t="shared" si="14"/>
        <v/>
      </c>
      <c r="AT42" s="50" t="str">
        <f>IF($A42="","",MAX(IF($T42=IFERROR(LOOKUP(2,1/($B$9:$B$41=$B42),$T$9:$T41),0),IFERROR(LOOKUP(2,1/($B$9:$B$41=$B42),$AT$9:$AT41),0),0),$AS42))</f>
        <v/>
      </c>
      <c r="AU42" t="str">
        <f t="shared" si="15"/>
        <v/>
      </c>
      <c r="AV42" s="51">
        <f>IF($AU42="",0,IF(AND(IFERROR(LOOKUP(2,1/($B$9:$B$41=$B42),$AR$9:$AR41),1),NOT(AND(OR($F42="dividend",$F42="fee"),IFERROR(LOOKUP(2,1/($B$9:$B$41=$B42),$T$9:$T41),0)&gt;0))),ROW(),0))</f>
        <v>0</v>
      </c>
      <c r="AW42">
        <f>IF($A42="",0,IF($AV42&gt;0,MAX($AW$9:$AW$41)+1,MAX($AW$9:$AW$41)))</f>
        <v>0</v>
      </c>
      <c r="AX42">
        <f>IF($AU42="",0,IF(AND($AR42,OR(NOT(IFERROR(LOOKUP(2,1/($B$9:$B$41=$B42),$AR$9:$AR41),1)),IFERROR(LOOKUP(2,1/($B$9:$B$41=$B42),$T$9:$T41),0)=0)),ROW(),0))</f>
        <v>0</v>
      </c>
      <c r="AY42" t="str">
        <f t="shared" si="16"/>
        <v/>
      </c>
    </row>
    <row r="43" spans="1:51" ht="15" x14ac:dyDescent="0.25">
      <c r="A43" s="41" t="str">
        <f>IF(Trades!$A43="","",Trades!O43)</f>
        <v/>
      </c>
      <c r="B43" s="41" t="str">
        <f>IF(Trades!$A43="","",Trades!B43)</f>
        <v/>
      </c>
      <c r="C43" s="41" t="str">
        <f>IF(Trades!$A43="","",Trades!C43)</f>
        <v/>
      </c>
      <c r="D43" s="42" t="str">
        <f>IF(Trades!$A43="","",IF(Trades!$L43&gt;0,Trades!$L43,Trades!$C$6))</f>
        <v/>
      </c>
      <c r="E43" s="43" t="str">
        <f>IF(Trades!$A43="","",Trades!A43)</f>
        <v/>
      </c>
      <c r="F43" s="41" t="str">
        <f>IF(Trades!$A43="","",IFERROR(INDEX(Trades!$V$2:$V$14,MATCH(Trades!$E43,Trades!$U$2:$U$14,0)),""))</f>
        <v/>
      </c>
      <c r="G43" s="41" t="str">
        <f>IF(Trades!$A43="","",Trades!N43)</f>
        <v/>
      </c>
      <c r="H43" s="42" t="str">
        <f>IF(Trades!$A43="","",Trades!F43)</f>
        <v/>
      </c>
      <c r="I43" s="44" t="str">
        <f>IF(Trades!$A43="","",Trades!G43)</f>
        <v/>
      </c>
      <c r="J43" s="44" t="str">
        <f>IF(Trades!$A43="","",Trades!I43)</f>
        <v/>
      </c>
      <c r="K43" s="44" t="str">
        <f>IF(Trades!$A43="","",Trades!Q43)</f>
        <v/>
      </c>
      <c r="L43" s="42" t="str">
        <f>IF(Trades!$A43="","",Trades!F43)</f>
        <v/>
      </c>
      <c r="M43" s="44" t="str">
        <f>IF(Trades!$A43="","",Trades!M43)</f>
        <v/>
      </c>
      <c r="N43" s="44" t="str">
        <f>IF(Trades!$A43="","",Trades!R43)</f>
        <v/>
      </c>
      <c r="O43" s="44" t="str">
        <f>IF(Trades!$A43="","",Trades!J43)</f>
        <v/>
      </c>
      <c r="P43" s="43" t="str">
        <f>IF(Trades!$A43="","",Trades!H43)</f>
        <v/>
      </c>
      <c r="Q43" s="41" t="str">
        <f>IF(Trades!$A43="","",Trades!P43)</f>
        <v/>
      </c>
      <c r="R43" s="45" t="str">
        <f t="shared" si="0"/>
        <v/>
      </c>
      <c r="S43" s="45" t="str">
        <f t="shared" si="1"/>
        <v/>
      </c>
      <c r="T43" s="46" t="str">
        <f>IF(OR($A43="",$B43=""),"",IF(AND(IFERROR(LOOKUP(2,1/($B$9:$B$42=$B43),$AR$9:$AR42),1),NOT(AND(OR($F43="dividend",$F43="fee"),IFERROR(LOOKUP(2,1/($B$9:$B$42=$B43),$T$9:$T42),0)&gt;0))),IFERROR(LOOKUP(2,1/($B$9:$B$42=$B43),$T$9:$T42),0)+1,IFERROR(LOOKUP(2,1/($B$9:$B$42=$B43),$T$9:$T42),0)))</f>
        <v/>
      </c>
      <c r="U43" s="47" t="str">
        <f t="shared" si="2"/>
        <v/>
      </c>
      <c r="V43" s="47" t="str">
        <f>IF($A43="","",IF(OR($B43="",$C43="",$D43="",$E43="",$F43=""),"Missing required field",IF(COUNTIFS($A$9:$A43,$A43,$B$9:$B43,$B43)&gt;1,"Duplicate event ID",IF(AND($E43&lt;&gt;IFERROR(LOOKUP(2,1/($B$9:$B$42=$B43),$E$9:$E42),0),IFERROR(LOOKUP(2,1/($B$9:$B$42=$B43),$E$9:$E42),0)&gt;$E43),"Date out of order",IF(AND(OR($F43="buy_to_close",$F43="expire",$F43="roll",$F43="assignment",$F43="called_away"),$AF43=0),"Unknown lot",IF(OR(AND($F43="assignment",$AF43&gt;0,IF($AF43&gt;0,INDEX($AG$9:$AG$42,$AF43),"")&lt;&gt;"put"),AND($F43="called_away",$AF43&gt;0,IF($AF43&gt;0,INDEX($AG$9:$AG$42,$AF43),"")&lt;&gt;"call")),"Wrong option leg",IF(OR(AND(OR($F43="sell_put",$F43="sell_call"),OR($H43&lt;=0,$I43&lt;=0,$J43&lt;0)),AND(OR($F43="buy_to_close",$F43="expire",$F43="assignment",$F43="called_away"),OR($H43&lt;=0,$J43&lt;0)),AND($F43="roll",OR($H43&lt;=0,$I43&lt;=0,$J43&lt;0,$K43&lt;0)),AND(OR($F43="buy_shares",$F43="sell_shares"),OR($L43&lt;=0,$M43&lt;0)),AND(OR($F43="dividend",$F43="fee"),$N43&lt;0)),"Invalid value",IF(AND(OR($F43="sell_shares",$F43="called_away"),$AL43&lt;IF($F43="called_away",$AE43*$D43,$L43)),"Insufficient shares (capped)",IF(AND(OR($F43="buy_to_close",$F43="expire",$F43="roll",$F43="assignment",$F43="called_away"),$AF43&gt;0,$H43&gt;IF($AF43&gt;0,MAX(0,INDEX($AI$9:$AI$42,$AF43)-SUMIFS($AE$9:$AE$42,$G$9:$G$42,$G43,$B$9:$B$42,$B43)),0)),"Close quantity capped","OK")))))))))</f>
        <v/>
      </c>
      <c r="W43" s="48" t="str">
        <f t="shared" si="3"/>
        <v/>
      </c>
      <c r="X43" s="49" t="str">
        <f t="shared" si="4"/>
        <v/>
      </c>
      <c r="Y43" s="50" t="str">
        <f t="shared" si="5"/>
        <v/>
      </c>
      <c r="Z43" s="50" t="str">
        <f t="shared" si="6"/>
        <v/>
      </c>
      <c r="AA43" s="50" t="str">
        <f t="shared" si="7"/>
        <v/>
      </c>
      <c r="AB43" s="50" t="str">
        <f t="shared" si="8"/>
        <v/>
      </c>
      <c r="AC43" s="50" t="str">
        <f>IF($A43="","",IF($F43="assignment",IF($AF43&gt;0,INDEX($AH$9:$AH$42,$AF43),0)*$AE43*$D43,IF($F43="buy_shares",$M43*$AL43,0)))</f>
        <v/>
      </c>
      <c r="AD43" s="50" t="str">
        <f>IF($A43="","",IF($F43="called_away",IF($AF43&gt;0,INDEX($AH$9:$AH$42,$AF43),0)*$AL43,IF($F43="sell_shares",$M43*$AL43,0)))</f>
        <v/>
      </c>
      <c r="AE43" s="51" t="str">
        <f>IF($A43="","",IF(OR($F43="sell_put",$F43="sell_call"),IF(AND($H43&gt;0,$I43&gt;0,$J43&gt;=0),$H43,0),IF(OR($F43="buy_to_close",$F43="expire",$F43="roll",$F43="assignment",$F43="called_away"),IF(AND($AF43&gt;0,$H43&gt;0,IF($F43="assignment",IF($AF43&gt;0,INDEX($AG$9:$AG$42,$AF43),"")="put",TRUE),IF($F43="called_away",IF($AF43&gt;0,INDEX($AG$9:$AG$42,$AF43),"")="call",TRUE)),MIN($H43,IF($AF43&gt;0,MAX(0,INDEX($AI$9:$AI$42,$AF43)-SUMIFS($AE$9:$AE$42,$G$9:$G$42,$G43,$B$9:$B$42,$B43)),0)),0),0)))</f>
        <v/>
      </c>
      <c r="AF43" t="str">
        <f>IF($A43="","",IFERROR(MATCH(LEN($B43)&amp;":"&amp;$B43&amp;$G43,$AY$9:$AY$42,0),0))</f>
        <v/>
      </c>
      <c r="AG43" t="str">
        <f>IF($A43="","",IF($F43="sell_put","put",IF($F43="sell_call","call",IF($F43="roll",IF($AF43&gt;0,IF($AF43&gt;0,INDEX($AG$9:$AG$42,$AF43),""),""),IF($AF43&gt;0,IF($AF43&gt;0,INDEX($AG$9:$AG$42,$AF43),""),"")))))</f>
        <v/>
      </c>
      <c r="AH43" t="str">
        <f>IF($A43="","",IF(OR($F43="sell_put",$F43="sell_call",$F43="roll"),$I43,IF($AF43&gt;0,IF($AF43&gt;0,INDEX($AH$9:$AH$42,$AF43),0),0)))</f>
        <v/>
      </c>
      <c r="AI43" s="51" t="str">
        <f t="shared" si="9"/>
        <v/>
      </c>
      <c r="AJ43" s="51" t="str">
        <f>IF($A43="","",IFERROR(LOOKUP(2,1/($B$9:$B$42=$B43),$AM$9:$AM42),0))</f>
        <v/>
      </c>
      <c r="AK43" t="str">
        <f>IF($A43="","",IFERROR(LOOKUP(2,1/($B$9:$B$42=$B43),$AN$9:$AN42),0))</f>
        <v/>
      </c>
      <c r="AL43" s="51" t="str">
        <f t="shared" si="10"/>
        <v/>
      </c>
      <c r="AM43" s="51" t="str">
        <f t="shared" si="11"/>
        <v/>
      </c>
      <c r="AN43" t="str">
        <f t="shared" si="12"/>
        <v/>
      </c>
      <c r="AO43" s="50" t="str">
        <f>IF($A43="","",IFERROR(LOOKUP(2,1/($B$9:$B$42=$B43),$AO$9:$AO42),0)+IF($F43="sell_put",$I43*$AE43*$D43,IF($F43="roll",IF($AG43="put",($I43-IF($AF43&gt;0,INDEX($AH$9:$AH$42,$AF43),0))*$AE43*$D43,0),IF(AND(OR($F43="buy_to_close",$F43="expire",$F43="roll",$F43="assignment",$F43="called_away"),$F43&lt;&gt;"roll",$AG43="put"),-IF($AF43&gt;0,INDEX($AH$9:$AH$42,$AF43),0)*$AE43*$D43,0))))</f>
        <v/>
      </c>
      <c r="AP43" s="51" t="str">
        <f>IF($A43="","",IFERROR(LOOKUP(2,1/($B$9:$B$42=$B43),$AP$9:$AP42),0)+IF($F43="sell_put",$AE43*$D43,IF(AND(OR($F43="buy_to_close",$F43="expire",$F43="roll",$F43="assignment",$F43="called_away"),$F43&lt;&gt;"roll",$AG43="put"),-$AE43*$D43,0)))</f>
        <v/>
      </c>
      <c r="AQ43" s="51" t="str">
        <f>IF($A43="","",IFERROR(LOOKUP(2,1/($B$9:$B$42=$B43),$AQ$9:$AQ42),0)+IF(OR($F43="sell_put",$F43="sell_call"),$AE43,0)-IF(AND(OR($F43="buy_to_close",$F43="expire",$F43="roll",$F43="assignment",$F43="called_away"),$F43&lt;&gt;"roll"),$AE43,0))</f>
        <v/>
      </c>
      <c r="AR43" t="str">
        <f t="shared" si="13"/>
        <v/>
      </c>
      <c r="AS43" s="50" t="str">
        <f t="shared" si="14"/>
        <v/>
      </c>
      <c r="AT43" s="50" t="str">
        <f>IF($A43="","",MAX(IF($T43=IFERROR(LOOKUP(2,1/($B$9:$B$42=$B43),$T$9:$T42),0),IFERROR(LOOKUP(2,1/($B$9:$B$42=$B43),$AT$9:$AT42),0),0),$AS43))</f>
        <v/>
      </c>
      <c r="AU43" t="str">
        <f t="shared" si="15"/>
        <v/>
      </c>
      <c r="AV43" s="51">
        <f>IF($AU43="",0,IF(AND(IFERROR(LOOKUP(2,1/($B$9:$B$42=$B43),$AR$9:$AR42),1),NOT(AND(OR($F43="dividend",$F43="fee"),IFERROR(LOOKUP(2,1/($B$9:$B$42=$B43),$T$9:$T42),0)&gt;0))),ROW(),0))</f>
        <v>0</v>
      </c>
      <c r="AW43">
        <f>IF($A43="",0,IF($AV43&gt;0,MAX($AW$9:$AW$42)+1,MAX($AW$9:$AW$42)))</f>
        <v>0</v>
      </c>
      <c r="AX43">
        <f>IF($AU43="",0,IF(AND($AR43,OR(NOT(IFERROR(LOOKUP(2,1/($B$9:$B$42=$B43),$AR$9:$AR42),1)),IFERROR(LOOKUP(2,1/($B$9:$B$42=$B43),$T$9:$T42),0)=0)),ROW(),0))</f>
        <v>0</v>
      </c>
      <c r="AY43" t="str">
        <f t="shared" si="16"/>
        <v/>
      </c>
    </row>
    <row r="44" spans="1:51" ht="15" x14ac:dyDescent="0.25">
      <c r="A44" s="52" t="str">
        <f>IF(Trades!$A44="","",Trades!O44)</f>
        <v/>
      </c>
      <c r="B44" s="52" t="str">
        <f>IF(Trades!$A44="","",Trades!B44)</f>
        <v/>
      </c>
      <c r="C44" s="52" t="str">
        <f>IF(Trades!$A44="","",Trades!C44)</f>
        <v/>
      </c>
      <c r="D44" s="53" t="str">
        <f>IF(Trades!$A44="","",IF(Trades!$L44&gt;0,Trades!$L44,Trades!$C$6))</f>
        <v/>
      </c>
      <c r="E44" s="54" t="str">
        <f>IF(Trades!$A44="","",Trades!A44)</f>
        <v/>
      </c>
      <c r="F44" s="52" t="str">
        <f>IF(Trades!$A44="","",IFERROR(INDEX(Trades!$V$2:$V$14,MATCH(Trades!$E44,Trades!$U$2:$U$14,0)),""))</f>
        <v/>
      </c>
      <c r="G44" s="52" t="str">
        <f>IF(Trades!$A44="","",Trades!N44)</f>
        <v/>
      </c>
      <c r="H44" s="53" t="str">
        <f>IF(Trades!$A44="","",Trades!F44)</f>
        <v/>
      </c>
      <c r="I44" s="55" t="str">
        <f>IF(Trades!$A44="","",Trades!G44)</f>
        <v/>
      </c>
      <c r="J44" s="55" t="str">
        <f>IF(Trades!$A44="","",Trades!I44)</f>
        <v/>
      </c>
      <c r="K44" s="55" t="str">
        <f>IF(Trades!$A44="","",Trades!Q44)</f>
        <v/>
      </c>
      <c r="L44" s="53" t="str">
        <f>IF(Trades!$A44="","",Trades!F44)</f>
        <v/>
      </c>
      <c r="M44" s="55" t="str">
        <f>IF(Trades!$A44="","",Trades!M44)</f>
        <v/>
      </c>
      <c r="N44" s="55" t="str">
        <f>IF(Trades!$A44="","",Trades!R44)</f>
        <v/>
      </c>
      <c r="O44" s="55" t="str">
        <f>IF(Trades!$A44="","",Trades!J44)</f>
        <v/>
      </c>
      <c r="P44" s="54" t="str">
        <f>IF(Trades!$A44="","",Trades!H44)</f>
        <v/>
      </c>
      <c r="Q44" s="52" t="str">
        <f>IF(Trades!$A44="","",Trades!P44)</f>
        <v/>
      </c>
      <c r="R44" s="56" t="str">
        <f t="shared" si="0"/>
        <v/>
      </c>
      <c r="S44" s="56" t="str">
        <f t="shared" si="1"/>
        <v/>
      </c>
      <c r="T44" s="57" t="str">
        <f>IF(OR($A44="",$B44=""),"",IF(AND(IFERROR(LOOKUP(2,1/($B$9:$B$43=$B44),$AR$9:$AR43),1),NOT(AND(OR($F44="dividend",$F44="fee"),IFERROR(LOOKUP(2,1/($B$9:$B$43=$B44),$T$9:$T43),0)&gt;0))),IFERROR(LOOKUP(2,1/($B$9:$B$43=$B44),$T$9:$T43),0)+1,IFERROR(LOOKUP(2,1/($B$9:$B$43=$B44),$T$9:$T43),0)))</f>
        <v/>
      </c>
      <c r="U44" s="58" t="str">
        <f t="shared" si="2"/>
        <v/>
      </c>
      <c r="V44" s="58" t="str">
        <f>IF($A44="","",IF(OR($B44="",$C44="",$D44="",$E44="",$F44=""),"Missing required field",IF(COUNTIFS($A$9:$A44,$A44,$B$9:$B44,$B44)&gt;1,"Duplicate event ID",IF(AND($E44&lt;&gt;IFERROR(LOOKUP(2,1/($B$9:$B$43=$B44),$E$9:$E43),0),IFERROR(LOOKUP(2,1/($B$9:$B$43=$B44),$E$9:$E43),0)&gt;$E44),"Date out of order",IF(AND(OR($F44="buy_to_close",$F44="expire",$F44="roll",$F44="assignment",$F44="called_away"),$AF44=0),"Unknown lot",IF(OR(AND($F44="assignment",$AF44&gt;0,IF($AF44&gt;0,INDEX($AG$9:$AG$43,$AF44),"")&lt;&gt;"put"),AND($F44="called_away",$AF44&gt;0,IF($AF44&gt;0,INDEX($AG$9:$AG$43,$AF44),"")&lt;&gt;"call")),"Wrong option leg",IF(OR(AND(OR($F44="sell_put",$F44="sell_call"),OR($H44&lt;=0,$I44&lt;=0,$J44&lt;0)),AND(OR($F44="buy_to_close",$F44="expire",$F44="assignment",$F44="called_away"),OR($H44&lt;=0,$J44&lt;0)),AND($F44="roll",OR($H44&lt;=0,$I44&lt;=0,$J44&lt;0,$K44&lt;0)),AND(OR($F44="buy_shares",$F44="sell_shares"),OR($L44&lt;=0,$M44&lt;0)),AND(OR($F44="dividend",$F44="fee"),$N44&lt;0)),"Invalid value",IF(AND(OR($F44="sell_shares",$F44="called_away"),$AL44&lt;IF($F44="called_away",$AE44*$D44,$L44)),"Insufficient shares (capped)",IF(AND(OR($F44="buy_to_close",$F44="expire",$F44="roll",$F44="assignment",$F44="called_away"),$AF44&gt;0,$H44&gt;IF($AF44&gt;0,MAX(0,INDEX($AI$9:$AI$43,$AF44)-SUMIFS($AE$9:$AE$43,$G$9:$G$43,$G44,$B$9:$B$43,$B44)),0)),"Close quantity capped","OK")))))))))</f>
        <v/>
      </c>
      <c r="W44" s="59" t="str">
        <f t="shared" si="3"/>
        <v/>
      </c>
      <c r="X44" s="60" t="str">
        <f t="shared" si="4"/>
        <v/>
      </c>
      <c r="Y44" s="50" t="str">
        <f t="shared" si="5"/>
        <v/>
      </c>
      <c r="Z44" s="50" t="str">
        <f t="shared" si="6"/>
        <v/>
      </c>
      <c r="AA44" s="50" t="str">
        <f t="shared" si="7"/>
        <v/>
      </c>
      <c r="AB44" s="50" t="str">
        <f t="shared" si="8"/>
        <v/>
      </c>
      <c r="AC44" s="50" t="str">
        <f>IF($A44="","",IF($F44="assignment",IF($AF44&gt;0,INDEX($AH$9:$AH$43,$AF44),0)*$AE44*$D44,IF($F44="buy_shares",$M44*$AL44,0)))</f>
        <v/>
      </c>
      <c r="AD44" s="50" t="str">
        <f>IF($A44="","",IF($F44="called_away",IF($AF44&gt;0,INDEX($AH$9:$AH$43,$AF44),0)*$AL44,IF($F44="sell_shares",$M44*$AL44,0)))</f>
        <v/>
      </c>
      <c r="AE44" s="51" t="str">
        <f>IF($A44="","",IF(OR($F44="sell_put",$F44="sell_call"),IF(AND($H44&gt;0,$I44&gt;0,$J44&gt;=0),$H44,0),IF(OR($F44="buy_to_close",$F44="expire",$F44="roll",$F44="assignment",$F44="called_away"),IF(AND($AF44&gt;0,$H44&gt;0,IF($F44="assignment",IF($AF44&gt;0,INDEX($AG$9:$AG$43,$AF44),"")="put",TRUE),IF($F44="called_away",IF($AF44&gt;0,INDEX($AG$9:$AG$43,$AF44),"")="call",TRUE)),MIN($H44,IF($AF44&gt;0,MAX(0,INDEX($AI$9:$AI$43,$AF44)-SUMIFS($AE$9:$AE$43,$G$9:$G$43,$G44,$B$9:$B$43,$B44)),0)),0),0)))</f>
        <v/>
      </c>
      <c r="AF44" t="str">
        <f>IF($A44="","",IFERROR(MATCH(LEN($B44)&amp;":"&amp;$B44&amp;$G44,$AY$9:$AY$43,0),0))</f>
        <v/>
      </c>
      <c r="AG44" t="str">
        <f>IF($A44="","",IF($F44="sell_put","put",IF($F44="sell_call","call",IF($F44="roll",IF($AF44&gt;0,IF($AF44&gt;0,INDEX($AG$9:$AG$43,$AF44),""),""),IF($AF44&gt;0,IF($AF44&gt;0,INDEX($AG$9:$AG$43,$AF44),""),"")))))</f>
        <v/>
      </c>
      <c r="AH44" t="str">
        <f>IF($A44="","",IF(OR($F44="sell_put",$F44="sell_call",$F44="roll"),$I44,IF($AF44&gt;0,IF($AF44&gt;0,INDEX($AH$9:$AH$43,$AF44),0),0)))</f>
        <v/>
      </c>
      <c r="AI44" s="51" t="str">
        <f t="shared" si="9"/>
        <v/>
      </c>
      <c r="AJ44" s="51" t="str">
        <f>IF($A44="","",IFERROR(LOOKUP(2,1/($B$9:$B$43=$B44),$AM$9:$AM43),0))</f>
        <v/>
      </c>
      <c r="AK44" t="str">
        <f>IF($A44="","",IFERROR(LOOKUP(2,1/($B$9:$B$43=$B44),$AN$9:$AN43),0))</f>
        <v/>
      </c>
      <c r="AL44" s="51" t="str">
        <f t="shared" si="10"/>
        <v/>
      </c>
      <c r="AM44" s="51" t="str">
        <f t="shared" si="11"/>
        <v/>
      </c>
      <c r="AN44" t="str">
        <f t="shared" si="12"/>
        <v/>
      </c>
      <c r="AO44" s="50" t="str">
        <f>IF($A44="","",IFERROR(LOOKUP(2,1/($B$9:$B$43=$B44),$AO$9:$AO43),0)+IF($F44="sell_put",$I44*$AE44*$D44,IF($F44="roll",IF($AG44="put",($I44-IF($AF44&gt;0,INDEX($AH$9:$AH$43,$AF44),0))*$AE44*$D44,0),IF(AND(OR($F44="buy_to_close",$F44="expire",$F44="roll",$F44="assignment",$F44="called_away"),$F44&lt;&gt;"roll",$AG44="put"),-IF($AF44&gt;0,INDEX($AH$9:$AH$43,$AF44),0)*$AE44*$D44,0))))</f>
        <v/>
      </c>
      <c r="AP44" s="51" t="str">
        <f>IF($A44="","",IFERROR(LOOKUP(2,1/($B$9:$B$43=$B44),$AP$9:$AP43),0)+IF($F44="sell_put",$AE44*$D44,IF(AND(OR($F44="buy_to_close",$F44="expire",$F44="roll",$F44="assignment",$F44="called_away"),$F44&lt;&gt;"roll",$AG44="put"),-$AE44*$D44,0)))</f>
        <v/>
      </c>
      <c r="AQ44" s="51" t="str">
        <f>IF($A44="","",IFERROR(LOOKUP(2,1/($B$9:$B$43=$B44),$AQ$9:$AQ43),0)+IF(OR($F44="sell_put",$F44="sell_call"),$AE44,0)-IF(AND(OR($F44="buy_to_close",$F44="expire",$F44="roll",$F44="assignment",$F44="called_away"),$F44&lt;&gt;"roll"),$AE44,0))</f>
        <v/>
      </c>
      <c r="AR44" t="str">
        <f t="shared" si="13"/>
        <v/>
      </c>
      <c r="AS44" s="50" t="str">
        <f t="shared" si="14"/>
        <v/>
      </c>
      <c r="AT44" s="50" t="str">
        <f>IF($A44="","",MAX(IF($T44=IFERROR(LOOKUP(2,1/($B$9:$B$43=$B44),$T$9:$T43),0),IFERROR(LOOKUP(2,1/($B$9:$B$43=$B44),$AT$9:$AT43),0),0),$AS44))</f>
        <v/>
      </c>
      <c r="AU44" t="str">
        <f t="shared" si="15"/>
        <v/>
      </c>
      <c r="AV44" s="51">
        <f>IF($AU44="",0,IF(AND(IFERROR(LOOKUP(2,1/($B$9:$B$43=$B44),$AR$9:$AR43),1),NOT(AND(OR($F44="dividend",$F44="fee"),IFERROR(LOOKUP(2,1/($B$9:$B$43=$B44),$T$9:$T43),0)&gt;0))),ROW(),0))</f>
        <v>0</v>
      </c>
      <c r="AW44">
        <f>IF($A44="",0,IF($AV44&gt;0,MAX($AW$9:$AW$43)+1,MAX($AW$9:$AW$43)))</f>
        <v>0</v>
      </c>
      <c r="AX44">
        <f>IF($AU44="",0,IF(AND($AR44,OR(NOT(IFERROR(LOOKUP(2,1/($B$9:$B$43=$B44),$AR$9:$AR43),1)),IFERROR(LOOKUP(2,1/($B$9:$B$43=$B44),$T$9:$T43),0)=0)),ROW(),0))</f>
        <v>0</v>
      </c>
      <c r="AY44" t="str">
        <f t="shared" si="16"/>
        <v/>
      </c>
    </row>
    <row r="45" spans="1:51" ht="15" x14ac:dyDescent="0.25">
      <c r="A45" s="41" t="str">
        <f>IF(Trades!$A45="","",Trades!O45)</f>
        <v/>
      </c>
      <c r="B45" s="41" t="str">
        <f>IF(Trades!$A45="","",Trades!B45)</f>
        <v/>
      </c>
      <c r="C45" s="41" t="str">
        <f>IF(Trades!$A45="","",Trades!C45)</f>
        <v/>
      </c>
      <c r="D45" s="42" t="str">
        <f>IF(Trades!$A45="","",IF(Trades!$L45&gt;0,Trades!$L45,Trades!$C$6))</f>
        <v/>
      </c>
      <c r="E45" s="43" t="str">
        <f>IF(Trades!$A45="","",Trades!A45)</f>
        <v/>
      </c>
      <c r="F45" s="41" t="str">
        <f>IF(Trades!$A45="","",IFERROR(INDEX(Trades!$V$2:$V$14,MATCH(Trades!$E45,Trades!$U$2:$U$14,0)),""))</f>
        <v/>
      </c>
      <c r="G45" s="41" t="str">
        <f>IF(Trades!$A45="","",Trades!N45)</f>
        <v/>
      </c>
      <c r="H45" s="42" t="str">
        <f>IF(Trades!$A45="","",Trades!F45)</f>
        <v/>
      </c>
      <c r="I45" s="44" t="str">
        <f>IF(Trades!$A45="","",Trades!G45)</f>
        <v/>
      </c>
      <c r="J45" s="44" t="str">
        <f>IF(Trades!$A45="","",Trades!I45)</f>
        <v/>
      </c>
      <c r="K45" s="44" t="str">
        <f>IF(Trades!$A45="","",Trades!Q45)</f>
        <v/>
      </c>
      <c r="L45" s="42" t="str">
        <f>IF(Trades!$A45="","",Trades!F45)</f>
        <v/>
      </c>
      <c r="M45" s="44" t="str">
        <f>IF(Trades!$A45="","",Trades!M45)</f>
        <v/>
      </c>
      <c r="N45" s="44" t="str">
        <f>IF(Trades!$A45="","",Trades!R45)</f>
        <v/>
      </c>
      <c r="O45" s="44" t="str">
        <f>IF(Trades!$A45="","",Trades!J45)</f>
        <v/>
      </c>
      <c r="P45" s="43" t="str">
        <f>IF(Trades!$A45="","",Trades!H45)</f>
        <v/>
      </c>
      <c r="Q45" s="41" t="str">
        <f>IF(Trades!$A45="","",Trades!P45)</f>
        <v/>
      </c>
      <c r="R45" s="45" t="str">
        <f t="shared" si="0"/>
        <v/>
      </c>
      <c r="S45" s="45" t="str">
        <f t="shared" si="1"/>
        <v/>
      </c>
      <c r="T45" s="46" t="str">
        <f>IF(OR($A45="",$B45=""),"",IF(AND(IFERROR(LOOKUP(2,1/($B$9:$B$44=$B45),$AR$9:$AR44),1),NOT(AND(OR($F45="dividend",$F45="fee"),IFERROR(LOOKUP(2,1/($B$9:$B$44=$B45),$T$9:$T44),0)&gt;0))),IFERROR(LOOKUP(2,1/($B$9:$B$44=$B45),$T$9:$T44),0)+1,IFERROR(LOOKUP(2,1/($B$9:$B$44=$B45),$T$9:$T44),0)))</f>
        <v/>
      </c>
      <c r="U45" s="47" t="str">
        <f t="shared" si="2"/>
        <v/>
      </c>
      <c r="V45" s="47" t="str">
        <f>IF($A45="","",IF(OR($B45="",$C45="",$D45="",$E45="",$F45=""),"Missing required field",IF(COUNTIFS($A$9:$A45,$A45,$B$9:$B45,$B45)&gt;1,"Duplicate event ID",IF(AND($E45&lt;&gt;IFERROR(LOOKUP(2,1/($B$9:$B$44=$B45),$E$9:$E44),0),IFERROR(LOOKUP(2,1/($B$9:$B$44=$B45),$E$9:$E44),0)&gt;$E45),"Date out of order",IF(AND(OR($F45="buy_to_close",$F45="expire",$F45="roll",$F45="assignment",$F45="called_away"),$AF45=0),"Unknown lot",IF(OR(AND($F45="assignment",$AF45&gt;0,IF($AF45&gt;0,INDEX($AG$9:$AG$44,$AF45),"")&lt;&gt;"put"),AND($F45="called_away",$AF45&gt;0,IF($AF45&gt;0,INDEX($AG$9:$AG$44,$AF45),"")&lt;&gt;"call")),"Wrong option leg",IF(OR(AND(OR($F45="sell_put",$F45="sell_call"),OR($H45&lt;=0,$I45&lt;=0,$J45&lt;0)),AND(OR($F45="buy_to_close",$F45="expire",$F45="assignment",$F45="called_away"),OR($H45&lt;=0,$J45&lt;0)),AND($F45="roll",OR($H45&lt;=0,$I45&lt;=0,$J45&lt;0,$K45&lt;0)),AND(OR($F45="buy_shares",$F45="sell_shares"),OR($L45&lt;=0,$M45&lt;0)),AND(OR($F45="dividend",$F45="fee"),$N45&lt;0)),"Invalid value",IF(AND(OR($F45="sell_shares",$F45="called_away"),$AL45&lt;IF($F45="called_away",$AE45*$D45,$L45)),"Insufficient shares (capped)",IF(AND(OR($F45="buy_to_close",$F45="expire",$F45="roll",$F45="assignment",$F45="called_away"),$AF45&gt;0,$H45&gt;IF($AF45&gt;0,MAX(0,INDEX($AI$9:$AI$44,$AF45)-SUMIFS($AE$9:$AE$44,$G$9:$G$44,$G45,$B$9:$B$44,$B45)),0)),"Close quantity capped","OK")))))))))</f>
        <v/>
      </c>
      <c r="W45" s="48" t="str">
        <f t="shared" si="3"/>
        <v/>
      </c>
      <c r="X45" s="49" t="str">
        <f t="shared" si="4"/>
        <v/>
      </c>
      <c r="Y45" s="50" t="str">
        <f t="shared" si="5"/>
        <v/>
      </c>
      <c r="Z45" s="50" t="str">
        <f t="shared" si="6"/>
        <v/>
      </c>
      <c r="AA45" s="50" t="str">
        <f t="shared" si="7"/>
        <v/>
      </c>
      <c r="AB45" s="50" t="str">
        <f t="shared" si="8"/>
        <v/>
      </c>
      <c r="AC45" s="50" t="str">
        <f>IF($A45="","",IF($F45="assignment",IF($AF45&gt;0,INDEX($AH$9:$AH$44,$AF45),0)*$AE45*$D45,IF($F45="buy_shares",$M45*$AL45,0)))</f>
        <v/>
      </c>
      <c r="AD45" s="50" t="str">
        <f>IF($A45="","",IF($F45="called_away",IF($AF45&gt;0,INDEX($AH$9:$AH$44,$AF45),0)*$AL45,IF($F45="sell_shares",$M45*$AL45,0)))</f>
        <v/>
      </c>
      <c r="AE45" s="51" t="str">
        <f>IF($A45="","",IF(OR($F45="sell_put",$F45="sell_call"),IF(AND($H45&gt;0,$I45&gt;0,$J45&gt;=0),$H45,0),IF(OR($F45="buy_to_close",$F45="expire",$F45="roll",$F45="assignment",$F45="called_away"),IF(AND($AF45&gt;0,$H45&gt;0,IF($F45="assignment",IF($AF45&gt;0,INDEX($AG$9:$AG$44,$AF45),"")="put",TRUE),IF($F45="called_away",IF($AF45&gt;0,INDEX($AG$9:$AG$44,$AF45),"")="call",TRUE)),MIN($H45,IF($AF45&gt;0,MAX(0,INDEX($AI$9:$AI$44,$AF45)-SUMIFS($AE$9:$AE$44,$G$9:$G$44,$G45,$B$9:$B$44,$B45)),0)),0),0)))</f>
        <v/>
      </c>
      <c r="AF45" t="str">
        <f>IF($A45="","",IFERROR(MATCH(LEN($B45)&amp;":"&amp;$B45&amp;$G45,$AY$9:$AY$44,0),0))</f>
        <v/>
      </c>
      <c r="AG45" t="str">
        <f>IF($A45="","",IF($F45="sell_put","put",IF($F45="sell_call","call",IF($F45="roll",IF($AF45&gt;0,IF($AF45&gt;0,INDEX($AG$9:$AG$44,$AF45),""),""),IF($AF45&gt;0,IF($AF45&gt;0,INDEX($AG$9:$AG$44,$AF45),""),"")))))</f>
        <v/>
      </c>
      <c r="AH45" t="str">
        <f>IF($A45="","",IF(OR($F45="sell_put",$F45="sell_call",$F45="roll"),$I45,IF($AF45&gt;0,IF($AF45&gt;0,INDEX($AH$9:$AH$44,$AF45),0),0)))</f>
        <v/>
      </c>
      <c r="AI45" s="51" t="str">
        <f t="shared" si="9"/>
        <v/>
      </c>
      <c r="AJ45" s="51" t="str">
        <f>IF($A45="","",IFERROR(LOOKUP(2,1/($B$9:$B$44=$B45),$AM$9:$AM44),0))</f>
        <v/>
      </c>
      <c r="AK45" t="str">
        <f>IF($A45="","",IFERROR(LOOKUP(2,1/($B$9:$B$44=$B45),$AN$9:$AN44),0))</f>
        <v/>
      </c>
      <c r="AL45" s="51" t="str">
        <f t="shared" si="10"/>
        <v/>
      </c>
      <c r="AM45" s="51" t="str">
        <f t="shared" si="11"/>
        <v/>
      </c>
      <c r="AN45" t="str">
        <f t="shared" si="12"/>
        <v/>
      </c>
      <c r="AO45" s="50" t="str">
        <f>IF($A45="","",IFERROR(LOOKUP(2,1/($B$9:$B$44=$B45),$AO$9:$AO44),0)+IF($F45="sell_put",$I45*$AE45*$D45,IF($F45="roll",IF($AG45="put",($I45-IF($AF45&gt;0,INDEX($AH$9:$AH$44,$AF45),0))*$AE45*$D45,0),IF(AND(OR($F45="buy_to_close",$F45="expire",$F45="roll",$F45="assignment",$F45="called_away"),$F45&lt;&gt;"roll",$AG45="put"),-IF($AF45&gt;0,INDEX($AH$9:$AH$44,$AF45),0)*$AE45*$D45,0))))</f>
        <v/>
      </c>
      <c r="AP45" s="51" t="str">
        <f>IF($A45="","",IFERROR(LOOKUP(2,1/($B$9:$B$44=$B45),$AP$9:$AP44),0)+IF($F45="sell_put",$AE45*$D45,IF(AND(OR($F45="buy_to_close",$F45="expire",$F45="roll",$F45="assignment",$F45="called_away"),$F45&lt;&gt;"roll",$AG45="put"),-$AE45*$D45,0)))</f>
        <v/>
      </c>
      <c r="AQ45" s="51" t="str">
        <f>IF($A45="","",IFERROR(LOOKUP(2,1/($B$9:$B$44=$B45),$AQ$9:$AQ44),0)+IF(OR($F45="sell_put",$F45="sell_call"),$AE45,0)-IF(AND(OR($F45="buy_to_close",$F45="expire",$F45="roll",$F45="assignment",$F45="called_away"),$F45&lt;&gt;"roll"),$AE45,0))</f>
        <v/>
      </c>
      <c r="AR45" t="str">
        <f t="shared" si="13"/>
        <v/>
      </c>
      <c r="AS45" s="50" t="str">
        <f t="shared" si="14"/>
        <v/>
      </c>
      <c r="AT45" s="50" t="str">
        <f>IF($A45="","",MAX(IF($T45=IFERROR(LOOKUP(2,1/($B$9:$B$44=$B45),$T$9:$T44),0),IFERROR(LOOKUP(2,1/($B$9:$B$44=$B45),$AT$9:$AT44),0),0),$AS45))</f>
        <v/>
      </c>
      <c r="AU45" t="str">
        <f t="shared" si="15"/>
        <v/>
      </c>
      <c r="AV45" s="51">
        <f>IF($AU45="",0,IF(AND(IFERROR(LOOKUP(2,1/($B$9:$B$44=$B45),$AR$9:$AR44),1),NOT(AND(OR($F45="dividend",$F45="fee"),IFERROR(LOOKUP(2,1/($B$9:$B$44=$B45),$T$9:$T44),0)&gt;0))),ROW(),0))</f>
        <v>0</v>
      </c>
      <c r="AW45">
        <f>IF($A45="",0,IF($AV45&gt;0,MAX($AW$9:$AW$44)+1,MAX($AW$9:$AW$44)))</f>
        <v>0</v>
      </c>
      <c r="AX45">
        <f>IF($AU45="",0,IF(AND($AR45,OR(NOT(IFERROR(LOOKUP(2,1/($B$9:$B$44=$B45),$AR$9:$AR44),1)),IFERROR(LOOKUP(2,1/($B$9:$B$44=$B45),$T$9:$T44),0)=0)),ROW(),0))</f>
        <v>0</v>
      </c>
      <c r="AY45" t="str">
        <f t="shared" si="16"/>
        <v/>
      </c>
    </row>
    <row r="46" spans="1:51" ht="15" x14ac:dyDescent="0.25">
      <c r="A46" s="52" t="str">
        <f>IF(Trades!$A46="","",Trades!O46)</f>
        <v/>
      </c>
      <c r="B46" s="52" t="str">
        <f>IF(Trades!$A46="","",Trades!B46)</f>
        <v/>
      </c>
      <c r="C46" s="52" t="str">
        <f>IF(Trades!$A46="","",Trades!C46)</f>
        <v/>
      </c>
      <c r="D46" s="53" t="str">
        <f>IF(Trades!$A46="","",IF(Trades!$L46&gt;0,Trades!$L46,Trades!$C$6))</f>
        <v/>
      </c>
      <c r="E46" s="54" t="str">
        <f>IF(Trades!$A46="","",Trades!A46)</f>
        <v/>
      </c>
      <c r="F46" s="52" t="str">
        <f>IF(Trades!$A46="","",IFERROR(INDEX(Trades!$V$2:$V$14,MATCH(Trades!$E46,Trades!$U$2:$U$14,0)),""))</f>
        <v/>
      </c>
      <c r="G46" s="52" t="str">
        <f>IF(Trades!$A46="","",Trades!N46)</f>
        <v/>
      </c>
      <c r="H46" s="53" t="str">
        <f>IF(Trades!$A46="","",Trades!F46)</f>
        <v/>
      </c>
      <c r="I46" s="55" t="str">
        <f>IF(Trades!$A46="","",Trades!G46)</f>
        <v/>
      </c>
      <c r="J46" s="55" t="str">
        <f>IF(Trades!$A46="","",Trades!I46)</f>
        <v/>
      </c>
      <c r="K46" s="55" t="str">
        <f>IF(Trades!$A46="","",Trades!Q46)</f>
        <v/>
      </c>
      <c r="L46" s="53" t="str">
        <f>IF(Trades!$A46="","",Trades!F46)</f>
        <v/>
      </c>
      <c r="M46" s="55" t="str">
        <f>IF(Trades!$A46="","",Trades!M46)</f>
        <v/>
      </c>
      <c r="N46" s="55" t="str">
        <f>IF(Trades!$A46="","",Trades!R46)</f>
        <v/>
      </c>
      <c r="O46" s="55" t="str">
        <f>IF(Trades!$A46="","",Trades!J46)</f>
        <v/>
      </c>
      <c r="P46" s="54" t="str">
        <f>IF(Trades!$A46="","",Trades!H46)</f>
        <v/>
      </c>
      <c r="Q46" s="52" t="str">
        <f>IF(Trades!$A46="","",Trades!P46)</f>
        <v/>
      </c>
      <c r="R46" s="56" t="str">
        <f t="shared" si="0"/>
        <v/>
      </c>
      <c r="S46" s="56" t="str">
        <f t="shared" si="1"/>
        <v/>
      </c>
      <c r="T46" s="57" t="str">
        <f>IF(OR($A46="",$B46=""),"",IF(AND(IFERROR(LOOKUP(2,1/($B$9:$B$45=$B46),$AR$9:$AR45),1),NOT(AND(OR($F46="dividend",$F46="fee"),IFERROR(LOOKUP(2,1/($B$9:$B$45=$B46),$T$9:$T45),0)&gt;0))),IFERROR(LOOKUP(2,1/($B$9:$B$45=$B46),$T$9:$T45),0)+1,IFERROR(LOOKUP(2,1/($B$9:$B$45=$B46),$T$9:$T45),0)))</f>
        <v/>
      </c>
      <c r="U46" s="58" t="str">
        <f t="shared" si="2"/>
        <v/>
      </c>
      <c r="V46" s="58" t="str">
        <f>IF($A46="","",IF(OR($B46="",$C46="",$D46="",$E46="",$F46=""),"Missing required field",IF(COUNTIFS($A$9:$A46,$A46,$B$9:$B46,$B46)&gt;1,"Duplicate event ID",IF(AND($E46&lt;&gt;IFERROR(LOOKUP(2,1/($B$9:$B$45=$B46),$E$9:$E45),0),IFERROR(LOOKUP(2,1/($B$9:$B$45=$B46),$E$9:$E45),0)&gt;$E46),"Date out of order",IF(AND(OR($F46="buy_to_close",$F46="expire",$F46="roll",$F46="assignment",$F46="called_away"),$AF46=0),"Unknown lot",IF(OR(AND($F46="assignment",$AF46&gt;0,IF($AF46&gt;0,INDEX($AG$9:$AG$45,$AF46),"")&lt;&gt;"put"),AND($F46="called_away",$AF46&gt;0,IF($AF46&gt;0,INDEX($AG$9:$AG$45,$AF46),"")&lt;&gt;"call")),"Wrong option leg",IF(OR(AND(OR($F46="sell_put",$F46="sell_call"),OR($H46&lt;=0,$I46&lt;=0,$J46&lt;0)),AND(OR($F46="buy_to_close",$F46="expire",$F46="assignment",$F46="called_away"),OR($H46&lt;=0,$J46&lt;0)),AND($F46="roll",OR($H46&lt;=0,$I46&lt;=0,$J46&lt;0,$K46&lt;0)),AND(OR($F46="buy_shares",$F46="sell_shares"),OR($L46&lt;=0,$M46&lt;0)),AND(OR($F46="dividend",$F46="fee"),$N46&lt;0)),"Invalid value",IF(AND(OR($F46="sell_shares",$F46="called_away"),$AL46&lt;IF($F46="called_away",$AE46*$D46,$L46)),"Insufficient shares (capped)",IF(AND(OR($F46="buy_to_close",$F46="expire",$F46="roll",$F46="assignment",$F46="called_away"),$AF46&gt;0,$H46&gt;IF($AF46&gt;0,MAX(0,INDEX($AI$9:$AI$45,$AF46)-SUMIFS($AE$9:$AE$45,$G$9:$G$45,$G46,$B$9:$B$45,$B46)),0)),"Close quantity capped","OK")))))))))</f>
        <v/>
      </c>
      <c r="W46" s="59" t="str">
        <f t="shared" si="3"/>
        <v/>
      </c>
      <c r="X46" s="60" t="str">
        <f t="shared" si="4"/>
        <v/>
      </c>
      <c r="Y46" s="50" t="str">
        <f t="shared" si="5"/>
        <v/>
      </c>
      <c r="Z46" s="50" t="str">
        <f t="shared" si="6"/>
        <v/>
      </c>
      <c r="AA46" s="50" t="str">
        <f t="shared" si="7"/>
        <v/>
      </c>
      <c r="AB46" s="50" t="str">
        <f t="shared" si="8"/>
        <v/>
      </c>
      <c r="AC46" s="50" t="str">
        <f>IF($A46="","",IF($F46="assignment",IF($AF46&gt;0,INDEX($AH$9:$AH$45,$AF46),0)*$AE46*$D46,IF($F46="buy_shares",$M46*$AL46,0)))</f>
        <v/>
      </c>
      <c r="AD46" s="50" t="str">
        <f>IF($A46="","",IF($F46="called_away",IF($AF46&gt;0,INDEX($AH$9:$AH$45,$AF46),0)*$AL46,IF($F46="sell_shares",$M46*$AL46,0)))</f>
        <v/>
      </c>
      <c r="AE46" s="51" t="str">
        <f>IF($A46="","",IF(OR($F46="sell_put",$F46="sell_call"),IF(AND($H46&gt;0,$I46&gt;0,$J46&gt;=0),$H46,0),IF(OR($F46="buy_to_close",$F46="expire",$F46="roll",$F46="assignment",$F46="called_away"),IF(AND($AF46&gt;0,$H46&gt;0,IF($F46="assignment",IF($AF46&gt;0,INDEX($AG$9:$AG$45,$AF46),"")="put",TRUE),IF($F46="called_away",IF($AF46&gt;0,INDEX($AG$9:$AG$45,$AF46),"")="call",TRUE)),MIN($H46,IF($AF46&gt;0,MAX(0,INDEX($AI$9:$AI$45,$AF46)-SUMIFS($AE$9:$AE$45,$G$9:$G$45,$G46,$B$9:$B$45,$B46)),0)),0),0)))</f>
        <v/>
      </c>
      <c r="AF46" t="str">
        <f>IF($A46="","",IFERROR(MATCH(LEN($B46)&amp;":"&amp;$B46&amp;$G46,$AY$9:$AY$45,0),0))</f>
        <v/>
      </c>
      <c r="AG46" t="str">
        <f>IF($A46="","",IF($F46="sell_put","put",IF($F46="sell_call","call",IF($F46="roll",IF($AF46&gt;0,IF($AF46&gt;0,INDEX($AG$9:$AG$45,$AF46),""),""),IF($AF46&gt;0,IF($AF46&gt;0,INDEX($AG$9:$AG$45,$AF46),""),"")))))</f>
        <v/>
      </c>
      <c r="AH46" t="str">
        <f>IF($A46="","",IF(OR($F46="sell_put",$F46="sell_call",$F46="roll"),$I46,IF($AF46&gt;0,IF($AF46&gt;0,INDEX($AH$9:$AH$45,$AF46),0),0)))</f>
        <v/>
      </c>
      <c r="AI46" s="51" t="str">
        <f t="shared" si="9"/>
        <v/>
      </c>
      <c r="AJ46" s="51" t="str">
        <f>IF($A46="","",IFERROR(LOOKUP(2,1/($B$9:$B$45=$B46),$AM$9:$AM45),0))</f>
        <v/>
      </c>
      <c r="AK46" t="str">
        <f>IF($A46="","",IFERROR(LOOKUP(2,1/($B$9:$B$45=$B46),$AN$9:$AN45),0))</f>
        <v/>
      </c>
      <c r="AL46" s="51" t="str">
        <f t="shared" si="10"/>
        <v/>
      </c>
      <c r="AM46" s="51" t="str">
        <f t="shared" si="11"/>
        <v/>
      </c>
      <c r="AN46" t="str">
        <f t="shared" si="12"/>
        <v/>
      </c>
      <c r="AO46" s="50" t="str">
        <f>IF($A46="","",IFERROR(LOOKUP(2,1/($B$9:$B$45=$B46),$AO$9:$AO45),0)+IF($F46="sell_put",$I46*$AE46*$D46,IF($F46="roll",IF($AG46="put",($I46-IF($AF46&gt;0,INDEX($AH$9:$AH$45,$AF46),0))*$AE46*$D46,0),IF(AND(OR($F46="buy_to_close",$F46="expire",$F46="roll",$F46="assignment",$F46="called_away"),$F46&lt;&gt;"roll",$AG46="put"),-IF($AF46&gt;0,INDEX($AH$9:$AH$45,$AF46),0)*$AE46*$D46,0))))</f>
        <v/>
      </c>
      <c r="AP46" s="51" t="str">
        <f>IF($A46="","",IFERROR(LOOKUP(2,1/($B$9:$B$45=$B46),$AP$9:$AP45),0)+IF($F46="sell_put",$AE46*$D46,IF(AND(OR($F46="buy_to_close",$F46="expire",$F46="roll",$F46="assignment",$F46="called_away"),$F46&lt;&gt;"roll",$AG46="put"),-$AE46*$D46,0)))</f>
        <v/>
      </c>
      <c r="AQ46" s="51" t="str">
        <f>IF($A46="","",IFERROR(LOOKUP(2,1/($B$9:$B$45=$B46),$AQ$9:$AQ45),0)+IF(OR($F46="sell_put",$F46="sell_call"),$AE46,0)-IF(AND(OR($F46="buy_to_close",$F46="expire",$F46="roll",$F46="assignment",$F46="called_away"),$F46&lt;&gt;"roll"),$AE46,0))</f>
        <v/>
      </c>
      <c r="AR46" t="str">
        <f t="shared" si="13"/>
        <v/>
      </c>
      <c r="AS46" s="50" t="str">
        <f t="shared" si="14"/>
        <v/>
      </c>
      <c r="AT46" s="50" t="str">
        <f>IF($A46="","",MAX(IF($T46=IFERROR(LOOKUP(2,1/($B$9:$B$45=$B46),$T$9:$T45),0),IFERROR(LOOKUP(2,1/($B$9:$B$45=$B46),$AT$9:$AT45),0),0),$AS46))</f>
        <v/>
      </c>
      <c r="AU46" t="str">
        <f t="shared" si="15"/>
        <v/>
      </c>
      <c r="AV46" s="51">
        <f>IF($AU46="",0,IF(AND(IFERROR(LOOKUP(2,1/($B$9:$B$45=$B46),$AR$9:$AR45),1),NOT(AND(OR($F46="dividend",$F46="fee"),IFERROR(LOOKUP(2,1/($B$9:$B$45=$B46),$T$9:$T45),0)&gt;0))),ROW(),0))</f>
        <v>0</v>
      </c>
      <c r="AW46">
        <f>IF($A46="",0,IF($AV46&gt;0,MAX($AW$9:$AW$45)+1,MAX($AW$9:$AW$45)))</f>
        <v>0</v>
      </c>
      <c r="AX46">
        <f>IF($AU46="",0,IF(AND($AR46,OR(NOT(IFERROR(LOOKUP(2,1/($B$9:$B$45=$B46),$AR$9:$AR45),1)),IFERROR(LOOKUP(2,1/($B$9:$B$45=$B46),$T$9:$T45),0)=0)),ROW(),0))</f>
        <v>0</v>
      </c>
      <c r="AY46" t="str">
        <f t="shared" si="16"/>
        <v/>
      </c>
    </row>
    <row r="47" spans="1:51" ht="15" x14ac:dyDescent="0.25">
      <c r="A47" s="41" t="str">
        <f>IF(Trades!$A47="","",Trades!O47)</f>
        <v/>
      </c>
      <c r="B47" s="41" t="str">
        <f>IF(Trades!$A47="","",Trades!B47)</f>
        <v/>
      </c>
      <c r="C47" s="41" t="str">
        <f>IF(Trades!$A47="","",Trades!C47)</f>
        <v/>
      </c>
      <c r="D47" s="42" t="str">
        <f>IF(Trades!$A47="","",IF(Trades!$L47&gt;0,Trades!$L47,Trades!$C$6))</f>
        <v/>
      </c>
      <c r="E47" s="43" t="str">
        <f>IF(Trades!$A47="","",Trades!A47)</f>
        <v/>
      </c>
      <c r="F47" s="41" t="str">
        <f>IF(Trades!$A47="","",IFERROR(INDEX(Trades!$V$2:$V$14,MATCH(Trades!$E47,Trades!$U$2:$U$14,0)),""))</f>
        <v/>
      </c>
      <c r="G47" s="41" t="str">
        <f>IF(Trades!$A47="","",Trades!N47)</f>
        <v/>
      </c>
      <c r="H47" s="42" t="str">
        <f>IF(Trades!$A47="","",Trades!F47)</f>
        <v/>
      </c>
      <c r="I47" s="44" t="str">
        <f>IF(Trades!$A47="","",Trades!G47)</f>
        <v/>
      </c>
      <c r="J47" s="44" t="str">
        <f>IF(Trades!$A47="","",Trades!I47)</f>
        <v/>
      </c>
      <c r="K47" s="44" t="str">
        <f>IF(Trades!$A47="","",Trades!Q47)</f>
        <v/>
      </c>
      <c r="L47" s="42" t="str">
        <f>IF(Trades!$A47="","",Trades!F47)</f>
        <v/>
      </c>
      <c r="M47" s="44" t="str">
        <f>IF(Trades!$A47="","",Trades!M47)</f>
        <v/>
      </c>
      <c r="N47" s="44" t="str">
        <f>IF(Trades!$A47="","",Trades!R47)</f>
        <v/>
      </c>
      <c r="O47" s="44" t="str">
        <f>IF(Trades!$A47="","",Trades!J47)</f>
        <v/>
      </c>
      <c r="P47" s="43" t="str">
        <f>IF(Trades!$A47="","",Trades!H47)</f>
        <v/>
      </c>
      <c r="Q47" s="41" t="str">
        <f>IF(Trades!$A47="","",Trades!P47)</f>
        <v/>
      </c>
      <c r="R47" s="45" t="str">
        <f t="shared" si="0"/>
        <v/>
      </c>
      <c r="S47" s="45" t="str">
        <f t="shared" si="1"/>
        <v/>
      </c>
      <c r="T47" s="46" t="str">
        <f>IF(OR($A47="",$B47=""),"",IF(AND(IFERROR(LOOKUP(2,1/($B$9:$B$46=$B47),$AR$9:$AR46),1),NOT(AND(OR($F47="dividend",$F47="fee"),IFERROR(LOOKUP(2,1/($B$9:$B$46=$B47),$T$9:$T46),0)&gt;0))),IFERROR(LOOKUP(2,1/($B$9:$B$46=$B47),$T$9:$T46),0)+1,IFERROR(LOOKUP(2,1/($B$9:$B$46=$B47),$T$9:$T46),0)))</f>
        <v/>
      </c>
      <c r="U47" s="47" t="str">
        <f t="shared" si="2"/>
        <v/>
      </c>
      <c r="V47" s="47" t="str">
        <f>IF($A47="","",IF(OR($B47="",$C47="",$D47="",$E47="",$F47=""),"Missing required field",IF(COUNTIFS($A$9:$A47,$A47,$B$9:$B47,$B47)&gt;1,"Duplicate event ID",IF(AND($E47&lt;&gt;IFERROR(LOOKUP(2,1/($B$9:$B$46=$B47),$E$9:$E46),0),IFERROR(LOOKUP(2,1/($B$9:$B$46=$B47),$E$9:$E46),0)&gt;$E47),"Date out of order",IF(AND(OR($F47="buy_to_close",$F47="expire",$F47="roll",$F47="assignment",$F47="called_away"),$AF47=0),"Unknown lot",IF(OR(AND($F47="assignment",$AF47&gt;0,IF($AF47&gt;0,INDEX($AG$9:$AG$46,$AF47),"")&lt;&gt;"put"),AND($F47="called_away",$AF47&gt;0,IF($AF47&gt;0,INDEX($AG$9:$AG$46,$AF47),"")&lt;&gt;"call")),"Wrong option leg",IF(OR(AND(OR($F47="sell_put",$F47="sell_call"),OR($H47&lt;=0,$I47&lt;=0,$J47&lt;0)),AND(OR($F47="buy_to_close",$F47="expire",$F47="assignment",$F47="called_away"),OR($H47&lt;=0,$J47&lt;0)),AND($F47="roll",OR($H47&lt;=0,$I47&lt;=0,$J47&lt;0,$K47&lt;0)),AND(OR($F47="buy_shares",$F47="sell_shares"),OR($L47&lt;=0,$M47&lt;0)),AND(OR($F47="dividend",$F47="fee"),$N47&lt;0)),"Invalid value",IF(AND(OR($F47="sell_shares",$F47="called_away"),$AL47&lt;IF($F47="called_away",$AE47*$D47,$L47)),"Insufficient shares (capped)",IF(AND(OR($F47="buy_to_close",$F47="expire",$F47="roll",$F47="assignment",$F47="called_away"),$AF47&gt;0,$H47&gt;IF($AF47&gt;0,MAX(0,INDEX($AI$9:$AI$46,$AF47)-SUMIFS($AE$9:$AE$46,$G$9:$G$46,$G47,$B$9:$B$46,$B47)),0)),"Close quantity capped","OK")))))))))</f>
        <v/>
      </c>
      <c r="W47" s="48" t="str">
        <f t="shared" si="3"/>
        <v/>
      </c>
      <c r="X47" s="49" t="str">
        <f t="shared" si="4"/>
        <v/>
      </c>
      <c r="Y47" s="50" t="str">
        <f t="shared" si="5"/>
        <v/>
      </c>
      <c r="Z47" s="50" t="str">
        <f t="shared" si="6"/>
        <v/>
      </c>
      <c r="AA47" s="50" t="str">
        <f t="shared" si="7"/>
        <v/>
      </c>
      <c r="AB47" s="50" t="str">
        <f t="shared" si="8"/>
        <v/>
      </c>
      <c r="AC47" s="50" t="str">
        <f>IF($A47="","",IF($F47="assignment",IF($AF47&gt;0,INDEX($AH$9:$AH$46,$AF47),0)*$AE47*$D47,IF($F47="buy_shares",$M47*$AL47,0)))</f>
        <v/>
      </c>
      <c r="AD47" s="50" t="str">
        <f>IF($A47="","",IF($F47="called_away",IF($AF47&gt;0,INDEX($AH$9:$AH$46,$AF47),0)*$AL47,IF($F47="sell_shares",$M47*$AL47,0)))</f>
        <v/>
      </c>
      <c r="AE47" s="51" t="str">
        <f>IF($A47="","",IF(OR($F47="sell_put",$F47="sell_call"),IF(AND($H47&gt;0,$I47&gt;0,$J47&gt;=0),$H47,0),IF(OR($F47="buy_to_close",$F47="expire",$F47="roll",$F47="assignment",$F47="called_away"),IF(AND($AF47&gt;0,$H47&gt;0,IF($F47="assignment",IF($AF47&gt;0,INDEX($AG$9:$AG$46,$AF47),"")="put",TRUE),IF($F47="called_away",IF($AF47&gt;0,INDEX($AG$9:$AG$46,$AF47),"")="call",TRUE)),MIN($H47,IF($AF47&gt;0,MAX(0,INDEX($AI$9:$AI$46,$AF47)-SUMIFS($AE$9:$AE$46,$G$9:$G$46,$G47,$B$9:$B$46,$B47)),0)),0),0)))</f>
        <v/>
      </c>
      <c r="AF47" t="str">
        <f>IF($A47="","",IFERROR(MATCH(LEN($B47)&amp;":"&amp;$B47&amp;$G47,$AY$9:$AY$46,0),0))</f>
        <v/>
      </c>
      <c r="AG47" t="str">
        <f>IF($A47="","",IF($F47="sell_put","put",IF($F47="sell_call","call",IF($F47="roll",IF($AF47&gt;0,IF($AF47&gt;0,INDEX($AG$9:$AG$46,$AF47),""),""),IF($AF47&gt;0,IF($AF47&gt;0,INDEX($AG$9:$AG$46,$AF47),""),"")))))</f>
        <v/>
      </c>
      <c r="AH47" t="str">
        <f>IF($A47="","",IF(OR($F47="sell_put",$F47="sell_call",$F47="roll"),$I47,IF($AF47&gt;0,IF($AF47&gt;0,INDEX($AH$9:$AH$46,$AF47),0),0)))</f>
        <v/>
      </c>
      <c r="AI47" s="51" t="str">
        <f t="shared" si="9"/>
        <v/>
      </c>
      <c r="AJ47" s="51" t="str">
        <f>IF($A47="","",IFERROR(LOOKUP(2,1/($B$9:$B$46=$B47),$AM$9:$AM46),0))</f>
        <v/>
      </c>
      <c r="AK47" t="str">
        <f>IF($A47="","",IFERROR(LOOKUP(2,1/($B$9:$B$46=$B47),$AN$9:$AN46),0))</f>
        <v/>
      </c>
      <c r="AL47" s="51" t="str">
        <f t="shared" si="10"/>
        <v/>
      </c>
      <c r="AM47" s="51" t="str">
        <f t="shared" si="11"/>
        <v/>
      </c>
      <c r="AN47" t="str">
        <f t="shared" si="12"/>
        <v/>
      </c>
      <c r="AO47" s="50" t="str">
        <f>IF($A47="","",IFERROR(LOOKUP(2,1/($B$9:$B$46=$B47),$AO$9:$AO46),0)+IF($F47="sell_put",$I47*$AE47*$D47,IF($F47="roll",IF($AG47="put",($I47-IF($AF47&gt;0,INDEX($AH$9:$AH$46,$AF47),0))*$AE47*$D47,0),IF(AND(OR($F47="buy_to_close",$F47="expire",$F47="roll",$F47="assignment",$F47="called_away"),$F47&lt;&gt;"roll",$AG47="put"),-IF($AF47&gt;0,INDEX($AH$9:$AH$46,$AF47),0)*$AE47*$D47,0))))</f>
        <v/>
      </c>
      <c r="AP47" s="51" t="str">
        <f>IF($A47="","",IFERROR(LOOKUP(2,1/($B$9:$B$46=$B47),$AP$9:$AP46),0)+IF($F47="sell_put",$AE47*$D47,IF(AND(OR($F47="buy_to_close",$F47="expire",$F47="roll",$F47="assignment",$F47="called_away"),$F47&lt;&gt;"roll",$AG47="put"),-$AE47*$D47,0)))</f>
        <v/>
      </c>
      <c r="AQ47" s="51" t="str">
        <f>IF($A47="","",IFERROR(LOOKUP(2,1/($B$9:$B$46=$B47),$AQ$9:$AQ46),0)+IF(OR($F47="sell_put",$F47="sell_call"),$AE47,0)-IF(AND(OR($F47="buy_to_close",$F47="expire",$F47="roll",$F47="assignment",$F47="called_away"),$F47&lt;&gt;"roll"),$AE47,0))</f>
        <v/>
      </c>
      <c r="AR47" t="str">
        <f t="shared" si="13"/>
        <v/>
      </c>
      <c r="AS47" s="50" t="str">
        <f t="shared" si="14"/>
        <v/>
      </c>
      <c r="AT47" s="50" t="str">
        <f>IF($A47="","",MAX(IF($T47=IFERROR(LOOKUP(2,1/($B$9:$B$46=$B47),$T$9:$T46),0),IFERROR(LOOKUP(2,1/($B$9:$B$46=$B47),$AT$9:$AT46),0),0),$AS47))</f>
        <v/>
      </c>
      <c r="AU47" t="str">
        <f t="shared" si="15"/>
        <v/>
      </c>
      <c r="AV47" s="51">
        <f>IF($AU47="",0,IF(AND(IFERROR(LOOKUP(2,1/($B$9:$B$46=$B47),$AR$9:$AR46),1),NOT(AND(OR($F47="dividend",$F47="fee"),IFERROR(LOOKUP(2,1/($B$9:$B$46=$B47),$T$9:$T46),0)&gt;0))),ROW(),0))</f>
        <v>0</v>
      </c>
      <c r="AW47">
        <f>IF($A47="",0,IF($AV47&gt;0,MAX($AW$9:$AW$46)+1,MAX($AW$9:$AW$46)))</f>
        <v>0</v>
      </c>
      <c r="AX47">
        <f>IF($AU47="",0,IF(AND($AR47,OR(NOT(IFERROR(LOOKUP(2,1/($B$9:$B$46=$B47),$AR$9:$AR46),1)),IFERROR(LOOKUP(2,1/($B$9:$B$46=$B47),$T$9:$T46),0)=0)),ROW(),0))</f>
        <v>0</v>
      </c>
      <c r="AY47" t="str">
        <f t="shared" si="16"/>
        <v/>
      </c>
    </row>
    <row r="48" spans="1:51" ht="15" x14ac:dyDescent="0.25">
      <c r="A48" s="52" t="str">
        <f>IF(Trades!$A48="","",Trades!O48)</f>
        <v/>
      </c>
      <c r="B48" s="52" t="str">
        <f>IF(Trades!$A48="","",Trades!B48)</f>
        <v/>
      </c>
      <c r="C48" s="52" t="str">
        <f>IF(Trades!$A48="","",Trades!C48)</f>
        <v/>
      </c>
      <c r="D48" s="53" t="str">
        <f>IF(Trades!$A48="","",IF(Trades!$L48&gt;0,Trades!$L48,Trades!$C$6))</f>
        <v/>
      </c>
      <c r="E48" s="54" t="str">
        <f>IF(Trades!$A48="","",Trades!A48)</f>
        <v/>
      </c>
      <c r="F48" s="52" t="str">
        <f>IF(Trades!$A48="","",IFERROR(INDEX(Trades!$V$2:$V$14,MATCH(Trades!$E48,Trades!$U$2:$U$14,0)),""))</f>
        <v/>
      </c>
      <c r="G48" s="52" t="str">
        <f>IF(Trades!$A48="","",Trades!N48)</f>
        <v/>
      </c>
      <c r="H48" s="53" t="str">
        <f>IF(Trades!$A48="","",Trades!F48)</f>
        <v/>
      </c>
      <c r="I48" s="55" t="str">
        <f>IF(Trades!$A48="","",Trades!G48)</f>
        <v/>
      </c>
      <c r="J48" s="55" t="str">
        <f>IF(Trades!$A48="","",Trades!I48)</f>
        <v/>
      </c>
      <c r="K48" s="55" t="str">
        <f>IF(Trades!$A48="","",Trades!Q48)</f>
        <v/>
      </c>
      <c r="L48" s="53" t="str">
        <f>IF(Trades!$A48="","",Trades!F48)</f>
        <v/>
      </c>
      <c r="M48" s="55" t="str">
        <f>IF(Trades!$A48="","",Trades!M48)</f>
        <v/>
      </c>
      <c r="N48" s="55" t="str">
        <f>IF(Trades!$A48="","",Trades!R48)</f>
        <v/>
      </c>
      <c r="O48" s="55" t="str">
        <f>IF(Trades!$A48="","",Trades!J48)</f>
        <v/>
      </c>
      <c r="P48" s="54" t="str">
        <f>IF(Trades!$A48="","",Trades!H48)</f>
        <v/>
      </c>
      <c r="Q48" s="52" t="str">
        <f>IF(Trades!$A48="","",Trades!P48)</f>
        <v/>
      </c>
      <c r="R48" s="56" t="str">
        <f t="shared" si="0"/>
        <v/>
      </c>
      <c r="S48" s="56" t="str">
        <f t="shared" si="1"/>
        <v/>
      </c>
      <c r="T48" s="57" t="str">
        <f>IF(OR($A48="",$B48=""),"",IF(AND(IFERROR(LOOKUP(2,1/($B$9:$B$47=$B48),$AR$9:$AR47),1),NOT(AND(OR($F48="dividend",$F48="fee"),IFERROR(LOOKUP(2,1/($B$9:$B$47=$B48),$T$9:$T47),0)&gt;0))),IFERROR(LOOKUP(2,1/($B$9:$B$47=$B48),$T$9:$T47),0)+1,IFERROR(LOOKUP(2,1/($B$9:$B$47=$B48),$T$9:$T47),0)))</f>
        <v/>
      </c>
      <c r="U48" s="58" t="str">
        <f t="shared" si="2"/>
        <v/>
      </c>
      <c r="V48" s="58" t="str">
        <f>IF($A48="","",IF(OR($B48="",$C48="",$D48="",$E48="",$F48=""),"Missing required field",IF(COUNTIFS($A$9:$A48,$A48,$B$9:$B48,$B48)&gt;1,"Duplicate event ID",IF(AND($E48&lt;&gt;IFERROR(LOOKUP(2,1/($B$9:$B$47=$B48),$E$9:$E47),0),IFERROR(LOOKUP(2,1/($B$9:$B$47=$B48),$E$9:$E47),0)&gt;$E48),"Date out of order",IF(AND(OR($F48="buy_to_close",$F48="expire",$F48="roll",$F48="assignment",$F48="called_away"),$AF48=0),"Unknown lot",IF(OR(AND($F48="assignment",$AF48&gt;0,IF($AF48&gt;0,INDEX($AG$9:$AG$47,$AF48),"")&lt;&gt;"put"),AND($F48="called_away",$AF48&gt;0,IF($AF48&gt;0,INDEX($AG$9:$AG$47,$AF48),"")&lt;&gt;"call")),"Wrong option leg",IF(OR(AND(OR($F48="sell_put",$F48="sell_call"),OR($H48&lt;=0,$I48&lt;=0,$J48&lt;0)),AND(OR($F48="buy_to_close",$F48="expire",$F48="assignment",$F48="called_away"),OR($H48&lt;=0,$J48&lt;0)),AND($F48="roll",OR($H48&lt;=0,$I48&lt;=0,$J48&lt;0,$K48&lt;0)),AND(OR($F48="buy_shares",$F48="sell_shares"),OR($L48&lt;=0,$M48&lt;0)),AND(OR($F48="dividend",$F48="fee"),$N48&lt;0)),"Invalid value",IF(AND(OR($F48="sell_shares",$F48="called_away"),$AL48&lt;IF($F48="called_away",$AE48*$D48,$L48)),"Insufficient shares (capped)",IF(AND(OR($F48="buy_to_close",$F48="expire",$F48="roll",$F48="assignment",$F48="called_away"),$AF48&gt;0,$H48&gt;IF($AF48&gt;0,MAX(0,INDEX($AI$9:$AI$47,$AF48)-SUMIFS($AE$9:$AE$47,$G$9:$G$47,$G48,$B$9:$B$47,$B48)),0)),"Close quantity capped","OK")))))))))</f>
        <v/>
      </c>
      <c r="W48" s="59" t="str">
        <f t="shared" si="3"/>
        <v/>
      </c>
      <c r="X48" s="60" t="str">
        <f t="shared" si="4"/>
        <v/>
      </c>
      <c r="Y48" s="50" t="str">
        <f t="shared" si="5"/>
        <v/>
      </c>
      <c r="Z48" s="50" t="str">
        <f t="shared" si="6"/>
        <v/>
      </c>
      <c r="AA48" s="50" t="str">
        <f t="shared" si="7"/>
        <v/>
      </c>
      <c r="AB48" s="50" t="str">
        <f t="shared" si="8"/>
        <v/>
      </c>
      <c r="AC48" s="50" t="str">
        <f>IF($A48="","",IF($F48="assignment",IF($AF48&gt;0,INDEX($AH$9:$AH$47,$AF48),0)*$AE48*$D48,IF($F48="buy_shares",$M48*$AL48,0)))</f>
        <v/>
      </c>
      <c r="AD48" s="50" t="str">
        <f>IF($A48="","",IF($F48="called_away",IF($AF48&gt;0,INDEX($AH$9:$AH$47,$AF48),0)*$AL48,IF($F48="sell_shares",$M48*$AL48,0)))</f>
        <v/>
      </c>
      <c r="AE48" s="51" t="str">
        <f>IF($A48="","",IF(OR($F48="sell_put",$F48="sell_call"),IF(AND($H48&gt;0,$I48&gt;0,$J48&gt;=0),$H48,0),IF(OR($F48="buy_to_close",$F48="expire",$F48="roll",$F48="assignment",$F48="called_away"),IF(AND($AF48&gt;0,$H48&gt;0,IF($F48="assignment",IF($AF48&gt;0,INDEX($AG$9:$AG$47,$AF48),"")="put",TRUE),IF($F48="called_away",IF($AF48&gt;0,INDEX($AG$9:$AG$47,$AF48),"")="call",TRUE)),MIN($H48,IF($AF48&gt;0,MAX(0,INDEX($AI$9:$AI$47,$AF48)-SUMIFS($AE$9:$AE$47,$G$9:$G$47,$G48,$B$9:$B$47,$B48)),0)),0),0)))</f>
        <v/>
      </c>
      <c r="AF48" t="str">
        <f>IF($A48="","",IFERROR(MATCH(LEN($B48)&amp;":"&amp;$B48&amp;$G48,$AY$9:$AY$47,0),0))</f>
        <v/>
      </c>
      <c r="AG48" t="str">
        <f>IF($A48="","",IF($F48="sell_put","put",IF($F48="sell_call","call",IF($F48="roll",IF($AF48&gt;0,IF($AF48&gt;0,INDEX($AG$9:$AG$47,$AF48),""),""),IF($AF48&gt;0,IF($AF48&gt;0,INDEX($AG$9:$AG$47,$AF48),""),"")))))</f>
        <v/>
      </c>
      <c r="AH48" t="str">
        <f>IF($A48="","",IF(OR($F48="sell_put",$F48="sell_call",$F48="roll"),$I48,IF($AF48&gt;0,IF($AF48&gt;0,INDEX($AH$9:$AH$47,$AF48),0),0)))</f>
        <v/>
      </c>
      <c r="AI48" s="51" t="str">
        <f t="shared" si="9"/>
        <v/>
      </c>
      <c r="AJ48" s="51" t="str">
        <f>IF($A48="","",IFERROR(LOOKUP(2,1/($B$9:$B$47=$B48),$AM$9:$AM47),0))</f>
        <v/>
      </c>
      <c r="AK48" t="str">
        <f>IF($A48="","",IFERROR(LOOKUP(2,1/($B$9:$B$47=$B48),$AN$9:$AN47),0))</f>
        <v/>
      </c>
      <c r="AL48" s="51" t="str">
        <f t="shared" si="10"/>
        <v/>
      </c>
      <c r="AM48" s="51" t="str">
        <f t="shared" si="11"/>
        <v/>
      </c>
      <c r="AN48" t="str">
        <f t="shared" si="12"/>
        <v/>
      </c>
      <c r="AO48" s="50" t="str">
        <f>IF($A48="","",IFERROR(LOOKUP(2,1/($B$9:$B$47=$B48),$AO$9:$AO47),0)+IF($F48="sell_put",$I48*$AE48*$D48,IF($F48="roll",IF($AG48="put",($I48-IF($AF48&gt;0,INDEX($AH$9:$AH$47,$AF48),0))*$AE48*$D48,0),IF(AND(OR($F48="buy_to_close",$F48="expire",$F48="roll",$F48="assignment",$F48="called_away"),$F48&lt;&gt;"roll",$AG48="put"),-IF($AF48&gt;0,INDEX($AH$9:$AH$47,$AF48),0)*$AE48*$D48,0))))</f>
        <v/>
      </c>
      <c r="AP48" s="51" t="str">
        <f>IF($A48="","",IFERROR(LOOKUP(2,1/($B$9:$B$47=$B48),$AP$9:$AP47),0)+IF($F48="sell_put",$AE48*$D48,IF(AND(OR($F48="buy_to_close",$F48="expire",$F48="roll",$F48="assignment",$F48="called_away"),$F48&lt;&gt;"roll",$AG48="put"),-$AE48*$D48,0)))</f>
        <v/>
      </c>
      <c r="AQ48" s="51" t="str">
        <f>IF($A48="","",IFERROR(LOOKUP(2,1/($B$9:$B$47=$B48),$AQ$9:$AQ47),0)+IF(OR($F48="sell_put",$F48="sell_call"),$AE48,0)-IF(AND(OR($F48="buy_to_close",$F48="expire",$F48="roll",$F48="assignment",$F48="called_away"),$F48&lt;&gt;"roll"),$AE48,0))</f>
        <v/>
      </c>
      <c r="AR48" t="str">
        <f t="shared" si="13"/>
        <v/>
      </c>
      <c r="AS48" s="50" t="str">
        <f t="shared" si="14"/>
        <v/>
      </c>
      <c r="AT48" s="50" t="str">
        <f>IF($A48="","",MAX(IF($T48=IFERROR(LOOKUP(2,1/($B$9:$B$47=$B48),$T$9:$T47),0),IFERROR(LOOKUP(2,1/($B$9:$B$47=$B48),$AT$9:$AT47),0),0),$AS48))</f>
        <v/>
      </c>
      <c r="AU48" t="str">
        <f t="shared" si="15"/>
        <v/>
      </c>
      <c r="AV48" s="51">
        <f>IF($AU48="",0,IF(AND(IFERROR(LOOKUP(2,1/($B$9:$B$47=$B48),$AR$9:$AR47),1),NOT(AND(OR($F48="dividend",$F48="fee"),IFERROR(LOOKUP(2,1/($B$9:$B$47=$B48),$T$9:$T47),0)&gt;0))),ROW(),0))</f>
        <v>0</v>
      </c>
      <c r="AW48">
        <f>IF($A48="",0,IF($AV48&gt;0,MAX($AW$9:$AW$47)+1,MAX($AW$9:$AW$47)))</f>
        <v>0</v>
      </c>
      <c r="AX48">
        <f>IF($AU48="",0,IF(AND($AR48,OR(NOT(IFERROR(LOOKUP(2,1/($B$9:$B$47=$B48),$AR$9:$AR47),1)),IFERROR(LOOKUP(2,1/($B$9:$B$47=$B48),$T$9:$T47),0)=0)),ROW(),0))</f>
        <v>0</v>
      </c>
      <c r="AY48" t="str">
        <f t="shared" si="16"/>
        <v/>
      </c>
    </row>
    <row r="49" spans="1:51" ht="15" x14ac:dyDescent="0.25">
      <c r="A49" s="41" t="str">
        <f>IF(Trades!$A49="","",Trades!O49)</f>
        <v/>
      </c>
      <c r="B49" s="41" t="str">
        <f>IF(Trades!$A49="","",Trades!B49)</f>
        <v/>
      </c>
      <c r="C49" s="41" t="str">
        <f>IF(Trades!$A49="","",Trades!C49)</f>
        <v/>
      </c>
      <c r="D49" s="42" t="str">
        <f>IF(Trades!$A49="","",IF(Trades!$L49&gt;0,Trades!$L49,Trades!$C$6))</f>
        <v/>
      </c>
      <c r="E49" s="43" t="str">
        <f>IF(Trades!$A49="","",Trades!A49)</f>
        <v/>
      </c>
      <c r="F49" s="41" t="str">
        <f>IF(Trades!$A49="","",IFERROR(INDEX(Trades!$V$2:$V$14,MATCH(Trades!$E49,Trades!$U$2:$U$14,0)),""))</f>
        <v/>
      </c>
      <c r="G49" s="41" t="str">
        <f>IF(Trades!$A49="","",Trades!N49)</f>
        <v/>
      </c>
      <c r="H49" s="42" t="str">
        <f>IF(Trades!$A49="","",Trades!F49)</f>
        <v/>
      </c>
      <c r="I49" s="44" t="str">
        <f>IF(Trades!$A49="","",Trades!G49)</f>
        <v/>
      </c>
      <c r="J49" s="44" t="str">
        <f>IF(Trades!$A49="","",Trades!I49)</f>
        <v/>
      </c>
      <c r="K49" s="44" t="str">
        <f>IF(Trades!$A49="","",Trades!Q49)</f>
        <v/>
      </c>
      <c r="L49" s="42" t="str">
        <f>IF(Trades!$A49="","",Trades!F49)</f>
        <v/>
      </c>
      <c r="M49" s="44" t="str">
        <f>IF(Trades!$A49="","",Trades!M49)</f>
        <v/>
      </c>
      <c r="N49" s="44" t="str">
        <f>IF(Trades!$A49="","",Trades!R49)</f>
        <v/>
      </c>
      <c r="O49" s="44" t="str">
        <f>IF(Trades!$A49="","",Trades!J49)</f>
        <v/>
      </c>
      <c r="P49" s="43" t="str">
        <f>IF(Trades!$A49="","",Trades!H49)</f>
        <v/>
      </c>
      <c r="Q49" s="41" t="str">
        <f>IF(Trades!$A49="","",Trades!P49)</f>
        <v/>
      </c>
      <c r="R49" s="45" t="str">
        <f t="shared" si="0"/>
        <v/>
      </c>
      <c r="S49" s="45" t="str">
        <f t="shared" si="1"/>
        <v/>
      </c>
      <c r="T49" s="46" t="str">
        <f>IF(OR($A49="",$B49=""),"",IF(AND(IFERROR(LOOKUP(2,1/($B$9:$B$48=$B49),$AR$9:$AR48),1),NOT(AND(OR($F49="dividend",$F49="fee"),IFERROR(LOOKUP(2,1/($B$9:$B$48=$B49),$T$9:$T48),0)&gt;0))),IFERROR(LOOKUP(2,1/($B$9:$B$48=$B49),$T$9:$T48),0)+1,IFERROR(LOOKUP(2,1/($B$9:$B$48=$B49),$T$9:$T48),0)))</f>
        <v/>
      </c>
      <c r="U49" s="47" t="str">
        <f t="shared" si="2"/>
        <v/>
      </c>
      <c r="V49" s="47" t="str">
        <f>IF($A49="","",IF(OR($B49="",$C49="",$D49="",$E49="",$F49=""),"Missing required field",IF(COUNTIFS($A$9:$A49,$A49,$B$9:$B49,$B49)&gt;1,"Duplicate event ID",IF(AND($E49&lt;&gt;IFERROR(LOOKUP(2,1/($B$9:$B$48=$B49),$E$9:$E48),0),IFERROR(LOOKUP(2,1/($B$9:$B$48=$B49),$E$9:$E48),0)&gt;$E49),"Date out of order",IF(AND(OR($F49="buy_to_close",$F49="expire",$F49="roll",$F49="assignment",$F49="called_away"),$AF49=0),"Unknown lot",IF(OR(AND($F49="assignment",$AF49&gt;0,IF($AF49&gt;0,INDEX($AG$9:$AG$48,$AF49),"")&lt;&gt;"put"),AND($F49="called_away",$AF49&gt;0,IF($AF49&gt;0,INDEX($AG$9:$AG$48,$AF49),"")&lt;&gt;"call")),"Wrong option leg",IF(OR(AND(OR($F49="sell_put",$F49="sell_call"),OR($H49&lt;=0,$I49&lt;=0,$J49&lt;0)),AND(OR($F49="buy_to_close",$F49="expire",$F49="assignment",$F49="called_away"),OR($H49&lt;=0,$J49&lt;0)),AND($F49="roll",OR($H49&lt;=0,$I49&lt;=0,$J49&lt;0,$K49&lt;0)),AND(OR($F49="buy_shares",$F49="sell_shares"),OR($L49&lt;=0,$M49&lt;0)),AND(OR($F49="dividend",$F49="fee"),$N49&lt;0)),"Invalid value",IF(AND(OR($F49="sell_shares",$F49="called_away"),$AL49&lt;IF($F49="called_away",$AE49*$D49,$L49)),"Insufficient shares (capped)",IF(AND(OR($F49="buy_to_close",$F49="expire",$F49="roll",$F49="assignment",$F49="called_away"),$AF49&gt;0,$H49&gt;IF($AF49&gt;0,MAX(0,INDEX($AI$9:$AI$48,$AF49)-SUMIFS($AE$9:$AE$48,$G$9:$G$48,$G49,$B$9:$B$48,$B49)),0)),"Close quantity capped","OK")))))))))</f>
        <v/>
      </c>
      <c r="W49" s="48" t="str">
        <f t="shared" si="3"/>
        <v/>
      </c>
      <c r="X49" s="49" t="str">
        <f t="shared" si="4"/>
        <v/>
      </c>
      <c r="Y49" s="50" t="str">
        <f t="shared" si="5"/>
        <v/>
      </c>
      <c r="Z49" s="50" t="str">
        <f t="shared" si="6"/>
        <v/>
      </c>
      <c r="AA49" s="50" t="str">
        <f t="shared" si="7"/>
        <v/>
      </c>
      <c r="AB49" s="50" t="str">
        <f t="shared" si="8"/>
        <v/>
      </c>
      <c r="AC49" s="50" t="str">
        <f>IF($A49="","",IF($F49="assignment",IF($AF49&gt;0,INDEX($AH$9:$AH$48,$AF49),0)*$AE49*$D49,IF($F49="buy_shares",$M49*$AL49,0)))</f>
        <v/>
      </c>
      <c r="AD49" s="50" t="str">
        <f>IF($A49="","",IF($F49="called_away",IF($AF49&gt;0,INDEX($AH$9:$AH$48,$AF49),0)*$AL49,IF($F49="sell_shares",$M49*$AL49,0)))</f>
        <v/>
      </c>
      <c r="AE49" s="51" t="str">
        <f>IF($A49="","",IF(OR($F49="sell_put",$F49="sell_call"),IF(AND($H49&gt;0,$I49&gt;0,$J49&gt;=0),$H49,0),IF(OR($F49="buy_to_close",$F49="expire",$F49="roll",$F49="assignment",$F49="called_away"),IF(AND($AF49&gt;0,$H49&gt;0,IF($F49="assignment",IF($AF49&gt;0,INDEX($AG$9:$AG$48,$AF49),"")="put",TRUE),IF($F49="called_away",IF($AF49&gt;0,INDEX($AG$9:$AG$48,$AF49),"")="call",TRUE)),MIN($H49,IF($AF49&gt;0,MAX(0,INDEX($AI$9:$AI$48,$AF49)-SUMIFS($AE$9:$AE$48,$G$9:$G$48,$G49,$B$9:$B$48,$B49)),0)),0),0)))</f>
        <v/>
      </c>
      <c r="AF49" t="str">
        <f>IF($A49="","",IFERROR(MATCH(LEN($B49)&amp;":"&amp;$B49&amp;$G49,$AY$9:$AY$48,0),0))</f>
        <v/>
      </c>
      <c r="AG49" t="str">
        <f>IF($A49="","",IF($F49="sell_put","put",IF($F49="sell_call","call",IF($F49="roll",IF($AF49&gt;0,IF($AF49&gt;0,INDEX($AG$9:$AG$48,$AF49),""),""),IF($AF49&gt;0,IF($AF49&gt;0,INDEX($AG$9:$AG$48,$AF49),""),"")))))</f>
        <v/>
      </c>
      <c r="AH49" t="str">
        <f>IF($A49="","",IF(OR($F49="sell_put",$F49="sell_call",$F49="roll"),$I49,IF($AF49&gt;0,IF($AF49&gt;0,INDEX($AH$9:$AH$48,$AF49),0),0)))</f>
        <v/>
      </c>
      <c r="AI49" s="51" t="str">
        <f t="shared" si="9"/>
        <v/>
      </c>
      <c r="AJ49" s="51" t="str">
        <f>IF($A49="","",IFERROR(LOOKUP(2,1/($B$9:$B$48=$B49),$AM$9:$AM48),0))</f>
        <v/>
      </c>
      <c r="AK49" t="str">
        <f>IF($A49="","",IFERROR(LOOKUP(2,1/($B$9:$B$48=$B49),$AN$9:$AN48),0))</f>
        <v/>
      </c>
      <c r="AL49" s="51" t="str">
        <f t="shared" si="10"/>
        <v/>
      </c>
      <c r="AM49" s="51" t="str">
        <f t="shared" si="11"/>
        <v/>
      </c>
      <c r="AN49" t="str">
        <f t="shared" si="12"/>
        <v/>
      </c>
      <c r="AO49" s="50" t="str">
        <f>IF($A49="","",IFERROR(LOOKUP(2,1/($B$9:$B$48=$B49),$AO$9:$AO48),0)+IF($F49="sell_put",$I49*$AE49*$D49,IF($F49="roll",IF($AG49="put",($I49-IF($AF49&gt;0,INDEX($AH$9:$AH$48,$AF49),0))*$AE49*$D49,0),IF(AND(OR($F49="buy_to_close",$F49="expire",$F49="roll",$F49="assignment",$F49="called_away"),$F49&lt;&gt;"roll",$AG49="put"),-IF($AF49&gt;0,INDEX($AH$9:$AH$48,$AF49),0)*$AE49*$D49,0))))</f>
        <v/>
      </c>
      <c r="AP49" s="51" t="str">
        <f>IF($A49="","",IFERROR(LOOKUP(2,1/($B$9:$B$48=$B49),$AP$9:$AP48),0)+IF($F49="sell_put",$AE49*$D49,IF(AND(OR($F49="buy_to_close",$F49="expire",$F49="roll",$F49="assignment",$F49="called_away"),$F49&lt;&gt;"roll",$AG49="put"),-$AE49*$D49,0)))</f>
        <v/>
      </c>
      <c r="AQ49" s="51" t="str">
        <f>IF($A49="","",IFERROR(LOOKUP(2,1/($B$9:$B$48=$B49),$AQ$9:$AQ48),0)+IF(OR($F49="sell_put",$F49="sell_call"),$AE49,0)-IF(AND(OR($F49="buy_to_close",$F49="expire",$F49="roll",$F49="assignment",$F49="called_away"),$F49&lt;&gt;"roll"),$AE49,0))</f>
        <v/>
      </c>
      <c r="AR49" t="str">
        <f t="shared" si="13"/>
        <v/>
      </c>
      <c r="AS49" s="50" t="str">
        <f t="shared" si="14"/>
        <v/>
      </c>
      <c r="AT49" s="50" t="str">
        <f>IF($A49="","",MAX(IF($T49=IFERROR(LOOKUP(2,1/($B$9:$B$48=$B49),$T$9:$T48),0),IFERROR(LOOKUP(2,1/($B$9:$B$48=$B49),$AT$9:$AT48),0),0),$AS49))</f>
        <v/>
      </c>
      <c r="AU49" t="str">
        <f t="shared" si="15"/>
        <v/>
      </c>
      <c r="AV49" s="51">
        <f>IF($AU49="",0,IF(AND(IFERROR(LOOKUP(2,1/($B$9:$B$48=$B49),$AR$9:$AR48),1),NOT(AND(OR($F49="dividend",$F49="fee"),IFERROR(LOOKUP(2,1/($B$9:$B$48=$B49),$T$9:$T48),0)&gt;0))),ROW(),0))</f>
        <v>0</v>
      </c>
      <c r="AW49">
        <f>IF($A49="",0,IF($AV49&gt;0,MAX($AW$9:$AW$48)+1,MAX($AW$9:$AW$48)))</f>
        <v>0</v>
      </c>
      <c r="AX49">
        <f>IF($AU49="",0,IF(AND($AR49,OR(NOT(IFERROR(LOOKUP(2,1/($B$9:$B$48=$B49),$AR$9:$AR48),1)),IFERROR(LOOKUP(2,1/($B$9:$B$48=$B49),$T$9:$T48),0)=0)),ROW(),0))</f>
        <v>0</v>
      </c>
      <c r="AY49" t="str">
        <f t="shared" si="16"/>
        <v/>
      </c>
    </row>
    <row r="50" spans="1:51" ht="15" x14ac:dyDescent="0.25">
      <c r="A50" s="52" t="str">
        <f>IF(Trades!$A50="","",Trades!O50)</f>
        <v/>
      </c>
      <c r="B50" s="52" t="str">
        <f>IF(Trades!$A50="","",Trades!B50)</f>
        <v/>
      </c>
      <c r="C50" s="52" t="str">
        <f>IF(Trades!$A50="","",Trades!C50)</f>
        <v/>
      </c>
      <c r="D50" s="53" t="str">
        <f>IF(Trades!$A50="","",IF(Trades!$L50&gt;0,Trades!$L50,Trades!$C$6))</f>
        <v/>
      </c>
      <c r="E50" s="54" t="str">
        <f>IF(Trades!$A50="","",Trades!A50)</f>
        <v/>
      </c>
      <c r="F50" s="52" t="str">
        <f>IF(Trades!$A50="","",IFERROR(INDEX(Trades!$V$2:$V$14,MATCH(Trades!$E50,Trades!$U$2:$U$14,0)),""))</f>
        <v/>
      </c>
      <c r="G50" s="52" t="str">
        <f>IF(Trades!$A50="","",Trades!N50)</f>
        <v/>
      </c>
      <c r="H50" s="53" t="str">
        <f>IF(Trades!$A50="","",Trades!F50)</f>
        <v/>
      </c>
      <c r="I50" s="55" t="str">
        <f>IF(Trades!$A50="","",Trades!G50)</f>
        <v/>
      </c>
      <c r="J50" s="55" t="str">
        <f>IF(Trades!$A50="","",Trades!I50)</f>
        <v/>
      </c>
      <c r="K50" s="55" t="str">
        <f>IF(Trades!$A50="","",Trades!Q50)</f>
        <v/>
      </c>
      <c r="L50" s="53" t="str">
        <f>IF(Trades!$A50="","",Trades!F50)</f>
        <v/>
      </c>
      <c r="M50" s="55" t="str">
        <f>IF(Trades!$A50="","",Trades!M50)</f>
        <v/>
      </c>
      <c r="N50" s="55" t="str">
        <f>IF(Trades!$A50="","",Trades!R50)</f>
        <v/>
      </c>
      <c r="O50" s="55" t="str">
        <f>IF(Trades!$A50="","",Trades!J50)</f>
        <v/>
      </c>
      <c r="P50" s="54" t="str">
        <f>IF(Trades!$A50="","",Trades!H50)</f>
        <v/>
      </c>
      <c r="Q50" s="52" t="str">
        <f>IF(Trades!$A50="","",Trades!P50)</f>
        <v/>
      </c>
      <c r="R50" s="56" t="str">
        <f t="shared" si="0"/>
        <v/>
      </c>
      <c r="S50" s="56" t="str">
        <f t="shared" si="1"/>
        <v/>
      </c>
      <c r="T50" s="57" t="str">
        <f>IF(OR($A50="",$B50=""),"",IF(AND(IFERROR(LOOKUP(2,1/($B$9:$B$49=$B50),$AR$9:$AR49),1),NOT(AND(OR($F50="dividend",$F50="fee"),IFERROR(LOOKUP(2,1/($B$9:$B$49=$B50),$T$9:$T49),0)&gt;0))),IFERROR(LOOKUP(2,1/($B$9:$B$49=$B50),$T$9:$T49),0)+1,IFERROR(LOOKUP(2,1/($B$9:$B$49=$B50),$T$9:$T49),0)))</f>
        <v/>
      </c>
      <c r="U50" s="58" t="str">
        <f t="shared" si="2"/>
        <v/>
      </c>
      <c r="V50" s="58" t="str">
        <f>IF($A50="","",IF(OR($B50="",$C50="",$D50="",$E50="",$F50=""),"Missing required field",IF(COUNTIFS($A$9:$A50,$A50,$B$9:$B50,$B50)&gt;1,"Duplicate event ID",IF(AND($E50&lt;&gt;IFERROR(LOOKUP(2,1/($B$9:$B$49=$B50),$E$9:$E49),0),IFERROR(LOOKUP(2,1/($B$9:$B$49=$B50),$E$9:$E49),0)&gt;$E50),"Date out of order",IF(AND(OR($F50="buy_to_close",$F50="expire",$F50="roll",$F50="assignment",$F50="called_away"),$AF50=0),"Unknown lot",IF(OR(AND($F50="assignment",$AF50&gt;0,IF($AF50&gt;0,INDEX($AG$9:$AG$49,$AF50),"")&lt;&gt;"put"),AND($F50="called_away",$AF50&gt;0,IF($AF50&gt;0,INDEX($AG$9:$AG$49,$AF50),"")&lt;&gt;"call")),"Wrong option leg",IF(OR(AND(OR($F50="sell_put",$F50="sell_call"),OR($H50&lt;=0,$I50&lt;=0,$J50&lt;0)),AND(OR($F50="buy_to_close",$F50="expire",$F50="assignment",$F50="called_away"),OR($H50&lt;=0,$J50&lt;0)),AND($F50="roll",OR($H50&lt;=0,$I50&lt;=0,$J50&lt;0,$K50&lt;0)),AND(OR($F50="buy_shares",$F50="sell_shares"),OR($L50&lt;=0,$M50&lt;0)),AND(OR($F50="dividend",$F50="fee"),$N50&lt;0)),"Invalid value",IF(AND(OR($F50="sell_shares",$F50="called_away"),$AL50&lt;IF($F50="called_away",$AE50*$D50,$L50)),"Insufficient shares (capped)",IF(AND(OR($F50="buy_to_close",$F50="expire",$F50="roll",$F50="assignment",$F50="called_away"),$AF50&gt;0,$H50&gt;IF($AF50&gt;0,MAX(0,INDEX($AI$9:$AI$49,$AF50)-SUMIFS($AE$9:$AE$49,$G$9:$G$49,$G50,$B$9:$B$49,$B50)),0)),"Close quantity capped","OK")))))))))</f>
        <v/>
      </c>
      <c r="W50" s="59" t="str">
        <f t="shared" si="3"/>
        <v/>
      </c>
      <c r="X50" s="60" t="str">
        <f t="shared" si="4"/>
        <v/>
      </c>
      <c r="Y50" s="50" t="str">
        <f t="shared" si="5"/>
        <v/>
      </c>
      <c r="Z50" s="50" t="str">
        <f t="shared" si="6"/>
        <v/>
      </c>
      <c r="AA50" s="50" t="str">
        <f t="shared" si="7"/>
        <v/>
      </c>
      <c r="AB50" s="50" t="str">
        <f t="shared" si="8"/>
        <v/>
      </c>
      <c r="AC50" s="50" t="str">
        <f>IF($A50="","",IF($F50="assignment",IF($AF50&gt;0,INDEX($AH$9:$AH$49,$AF50),0)*$AE50*$D50,IF($F50="buy_shares",$M50*$AL50,0)))</f>
        <v/>
      </c>
      <c r="AD50" s="50" t="str">
        <f>IF($A50="","",IF($F50="called_away",IF($AF50&gt;0,INDEX($AH$9:$AH$49,$AF50),0)*$AL50,IF($F50="sell_shares",$M50*$AL50,0)))</f>
        <v/>
      </c>
      <c r="AE50" s="51" t="str">
        <f>IF($A50="","",IF(OR($F50="sell_put",$F50="sell_call"),IF(AND($H50&gt;0,$I50&gt;0,$J50&gt;=0),$H50,0),IF(OR($F50="buy_to_close",$F50="expire",$F50="roll",$F50="assignment",$F50="called_away"),IF(AND($AF50&gt;0,$H50&gt;0,IF($F50="assignment",IF($AF50&gt;0,INDEX($AG$9:$AG$49,$AF50),"")="put",TRUE),IF($F50="called_away",IF($AF50&gt;0,INDEX($AG$9:$AG$49,$AF50),"")="call",TRUE)),MIN($H50,IF($AF50&gt;0,MAX(0,INDEX($AI$9:$AI$49,$AF50)-SUMIFS($AE$9:$AE$49,$G$9:$G$49,$G50,$B$9:$B$49,$B50)),0)),0),0)))</f>
        <v/>
      </c>
      <c r="AF50" t="str">
        <f>IF($A50="","",IFERROR(MATCH(LEN($B50)&amp;":"&amp;$B50&amp;$G50,$AY$9:$AY$49,0),0))</f>
        <v/>
      </c>
      <c r="AG50" t="str">
        <f>IF($A50="","",IF($F50="sell_put","put",IF($F50="sell_call","call",IF($F50="roll",IF($AF50&gt;0,IF($AF50&gt;0,INDEX($AG$9:$AG$49,$AF50),""),""),IF($AF50&gt;0,IF($AF50&gt;0,INDEX($AG$9:$AG$49,$AF50),""),"")))))</f>
        <v/>
      </c>
      <c r="AH50" t="str">
        <f>IF($A50="","",IF(OR($F50="sell_put",$F50="sell_call",$F50="roll"),$I50,IF($AF50&gt;0,IF($AF50&gt;0,INDEX($AH$9:$AH$49,$AF50),0),0)))</f>
        <v/>
      </c>
      <c r="AI50" s="51" t="str">
        <f t="shared" si="9"/>
        <v/>
      </c>
      <c r="AJ50" s="51" t="str">
        <f>IF($A50="","",IFERROR(LOOKUP(2,1/($B$9:$B$49=$B50),$AM$9:$AM49),0))</f>
        <v/>
      </c>
      <c r="AK50" t="str">
        <f>IF($A50="","",IFERROR(LOOKUP(2,1/($B$9:$B$49=$B50),$AN$9:$AN49),0))</f>
        <v/>
      </c>
      <c r="AL50" s="51" t="str">
        <f t="shared" si="10"/>
        <v/>
      </c>
      <c r="AM50" s="51" t="str">
        <f t="shared" si="11"/>
        <v/>
      </c>
      <c r="AN50" t="str">
        <f t="shared" si="12"/>
        <v/>
      </c>
      <c r="AO50" s="50" t="str">
        <f>IF($A50="","",IFERROR(LOOKUP(2,1/($B$9:$B$49=$B50),$AO$9:$AO49),0)+IF($F50="sell_put",$I50*$AE50*$D50,IF($F50="roll",IF($AG50="put",($I50-IF($AF50&gt;0,INDEX($AH$9:$AH$49,$AF50),0))*$AE50*$D50,0),IF(AND(OR($F50="buy_to_close",$F50="expire",$F50="roll",$F50="assignment",$F50="called_away"),$F50&lt;&gt;"roll",$AG50="put"),-IF($AF50&gt;0,INDEX($AH$9:$AH$49,$AF50),0)*$AE50*$D50,0))))</f>
        <v/>
      </c>
      <c r="AP50" s="51" t="str">
        <f>IF($A50="","",IFERROR(LOOKUP(2,1/($B$9:$B$49=$B50),$AP$9:$AP49),0)+IF($F50="sell_put",$AE50*$D50,IF(AND(OR($F50="buy_to_close",$F50="expire",$F50="roll",$F50="assignment",$F50="called_away"),$F50&lt;&gt;"roll",$AG50="put"),-$AE50*$D50,0)))</f>
        <v/>
      </c>
      <c r="AQ50" s="51" t="str">
        <f>IF($A50="","",IFERROR(LOOKUP(2,1/($B$9:$B$49=$B50),$AQ$9:$AQ49),0)+IF(OR($F50="sell_put",$F50="sell_call"),$AE50,0)-IF(AND(OR($F50="buy_to_close",$F50="expire",$F50="roll",$F50="assignment",$F50="called_away"),$F50&lt;&gt;"roll"),$AE50,0))</f>
        <v/>
      </c>
      <c r="AR50" t="str">
        <f t="shared" si="13"/>
        <v/>
      </c>
      <c r="AS50" s="50" t="str">
        <f t="shared" si="14"/>
        <v/>
      </c>
      <c r="AT50" s="50" t="str">
        <f>IF($A50="","",MAX(IF($T50=IFERROR(LOOKUP(2,1/($B$9:$B$49=$B50),$T$9:$T49),0),IFERROR(LOOKUP(2,1/($B$9:$B$49=$B50),$AT$9:$AT49),0),0),$AS50))</f>
        <v/>
      </c>
      <c r="AU50" t="str">
        <f t="shared" si="15"/>
        <v/>
      </c>
      <c r="AV50" s="51">
        <f>IF($AU50="",0,IF(AND(IFERROR(LOOKUP(2,1/($B$9:$B$49=$B50),$AR$9:$AR49),1),NOT(AND(OR($F50="dividend",$F50="fee"),IFERROR(LOOKUP(2,1/($B$9:$B$49=$B50),$T$9:$T49),0)&gt;0))),ROW(),0))</f>
        <v>0</v>
      </c>
      <c r="AW50">
        <f>IF($A50="",0,IF($AV50&gt;0,MAX($AW$9:$AW$49)+1,MAX($AW$9:$AW$49)))</f>
        <v>0</v>
      </c>
      <c r="AX50">
        <f>IF($AU50="",0,IF(AND($AR50,OR(NOT(IFERROR(LOOKUP(2,1/($B$9:$B$49=$B50),$AR$9:$AR49),1)),IFERROR(LOOKUP(2,1/($B$9:$B$49=$B50),$T$9:$T49),0)=0)),ROW(),0))</f>
        <v>0</v>
      </c>
      <c r="AY50" t="str">
        <f t="shared" si="16"/>
        <v/>
      </c>
    </row>
    <row r="51" spans="1:51" ht="15" x14ac:dyDescent="0.25">
      <c r="A51" s="41" t="str">
        <f>IF(Trades!$A51="","",Trades!O51)</f>
        <v/>
      </c>
      <c r="B51" s="41" t="str">
        <f>IF(Trades!$A51="","",Trades!B51)</f>
        <v/>
      </c>
      <c r="C51" s="41" t="str">
        <f>IF(Trades!$A51="","",Trades!C51)</f>
        <v/>
      </c>
      <c r="D51" s="42" t="str">
        <f>IF(Trades!$A51="","",IF(Trades!$L51&gt;0,Trades!$L51,Trades!$C$6))</f>
        <v/>
      </c>
      <c r="E51" s="43" t="str">
        <f>IF(Trades!$A51="","",Trades!A51)</f>
        <v/>
      </c>
      <c r="F51" s="41" t="str">
        <f>IF(Trades!$A51="","",IFERROR(INDEX(Trades!$V$2:$V$14,MATCH(Trades!$E51,Trades!$U$2:$U$14,0)),""))</f>
        <v/>
      </c>
      <c r="G51" s="41" t="str">
        <f>IF(Trades!$A51="","",Trades!N51)</f>
        <v/>
      </c>
      <c r="H51" s="42" t="str">
        <f>IF(Trades!$A51="","",Trades!F51)</f>
        <v/>
      </c>
      <c r="I51" s="44" t="str">
        <f>IF(Trades!$A51="","",Trades!G51)</f>
        <v/>
      </c>
      <c r="J51" s="44" t="str">
        <f>IF(Trades!$A51="","",Trades!I51)</f>
        <v/>
      </c>
      <c r="K51" s="44" t="str">
        <f>IF(Trades!$A51="","",Trades!Q51)</f>
        <v/>
      </c>
      <c r="L51" s="42" t="str">
        <f>IF(Trades!$A51="","",Trades!F51)</f>
        <v/>
      </c>
      <c r="M51" s="44" t="str">
        <f>IF(Trades!$A51="","",Trades!M51)</f>
        <v/>
      </c>
      <c r="N51" s="44" t="str">
        <f>IF(Trades!$A51="","",Trades!R51)</f>
        <v/>
      </c>
      <c r="O51" s="44" t="str">
        <f>IF(Trades!$A51="","",Trades!J51)</f>
        <v/>
      </c>
      <c r="P51" s="43" t="str">
        <f>IF(Trades!$A51="","",Trades!H51)</f>
        <v/>
      </c>
      <c r="Q51" s="41" t="str">
        <f>IF(Trades!$A51="","",Trades!P51)</f>
        <v/>
      </c>
      <c r="R51" s="45" t="str">
        <f t="shared" si="0"/>
        <v/>
      </c>
      <c r="S51" s="45" t="str">
        <f t="shared" si="1"/>
        <v/>
      </c>
      <c r="T51" s="46" t="str">
        <f>IF(OR($A51="",$B51=""),"",IF(AND(IFERROR(LOOKUP(2,1/($B$9:$B$50=$B51),$AR$9:$AR50),1),NOT(AND(OR($F51="dividend",$F51="fee"),IFERROR(LOOKUP(2,1/($B$9:$B$50=$B51),$T$9:$T50),0)&gt;0))),IFERROR(LOOKUP(2,1/($B$9:$B$50=$B51),$T$9:$T50),0)+1,IFERROR(LOOKUP(2,1/($B$9:$B$50=$B51),$T$9:$T50),0)))</f>
        <v/>
      </c>
      <c r="U51" s="47" t="str">
        <f t="shared" si="2"/>
        <v/>
      </c>
      <c r="V51" s="47" t="str">
        <f>IF($A51="","",IF(OR($B51="",$C51="",$D51="",$E51="",$F51=""),"Missing required field",IF(COUNTIFS($A$9:$A51,$A51,$B$9:$B51,$B51)&gt;1,"Duplicate event ID",IF(AND($E51&lt;&gt;IFERROR(LOOKUP(2,1/($B$9:$B$50=$B51),$E$9:$E50),0),IFERROR(LOOKUP(2,1/($B$9:$B$50=$B51),$E$9:$E50),0)&gt;$E51),"Date out of order",IF(AND(OR($F51="buy_to_close",$F51="expire",$F51="roll",$F51="assignment",$F51="called_away"),$AF51=0),"Unknown lot",IF(OR(AND($F51="assignment",$AF51&gt;0,IF($AF51&gt;0,INDEX($AG$9:$AG$50,$AF51),"")&lt;&gt;"put"),AND($F51="called_away",$AF51&gt;0,IF($AF51&gt;0,INDEX($AG$9:$AG$50,$AF51),"")&lt;&gt;"call")),"Wrong option leg",IF(OR(AND(OR($F51="sell_put",$F51="sell_call"),OR($H51&lt;=0,$I51&lt;=0,$J51&lt;0)),AND(OR($F51="buy_to_close",$F51="expire",$F51="assignment",$F51="called_away"),OR($H51&lt;=0,$J51&lt;0)),AND($F51="roll",OR($H51&lt;=0,$I51&lt;=0,$J51&lt;0,$K51&lt;0)),AND(OR($F51="buy_shares",$F51="sell_shares"),OR($L51&lt;=0,$M51&lt;0)),AND(OR($F51="dividend",$F51="fee"),$N51&lt;0)),"Invalid value",IF(AND(OR($F51="sell_shares",$F51="called_away"),$AL51&lt;IF($F51="called_away",$AE51*$D51,$L51)),"Insufficient shares (capped)",IF(AND(OR($F51="buy_to_close",$F51="expire",$F51="roll",$F51="assignment",$F51="called_away"),$AF51&gt;0,$H51&gt;IF($AF51&gt;0,MAX(0,INDEX($AI$9:$AI$50,$AF51)-SUMIFS($AE$9:$AE$50,$G$9:$G$50,$G51,$B$9:$B$50,$B51)),0)),"Close quantity capped","OK")))))))))</f>
        <v/>
      </c>
      <c r="W51" s="48" t="str">
        <f t="shared" si="3"/>
        <v/>
      </c>
      <c r="X51" s="49" t="str">
        <f t="shared" si="4"/>
        <v/>
      </c>
      <c r="Y51" s="50" t="str">
        <f t="shared" si="5"/>
        <v/>
      </c>
      <c r="Z51" s="50" t="str">
        <f t="shared" si="6"/>
        <v/>
      </c>
      <c r="AA51" s="50" t="str">
        <f t="shared" si="7"/>
        <v/>
      </c>
      <c r="AB51" s="50" t="str">
        <f t="shared" si="8"/>
        <v/>
      </c>
      <c r="AC51" s="50" t="str">
        <f>IF($A51="","",IF($F51="assignment",IF($AF51&gt;0,INDEX($AH$9:$AH$50,$AF51),0)*$AE51*$D51,IF($F51="buy_shares",$M51*$AL51,0)))</f>
        <v/>
      </c>
      <c r="AD51" s="50" t="str">
        <f>IF($A51="","",IF($F51="called_away",IF($AF51&gt;0,INDEX($AH$9:$AH$50,$AF51),0)*$AL51,IF($F51="sell_shares",$M51*$AL51,0)))</f>
        <v/>
      </c>
      <c r="AE51" s="51" t="str">
        <f>IF($A51="","",IF(OR($F51="sell_put",$F51="sell_call"),IF(AND($H51&gt;0,$I51&gt;0,$J51&gt;=0),$H51,0),IF(OR($F51="buy_to_close",$F51="expire",$F51="roll",$F51="assignment",$F51="called_away"),IF(AND($AF51&gt;0,$H51&gt;0,IF($F51="assignment",IF($AF51&gt;0,INDEX($AG$9:$AG$50,$AF51),"")="put",TRUE),IF($F51="called_away",IF($AF51&gt;0,INDEX($AG$9:$AG$50,$AF51),"")="call",TRUE)),MIN($H51,IF($AF51&gt;0,MAX(0,INDEX($AI$9:$AI$50,$AF51)-SUMIFS($AE$9:$AE$50,$G$9:$G$50,$G51,$B$9:$B$50,$B51)),0)),0),0)))</f>
        <v/>
      </c>
      <c r="AF51" t="str">
        <f>IF($A51="","",IFERROR(MATCH(LEN($B51)&amp;":"&amp;$B51&amp;$G51,$AY$9:$AY$50,0),0))</f>
        <v/>
      </c>
      <c r="AG51" t="str">
        <f>IF($A51="","",IF($F51="sell_put","put",IF($F51="sell_call","call",IF($F51="roll",IF($AF51&gt;0,IF($AF51&gt;0,INDEX($AG$9:$AG$50,$AF51),""),""),IF($AF51&gt;0,IF($AF51&gt;0,INDEX($AG$9:$AG$50,$AF51),""),"")))))</f>
        <v/>
      </c>
      <c r="AH51" t="str">
        <f>IF($A51="","",IF(OR($F51="sell_put",$F51="sell_call",$F51="roll"),$I51,IF($AF51&gt;0,IF($AF51&gt;0,INDEX($AH$9:$AH$50,$AF51),0),0)))</f>
        <v/>
      </c>
      <c r="AI51" s="51" t="str">
        <f t="shared" si="9"/>
        <v/>
      </c>
      <c r="AJ51" s="51" t="str">
        <f>IF($A51="","",IFERROR(LOOKUP(2,1/($B$9:$B$50=$B51),$AM$9:$AM50),0))</f>
        <v/>
      </c>
      <c r="AK51" t="str">
        <f>IF($A51="","",IFERROR(LOOKUP(2,1/($B$9:$B$50=$B51),$AN$9:$AN50),0))</f>
        <v/>
      </c>
      <c r="AL51" s="51" t="str">
        <f t="shared" si="10"/>
        <v/>
      </c>
      <c r="AM51" s="51" t="str">
        <f t="shared" si="11"/>
        <v/>
      </c>
      <c r="AN51" t="str">
        <f t="shared" si="12"/>
        <v/>
      </c>
      <c r="AO51" s="50" t="str">
        <f>IF($A51="","",IFERROR(LOOKUP(2,1/($B$9:$B$50=$B51),$AO$9:$AO50),0)+IF($F51="sell_put",$I51*$AE51*$D51,IF($F51="roll",IF($AG51="put",($I51-IF($AF51&gt;0,INDEX($AH$9:$AH$50,$AF51),0))*$AE51*$D51,0),IF(AND(OR($F51="buy_to_close",$F51="expire",$F51="roll",$F51="assignment",$F51="called_away"),$F51&lt;&gt;"roll",$AG51="put"),-IF($AF51&gt;0,INDEX($AH$9:$AH$50,$AF51),0)*$AE51*$D51,0))))</f>
        <v/>
      </c>
      <c r="AP51" s="51" t="str">
        <f>IF($A51="","",IFERROR(LOOKUP(2,1/($B$9:$B$50=$B51),$AP$9:$AP50),0)+IF($F51="sell_put",$AE51*$D51,IF(AND(OR($F51="buy_to_close",$F51="expire",$F51="roll",$F51="assignment",$F51="called_away"),$F51&lt;&gt;"roll",$AG51="put"),-$AE51*$D51,0)))</f>
        <v/>
      </c>
      <c r="AQ51" s="51" t="str">
        <f>IF($A51="","",IFERROR(LOOKUP(2,1/($B$9:$B$50=$B51),$AQ$9:$AQ50),0)+IF(OR($F51="sell_put",$F51="sell_call"),$AE51,0)-IF(AND(OR($F51="buy_to_close",$F51="expire",$F51="roll",$F51="assignment",$F51="called_away"),$F51&lt;&gt;"roll"),$AE51,0))</f>
        <v/>
      </c>
      <c r="AR51" t="str">
        <f t="shared" si="13"/>
        <v/>
      </c>
      <c r="AS51" s="50" t="str">
        <f t="shared" si="14"/>
        <v/>
      </c>
      <c r="AT51" s="50" t="str">
        <f>IF($A51="","",MAX(IF($T51=IFERROR(LOOKUP(2,1/($B$9:$B$50=$B51),$T$9:$T50),0),IFERROR(LOOKUP(2,1/($B$9:$B$50=$B51),$AT$9:$AT50),0),0),$AS51))</f>
        <v/>
      </c>
      <c r="AU51" t="str">
        <f t="shared" si="15"/>
        <v/>
      </c>
      <c r="AV51" s="51">
        <f>IF($AU51="",0,IF(AND(IFERROR(LOOKUP(2,1/($B$9:$B$50=$B51),$AR$9:$AR50),1),NOT(AND(OR($F51="dividend",$F51="fee"),IFERROR(LOOKUP(2,1/($B$9:$B$50=$B51),$T$9:$T50),0)&gt;0))),ROW(),0))</f>
        <v>0</v>
      </c>
      <c r="AW51">
        <f>IF($A51="",0,IF($AV51&gt;0,MAX($AW$9:$AW$50)+1,MAX($AW$9:$AW$50)))</f>
        <v>0</v>
      </c>
      <c r="AX51">
        <f>IF($AU51="",0,IF(AND($AR51,OR(NOT(IFERROR(LOOKUP(2,1/($B$9:$B$50=$B51),$AR$9:$AR50),1)),IFERROR(LOOKUP(2,1/($B$9:$B$50=$B51),$T$9:$T50),0)=0)),ROW(),0))</f>
        <v>0</v>
      </c>
      <c r="AY51" t="str">
        <f t="shared" si="16"/>
        <v/>
      </c>
    </row>
    <row r="52" spans="1:51" ht="15" x14ac:dyDescent="0.25">
      <c r="A52" s="52" t="str">
        <f>IF(Trades!$A52="","",Trades!O52)</f>
        <v/>
      </c>
      <c r="B52" s="52" t="str">
        <f>IF(Trades!$A52="","",Trades!B52)</f>
        <v/>
      </c>
      <c r="C52" s="52" t="str">
        <f>IF(Trades!$A52="","",Trades!C52)</f>
        <v/>
      </c>
      <c r="D52" s="53" t="str">
        <f>IF(Trades!$A52="","",IF(Trades!$L52&gt;0,Trades!$L52,Trades!$C$6))</f>
        <v/>
      </c>
      <c r="E52" s="54" t="str">
        <f>IF(Trades!$A52="","",Trades!A52)</f>
        <v/>
      </c>
      <c r="F52" s="52" t="str">
        <f>IF(Trades!$A52="","",IFERROR(INDEX(Trades!$V$2:$V$14,MATCH(Trades!$E52,Trades!$U$2:$U$14,0)),""))</f>
        <v/>
      </c>
      <c r="G52" s="52" t="str">
        <f>IF(Trades!$A52="","",Trades!N52)</f>
        <v/>
      </c>
      <c r="H52" s="53" t="str">
        <f>IF(Trades!$A52="","",Trades!F52)</f>
        <v/>
      </c>
      <c r="I52" s="55" t="str">
        <f>IF(Trades!$A52="","",Trades!G52)</f>
        <v/>
      </c>
      <c r="J52" s="55" t="str">
        <f>IF(Trades!$A52="","",Trades!I52)</f>
        <v/>
      </c>
      <c r="K52" s="55" t="str">
        <f>IF(Trades!$A52="","",Trades!Q52)</f>
        <v/>
      </c>
      <c r="L52" s="53" t="str">
        <f>IF(Trades!$A52="","",Trades!F52)</f>
        <v/>
      </c>
      <c r="M52" s="55" t="str">
        <f>IF(Trades!$A52="","",Trades!M52)</f>
        <v/>
      </c>
      <c r="N52" s="55" t="str">
        <f>IF(Trades!$A52="","",Trades!R52)</f>
        <v/>
      </c>
      <c r="O52" s="55" t="str">
        <f>IF(Trades!$A52="","",Trades!J52)</f>
        <v/>
      </c>
      <c r="P52" s="54" t="str">
        <f>IF(Trades!$A52="","",Trades!H52)</f>
        <v/>
      </c>
      <c r="Q52" s="52" t="str">
        <f>IF(Trades!$A52="","",Trades!P52)</f>
        <v/>
      </c>
      <c r="R52" s="56" t="str">
        <f t="shared" si="0"/>
        <v/>
      </c>
      <c r="S52" s="56" t="str">
        <f t="shared" si="1"/>
        <v/>
      </c>
      <c r="T52" s="57" t="str">
        <f>IF(OR($A52="",$B52=""),"",IF(AND(IFERROR(LOOKUP(2,1/($B$9:$B$51=$B52),$AR$9:$AR51),1),NOT(AND(OR($F52="dividend",$F52="fee"),IFERROR(LOOKUP(2,1/($B$9:$B$51=$B52),$T$9:$T51),0)&gt;0))),IFERROR(LOOKUP(2,1/($B$9:$B$51=$B52),$T$9:$T51),0)+1,IFERROR(LOOKUP(2,1/($B$9:$B$51=$B52),$T$9:$T51),0)))</f>
        <v/>
      </c>
      <c r="U52" s="58" t="str">
        <f t="shared" si="2"/>
        <v/>
      </c>
      <c r="V52" s="58" t="str">
        <f>IF($A52="","",IF(OR($B52="",$C52="",$D52="",$E52="",$F52=""),"Missing required field",IF(COUNTIFS($A$9:$A52,$A52,$B$9:$B52,$B52)&gt;1,"Duplicate event ID",IF(AND($E52&lt;&gt;IFERROR(LOOKUP(2,1/($B$9:$B$51=$B52),$E$9:$E51),0),IFERROR(LOOKUP(2,1/($B$9:$B$51=$B52),$E$9:$E51),0)&gt;$E52),"Date out of order",IF(AND(OR($F52="buy_to_close",$F52="expire",$F52="roll",$F52="assignment",$F52="called_away"),$AF52=0),"Unknown lot",IF(OR(AND($F52="assignment",$AF52&gt;0,IF($AF52&gt;0,INDEX($AG$9:$AG$51,$AF52),"")&lt;&gt;"put"),AND($F52="called_away",$AF52&gt;0,IF($AF52&gt;0,INDEX($AG$9:$AG$51,$AF52),"")&lt;&gt;"call")),"Wrong option leg",IF(OR(AND(OR($F52="sell_put",$F52="sell_call"),OR($H52&lt;=0,$I52&lt;=0,$J52&lt;0)),AND(OR($F52="buy_to_close",$F52="expire",$F52="assignment",$F52="called_away"),OR($H52&lt;=0,$J52&lt;0)),AND($F52="roll",OR($H52&lt;=0,$I52&lt;=0,$J52&lt;0,$K52&lt;0)),AND(OR($F52="buy_shares",$F52="sell_shares"),OR($L52&lt;=0,$M52&lt;0)),AND(OR($F52="dividend",$F52="fee"),$N52&lt;0)),"Invalid value",IF(AND(OR($F52="sell_shares",$F52="called_away"),$AL52&lt;IF($F52="called_away",$AE52*$D52,$L52)),"Insufficient shares (capped)",IF(AND(OR($F52="buy_to_close",$F52="expire",$F52="roll",$F52="assignment",$F52="called_away"),$AF52&gt;0,$H52&gt;IF($AF52&gt;0,MAX(0,INDEX($AI$9:$AI$51,$AF52)-SUMIFS($AE$9:$AE$51,$G$9:$G$51,$G52,$B$9:$B$51,$B52)),0)),"Close quantity capped","OK")))))))))</f>
        <v/>
      </c>
      <c r="W52" s="59" t="str">
        <f t="shared" si="3"/>
        <v/>
      </c>
      <c r="X52" s="60" t="str">
        <f t="shared" si="4"/>
        <v/>
      </c>
      <c r="Y52" s="50" t="str">
        <f t="shared" si="5"/>
        <v/>
      </c>
      <c r="Z52" s="50" t="str">
        <f t="shared" si="6"/>
        <v/>
      </c>
      <c r="AA52" s="50" t="str">
        <f t="shared" si="7"/>
        <v/>
      </c>
      <c r="AB52" s="50" t="str">
        <f t="shared" si="8"/>
        <v/>
      </c>
      <c r="AC52" s="50" t="str">
        <f>IF($A52="","",IF($F52="assignment",IF($AF52&gt;0,INDEX($AH$9:$AH$51,$AF52),0)*$AE52*$D52,IF($F52="buy_shares",$M52*$AL52,0)))</f>
        <v/>
      </c>
      <c r="AD52" s="50" t="str">
        <f>IF($A52="","",IF($F52="called_away",IF($AF52&gt;0,INDEX($AH$9:$AH$51,$AF52),0)*$AL52,IF($F52="sell_shares",$M52*$AL52,0)))</f>
        <v/>
      </c>
      <c r="AE52" s="51" t="str">
        <f>IF($A52="","",IF(OR($F52="sell_put",$F52="sell_call"),IF(AND($H52&gt;0,$I52&gt;0,$J52&gt;=0),$H52,0),IF(OR($F52="buy_to_close",$F52="expire",$F52="roll",$F52="assignment",$F52="called_away"),IF(AND($AF52&gt;0,$H52&gt;0,IF($F52="assignment",IF($AF52&gt;0,INDEX($AG$9:$AG$51,$AF52),"")="put",TRUE),IF($F52="called_away",IF($AF52&gt;0,INDEX($AG$9:$AG$51,$AF52),"")="call",TRUE)),MIN($H52,IF($AF52&gt;0,MAX(0,INDEX($AI$9:$AI$51,$AF52)-SUMIFS($AE$9:$AE$51,$G$9:$G$51,$G52,$B$9:$B$51,$B52)),0)),0),0)))</f>
        <v/>
      </c>
      <c r="AF52" t="str">
        <f>IF($A52="","",IFERROR(MATCH(LEN($B52)&amp;":"&amp;$B52&amp;$G52,$AY$9:$AY$51,0),0))</f>
        <v/>
      </c>
      <c r="AG52" t="str">
        <f>IF($A52="","",IF($F52="sell_put","put",IF($F52="sell_call","call",IF($F52="roll",IF($AF52&gt;0,IF($AF52&gt;0,INDEX($AG$9:$AG$51,$AF52),""),""),IF($AF52&gt;0,IF($AF52&gt;0,INDEX($AG$9:$AG$51,$AF52),""),"")))))</f>
        <v/>
      </c>
      <c r="AH52" t="str">
        <f>IF($A52="","",IF(OR($F52="sell_put",$F52="sell_call",$F52="roll"),$I52,IF($AF52&gt;0,IF($AF52&gt;0,INDEX($AH$9:$AH$51,$AF52),0),0)))</f>
        <v/>
      </c>
      <c r="AI52" s="51" t="str">
        <f t="shared" si="9"/>
        <v/>
      </c>
      <c r="AJ52" s="51" t="str">
        <f>IF($A52="","",IFERROR(LOOKUP(2,1/($B$9:$B$51=$B52),$AM$9:$AM51),0))</f>
        <v/>
      </c>
      <c r="AK52" t="str">
        <f>IF($A52="","",IFERROR(LOOKUP(2,1/($B$9:$B$51=$B52),$AN$9:$AN51),0))</f>
        <v/>
      </c>
      <c r="AL52" s="51" t="str">
        <f t="shared" si="10"/>
        <v/>
      </c>
      <c r="AM52" s="51" t="str">
        <f t="shared" si="11"/>
        <v/>
      </c>
      <c r="AN52" t="str">
        <f t="shared" si="12"/>
        <v/>
      </c>
      <c r="AO52" s="50" t="str">
        <f>IF($A52="","",IFERROR(LOOKUP(2,1/($B$9:$B$51=$B52),$AO$9:$AO51),0)+IF($F52="sell_put",$I52*$AE52*$D52,IF($F52="roll",IF($AG52="put",($I52-IF($AF52&gt;0,INDEX($AH$9:$AH$51,$AF52),0))*$AE52*$D52,0),IF(AND(OR($F52="buy_to_close",$F52="expire",$F52="roll",$F52="assignment",$F52="called_away"),$F52&lt;&gt;"roll",$AG52="put"),-IF($AF52&gt;0,INDEX($AH$9:$AH$51,$AF52),0)*$AE52*$D52,0))))</f>
        <v/>
      </c>
      <c r="AP52" s="51" t="str">
        <f>IF($A52="","",IFERROR(LOOKUP(2,1/($B$9:$B$51=$B52),$AP$9:$AP51),0)+IF($F52="sell_put",$AE52*$D52,IF(AND(OR($F52="buy_to_close",$F52="expire",$F52="roll",$F52="assignment",$F52="called_away"),$F52&lt;&gt;"roll",$AG52="put"),-$AE52*$D52,0)))</f>
        <v/>
      </c>
      <c r="AQ52" s="51" t="str">
        <f>IF($A52="","",IFERROR(LOOKUP(2,1/($B$9:$B$51=$B52),$AQ$9:$AQ51),0)+IF(OR($F52="sell_put",$F52="sell_call"),$AE52,0)-IF(AND(OR($F52="buy_to_close",$F52="expire",$F52="roll",$F52="assignment",$F52="called_away"),$F52&lt;&gt;"roll"),$AE52,0))</f>
        <v/>
      </c>
      <c r="AR52" t="str">
        <f t="shared" si="13"/>
        <v/>
      </c>
      <c r="AS52" s="50" t="str">
        <f t="shared" si="14"/>
        <v/>
      </c>
      <c r="AT52" s="50" t="str">
        <f>IF($A52="","",MAX(IF($T52=IFERROR(LOOKUP(2,1/($B$9:$B$51=$B52),$T$9:$T51),0),IFERROR(LOOKUP(2,1/($B$9:$B$51=$B52),$AT$9:$AT51),0),0),$AS52))</f>
        <v/>
      </c>
      <c r="AU52" t="str">
        <f t="shared" si="15"/>
        <v/>
      </c>
      <c r="AV52" s="51">
        <f>IF($AU52="",0,IF(AND(IFERROR(LOOKUP(2,1/($B$9:$B$51=$B52),$AR$9:$AR51),1),NOT(AND(OR($F52="dividend",$F52="fee"),IFERROR(LOOKUP(2,1/($B$9:$B$51=$B52),$T$9:$T51),0)&gt;0))),ROW(),0))</f>
        <v>0</v>
      </c>
      <c r="AW52">
        <f>IF($A52="",0,IF($AV52&gt;0,MAX($AW$9:$AW$51)+1,MAX($AW$9:$AW$51)))</f>
        <v>0</v>
      </c>
      <c r="AX52">
        <f>IF($AU52="",0,IF(AND($AR52,OR(NOT(IFERROR(LOOKUP(2,1/($B$9:$B$51=$B52),$AR$9:$AR51),1)),IFERROR(LOOKUP(2,1/($B$9:$B$51=$B52),$T$9:$T51),0)=0)),ROW(),0))</f>
        <v>0</v>
      </c>
      <c r="AY52" t="str">
        <f t="shared" si="16"/>
        <v/>
      </c>
    </row>
    <row r="53" spans="1:51" ht="15" x14ac:dyDescent="0.25">
      <c r="A53" s="41" t="str">
        <f>IF(Trades!$A53="","",Trades!O53)</f>
        <v/>
      </c>
      <c r="B53" s="41" t="str">
        <f>IF(Trades!$A53="","",Trades!B53)</f>
        <v/>
      </c>
      <c r="C53" s="41" t="str">
        <f>IF(Trades!$A53="","",Trades!C53)</f>
        <v/>
      </c>
      <c r="D53" s="42" t="str">
        <f>IF(Trades!$A53="","",IF(Trades!$L53&gt;0,Trades!$L53,Trades!$C$6))</f>
        <v/>
      </c>
      <c r="E53" s="43" t="str">
        <f>IF(Trades!$A53="","",Trades!A53)</f>
        <v/>
      </c>
      <c r="F53" s="41" t="str">
        <f>IF(Trades!$A53="","",IFERROR(INDEX(Trades!$V$2:$V$14,MATCH(Trades!$E53,Trades!$U$2:$U$14,0)),""))</f>
        <v/>
      </c>
      <c r="G53" s="41" t="str">
        <f>IF(Trades!$A53="","",Trades!N53)</f>
        <v/>
      </c>
      <c r="H53" s="42" t="str">
        <f>IF(Trades!$A53="","",Trades!F53)</f>
        <v/>
      </c>
      <c r="I53" s="44" t="str">
        <f>IF(Trades!$A53="","",Trades!G53)</f>
        <v/>
      </c>
      <c r="J53" s="44" t="str">
        <f>IF(Trades!$A53="","",Trades!I53)</f>
        <v/>
      </c>
      <c r="K53" s="44" t="str">
        <f>IF(Trades!$A53="","",Trades!Q53)</f>
        <v/>
      </c>
      <c r="L53" s="42" t="str">
        <f>IF(Trades!$A53="","",Trades!F53)</f>
        <v/>
      </c>
      <c r="M53" s="44" t="str">
        <f>IF(Trades!$A53="","",Trades!M53)</f>
        <v/>
      </c>
      <c r="N53" s="44" t="str">
        <f>IF(Trades!$A53="","",Trades!R53)</f>
        <v/>
      </c>
      <c r="O53" s="44" t="str">
        <f>IF(Trades!$A53="","",Trades!J53)</f>
        <v/>
      </c>
      <c r="P53" s="43" t="str">
        <f>IF(Trades!$A53="","",Trades!H53)</f>
        <v/>
      </c>
      <c r="Q53" s="41" t="str">
        <f>IF(Trades!$A53="","",Trades!P53)</f>
        <v/>
      </c>
      <c r="R53" s="45" t="str">
        <f t="shared" si="0"/>
        <v/>
      </c>
      <c r="S53" s="45" t="str">
        <f t="shared" si="1"/>
        <v/>
      </c>
      <c r="T53" s="46" t="str">
        <f>IF(OR($A53="",$B53=""),"",IF(AND(IFERROR(LOOKUP(2,1/($B$9:$B$52=$B53),$AR$9:$AR52),1),NOT(AND(OR($F53="dividend",$F53="fee"),IFERROR(LOOKUP(2,1/($B$9:$B$52=$B53),$T$9:$T52),0)&gt;0))),IFERROR(LOOKUP(2,1/($B$9:$B$52=$B53),$T$9:$T52),0)+1,IFERROR(LOOKUP(2,1/($B$9:$B$52=$B53),$T$9:$T52),0)))</f>
        <v/>
      </c>
      <c r="U53" s="47" t="str">
        <f t="shared" si="2"/>
        <v/>
      </c>
      <c r="V53" s="47" t="str">
        <f>IF($A53="","",IF(OR($B53="",$C53="",$D53="",$E53="",$F53=""),"Missing required field",IF(COUNTIFS($A$9:$A53,$A53,$B$9:$B53,$B53)&gt;1,"Duplicate event ID",IF(AND($E53&lt;&gt;IFERROR(LOOKUP(2,1/($B$9:$B$52=$B53),$E$9:$E52),0),IFERROR(LOOKUP(2,1/($B$9:$B$52=$B53),$E$9:$E52),0)&gt;$E53),"Date out of order",IF(AND(OR($F53="buy_to_close",$F53="expire",$F53="roll",$F53="assignment",$F53="called_away"),$AF53=0),"Unknown lot",IF(OR(AND($F53="assignment",$AF53&gt;0,IF($AF53&gt;0,INDEX($AG$9:$AG$52,$AF53),"")&lt;&gt;"put"),AND($F53="called_away",$AF53&gt;0,IF($AF53&gt;0,INDEX($AG$9:$AG$52,$AF53),"")&lt;&gt;"call")),"Wrong option leg",IF(OR(AND(OR($F53="sell_put",$F53="sell_call"),OR($H53&lt;=0,$I53&lt;=0,$J53&lt;0)),AND(OR($F53="buy_to_close",$F53="expire",$F53="assignment",$F53="called_away"),OR($H53&lt;=0,$J53&lt;0)),AND($F53="roll",OR($H53&lt;=0,$I53&lt;=0,$J53&lt;0,$K53&lt;0)),AND(OR($F53="buy_shares",$F53="sell_shares"),OR($L53&lt;=0,$M53&lt;0)),AND(OR($F53="dividend",$F53="fee"),$N53&lt;0)),"Invalid value",IF(AND(OR($F53="sell_shares",$F53="called_away"),$AL53&lt;IF($F53="called_away",$AE53*$D53,$L53)),"Insufficient shares (capped)",IF(AND(OR($F53="buy_to_close",$F53="expire",$F53="roll",$F53="assignment",$F53="called_away"),$AF53&gt;0,$H53&gt;IF($AF53&gt;0,MAX(0,INDEX($AI$9:$AI$52,$AF53)-SUMIFS($AE$9:$AE$52,$G$9:$G$52,$G53,$B$9:$B$52,$B53)),0)),"Close quantity capped","OK")))))))))</f>
        <v/>
      </c>
      <c r="W53" s="48" t="str">
        <f t="shared" si="3"/>
        <v/>
      </c>
      <c r="X53" s="49" t="str">
        <f t="shared" si="4"/>
        <v/>
      </c>
      <c r="Y53" s="50" t="str">
        <f t="shared" si="5"/>
        <v/>
      </c>
      <c r="Z53" s="50" t="str">
        <f t="shared" si="6"/>
        <v/>
      </c>
      <c r="AA53" s="50" t="str">
        <f t="shared" si="7"/>
        <v/>
      </c>
      <c r="AB53" s="50" t="str">
        <f t="shared" si="8"/>
        <v/>
      </c>
      <c r="AC53" s="50" t="str">
        <f>IF($A53="","",IF($F53="assignment",IF($AF53&gt;0,INDEX($AH$9:$AH$52,$AF53),0)*$AE53*$D53,IF($F53="buy_shares",$M53*$AL53,0)))</f>
        <v/>
      </c>
      <c r="AD53" s="50" t="str">
        <f>IF($A53="","",IF($F53="called_away",IF($AF53&gt;0,INDEX($AH$9:$AH$52,$AF53),0)*$AL53,IF($F53="sell_shares",$M53*$AL53,0)))</f>
        <v/>
      </c>
      <c r="AE53" s="51" t="str">
        <f>IF($A53="","",IF(OR($F53="sell_put",$F53="sell_call"),IF(AND($H53&gt;0,$I53&gt;0,$J53&gt;=0),$H53,0),IF(OR($F53="buy_to_close",$F53="expire",$F53="roll",$F53="assignment",$F53="called_away"),IF(AND($AF53&gt;0,$H53&gt;0,IF($F53="assignment",IF($AF53&gt;0,INDEX($AG$9:$AG$52,$AF53),"")="put",TRUE),IF($F53="called_away",IF($AF53&gt;0,INDEX($AG$9:$AG$52,$AF53),"")="call",TRUE)),MIN($H53,IF($AF53&gt;0,MAX(0,INDEX($AI$9:$AI$52,$AF53)-SUMIFS($AE$9:$AE$52,$G$9:$G$52,$G53,$B$9:$B$52,$B53)),0)),0),0)))</f>
        <v/>
      </c>
      <c r="AF53" t="str">
        <f>IF($A53="","",IFERROR(MATCH(LEN($B53)&amp;":"&amp;$B53&amp;$G53,$AY$9:$AY$52,0),0))</f>
        <v/>
      </c>
      <c r="AG53" t="str">
        <f>IF($A53="","",IF($F53="sell_put","put",IF($F53="sell_call","call",IF($F53="roll",IF($AF53&gt;0,IF($AF53&gt;0,INDEX($AG$9:$AG$52,$AF53),""),""),IF($AF53&gt;0,IF($AF53&gt;0,INDEX($AG$9:$AG$52,$AF53),""),"")))))</f>
        <v/>
      </c>
      <c r="AH53" t="str">
        <f>IF($A53="","",IF(OR($F53="sell_put",$F53="sell_call",$F53="roll"),$I53,IF($AF53&gt;0,IF($AF53&gt;0,INDEX($AH$9:$AH$52,$AF53),0),0)))</f>
        <v/>
      </c>
      <c r="AI53" s="51" t="str">
        <f t="shared" si="9"/>
        <v/>
      </c>
      <c r="AJ53" s="51" t="str">
        <f>IF($A53="","",IFERROR(LOOKUP(2,1/($B$9:$B$52=$B53),$AM$9:$AM52),0))</f>
        <v/>
      </c>
      <c r="AK53" t="str">
        <f>IF($A53="","",IFERROR(LOOKUP(2,1/($B$9:$B$52=$B53),$AN$9:$AN52),0))</f>
        <v/>
      </c>
      <c r="AL53" s="51" t="str">
        <f t="shared" si="10"/>
        <v/>
      </c>
      <c r="AM53" s="51" t="str">
        <f t="shared" si="11"/>
        <v/>
      </c>
      <c r="AN53" t="str">
        <f t="shared" si="12"/>
        <v/>
      </c>
      <c r="AO53" s="50" t="str">
        <f>IF($A53="","",IFERROR(LOOKUP(2,1/($B$9:$B$52=$B53),$AO$9:$AO52),0)+IF($F53="sell_put",$I53*$AE53*$D53,IF($F53="roll",IF($AG53="put",($I53-IF($AF53&gt;0,INDEX($AH$9:$AH$52,$AF53),0))*$AE53*$D53,0),IF(AND(OR($F53="buy_to_close",$F53="expire",$F53="roll",$F53="assignment",$F53="called_away"),$F53&lt;&gt;"roll",$AG53="put"),-IF($AF53&gt;0,INDEX($AH$9:$AH$52,$AF53),0)*$AE53*$D53,0))))</f>
        <v/>
      </c>
      <c r="AP53" s="51" t="str">
        <f>IF($A53="","",IFERROR(LOOKUP(2,1/($B$9:$B$52=$B53),$AP$9:$AP52),0)+IF($F53="sell_put",$AE53*$D53,IF(AND(OR($F53="buy_to_close",$F53="expire",$F53="roll",$F53="assignment",$F53="called_away"),$F53&lt;&gt;"roll",$AG53="put"),-$AE53*$D53,0)))</f>
        <v/>
      </c>
      <c r="AQ53" s="51" t="str">
        <f>IF($A53="","",IFERROR(LOOKUP(2,1/($B$9:$B$52=$B53),$AQ$9:$AQ52),0)+IF(OR($F53="sell_put",$F53="sell_call"),$AE53,0)-IF(AND(OR($F53="buy_to_close",$F53="expire",$F53="roll",$F53="assignment",$F53="called_away"),$F53&lt;&gt;"roll"),$AE53,0))</f>
        <v/>
      </c>
      <c r="AR53" t="str">
        <f t="shared" si="13"/>
        <v/>
      </c>
      <c r="AS53" s="50" t="str">
        <f t="shared" si="14"/>
        <v/>
      </c>
      <c r="AT53" s="50" t="str">
        <f>IF($A53="","",MAX(IF($T53=IFERROR(LOOKUP(2,1/($B$9:$B$52=$B53),$T$9:$T52),0),IFERROR(LOOKUP(2,1/($B$9:$B$52=$B53),$AT$9:$AT52),0),0),$AS53))</f>
        <v/>
      </c>
      <c r="AU53" t="str">
        <f t="shared" si="15"/>
        <v/>
      </c>
      <c r="AV53" s="51">
        <f>IF($AU53="",0,IF(AND(IFERROR(LOOKUP(2,1/($B$9:$B$52=$B53),$AR$9:$AR52),1),NOT(AND(OR($F53="dividend",$F53="fee"),IFERROR(LOOKUP(2,1/($B$9:$B$52=$B53),$T$9:$T52),0)&gt;0))),ROW(),0))</f>
        <v>0</v>
      </c>
      <c r="AW53">
        <f>IF($A53="",0,IF($AV53&gt;0,MAX($AW$9:$AW$52)+1,MAX($AW$9:$AW$52)))</f>
        <v>0</v>
      </c>
      <c r="AX53">
        <f>IF($AU53="",0,IF(AND($AR53,OR(NOT(IFERROR(LOOKUP(2,1/($B$9:$B$52=$B53),$AR$9:$AR52),1)),IFERROR(LOOKUP(2,1/($B$9:$B$52=$B53),$T$9:$T52),0)=0)),ROW(),0))</f>
        <v>0</v>
      </c>
      <c r="AY53" t="str">
        <f t="shared" si="16"/>
        <v/>
      </c>
    </row>
    <row r="54" spans="1:51" ht="15" x14ac:dyDescent="0.25">
      <c r="A54" s="52" t="str">
        <f>IF(Trades!$A54="","",Trades!O54)</f>
        <v/>
      </c>
      <c r="B54" s="52" t="str">
        <f>IF(Trades!$A54="","",Trades!B54)</f>
        <v/>
      </c>
      <c r="C54" s="52" t="str">
        <f>IF(Trades!$A54="","",Trades!C54)</f>
        <v/>
      </c>
      <c r="D54" s="53" t="str">
        <f>IF(Trades!$A54="","",IF(Trades!$L54&gt;0,Trades!$L54,Trades!$C$6))</f>
        <v/>
      </c>
      <c r="E54" s="54" t="str">
        <f>IF(Trades!$A54="","",Trades!A54)</f>
        <v/>
      </c>
      <c r="F54" s="52" t="str">
        <f>IF(Trades!$A54="","",IFERROR(INDEX(Trades!$V$2:$V$14,MATCH(Trades!$E54,Trades!$U$2:$U$14,0)),""))</f>
        <v/>
      </c>
      <c r="G54" s="52" t="str">
        <f>IF(Trades!$A54="","",Trades!N54)</f>
        <v/>
      </c>
      <c r="H54" s="53" t="str">
        <f>IF(Trades!$A54="","",Trades!F54)</f>
        <v/>
      </c>
      <c r="I54" s="55" t="str">
        <f>IF(Trades!$A54="","",Trades!G54)</f>
        <v/>
      </c>
      <c r="J54" s="55" t="str">
        <f>IF(Trades!$A54="","",Trades!I54)</f>
        <v/>
      </c>
      <c r="K54" s="55" t="str">
        <f>IF(Trades!$A54="","",Trades!Q54)</f>
        <v/>
      </c>
      <c r="L54" s="53" t="str">
        <f>IF(Trades!$A54="","",Trades!F54)</f>
        <v/>
      </c>
      <c r="M54" s="55" t="str">
        <f>IF(Trades!$A54="","",Trades!M54)</f>
        <v/>
      </c>
      <c r="N54" s="55" t="str">
        <f>IF(Trades!$A54="","",Trades!R54)</f>
        <v/>
      </c>
      <c r="O54" s="55" t="str">
        <f>IF(Trades!$A54="","",Trades!J54)</f>
        <v/>
      </c>
      <c r="P54" s="54" t="str">
        <f>IF(Trades!$A54="","",Trades!H54)</f>
        <v/>
      </c>
      <c r="Q54" s="52" t="str">
        <f>IF(Trades!$A54="","",Trades!P54)</f>
        <v/>
      </c>
      <c r="R54" s="56" t="str">
        <f t="shared" si="0"/>
        <v/>
      </c>
      <c r="S54" s="56" t="str">
        <f t="shared" si="1"/>
        <v/>
      </c>
      <c r="T54" s="57" t="str">
        <f>IF(OR($A54="",$B54=""),"",IF(AND(IFERROR(LOOKUP(2,1/($B$9:$B$53=$B54),$AR$9:$AR53),1),NOT(AND(OR($F54="dividend",$F54="fee"),IFERROR(LOOKUP(2,1/($B$9:$B$53=$B54),$T$9:$T53),0)&gt;0))),IFERROR(LOOKUP(2,1/($B$9:$B$53=$B54),$T$9:$T53),0)+1,IFERROR(LOOKUP(2,1/($B$9:$B$53=$B54),$T$9:$T53),0)))</f>
        <v/>
      </c>
      <c r="U54" s="58" t="str">
        <f t="shared" si="2"/>
        <v/>
      </c>
      <c r="V54" s="58" t="str">
        <f>IF($A54="","",IF(OR($B54="",$C54="",$D54="",$E54="",$F54=""),"Missing required field",IF(COUNTIFS($A$9:$A54,$A54,$B$9:$B54,$B54)&gt;1,"Duplicate event ID",IF(AND($E54&lt;&gt;IFERROR(LOOKUP(2,1/($B$9:$B$53=$B54),$E$9:$E53),0),IFERROR(LOOKUP(2,1/($B$9:$B$53=$B54),$E$9:$E53),0)&gt;$E54),"Date out of order",IF(AND(OR($F54="buy_to_close",$F54="expire",$F54="roll",$F54="assignment",$F54="called_away"),$AF54=0),"Unknown lot",IF(OR(AND($F54="assignment",$AF54&gt;0,IF($AF54&gt;0,INDEX($AG$9:$AG$53,$AF54),"")&lt;&gt;"put"),AND($F54="called_away",$AF54&gt;0,IF($AF54&gt;0,INDEX($AG$9:$AG$53,$AF54),"")&lt;&gt;"call")),"Wrong option leg",IF(OR(AND(OR($F54="sell_put",$F54="sell_call"),OR($H54&lt;=0,$I54&lt;=0,$J54&lt;0)),AND(OR($F54="buy_to_close",$F54="expire",$F54="assignment",$F54="called_away"),OR($H54&lt;=0,$J54&lt;0)),AND($F54="roll",OR($H54&lt;=0,$I54&lt;=0,$J54&lt;0,$K54&lt;0)),AND(OR($F54="buy_shares",$F54="sell_shares"),OR($L54&lt;=0,$M54&lt;0)),AND(OR($F54="dividend",$F54="fee"),$N54&lt;0)),"Invalid value",IF(AND(OR($F54="sell_shares",$F54="called_away"),$AL54&lt;IF($F54="called_away",$AE54*$D54,$L54)),"Insufficient shares (capped)",IF(AND(OR($F54="buy_to_close",$F54="expire",$F54="roll",$F54="assignment",$F54="called_away"),$AF54&gt;0,$H54&gt;IF($AF54&gt;0,MAX(0,INDEX($AI$9:$AI$53,$AF54)-SUMIFS($AE$9:$AE$53,$G$9:$G$53,$G54,$B$9:$B$53,$B54)),0)),"Close quantity capped","OK")))))))))</f>
        <v/>
      </c>
      <c r="W54" s="59" t="str">
        <f t="shared" si="3"/>
        <v/>
      </c>
      <c r="X54" s="60" t="str">
        <f t="shared" si="4"/>
        <v/>
      </c>
      <c r="Y54" s="50" t="str">
        <f t="shared" si="5"/>
        <v/>
      </c>
      <c r="Z54" s="50" t="str">
        <f t="shared" si="6"/>
        <v/>
      </c>
      <c r="AA54" s="50" t="str">
        <f t="shared" si="7"/>
        <v/>
      </c>
      <c r="AB54" s="50" t="str">
        <f t="shared" si="8"/>
        <v/>
      </c>
      <c r="AC54" s="50" t="str">
        <f>IF($A54="","",IF($F54="assignment",IF($AF54&gt;0,INDEX($AH$9:$AH$53,$AF54),0)*$AE54*$D54,IF($F54="buy_shares",$M54*$AL54,0)))</f>
        <v/>
      </c>
      <c r="AD54" s="50" t="str">
        <f>IF($A54="","",IF($F54="called_away",IF($AF54&gt;0,INDEX($AH$9:$AH$53,$AF54),0)*$AL54,IF($F54="sell_shares",$M54*$AL54,0)))</f>
        <v/>
      </c>
      <c r="AE54" s="51" t="str">
        <f>IF($A54="","",IF(OR($F54="sell_put",$F54="sell_call"),IF(AND($H54&gt;0,$I54&gt;0,$J54&gt;=0),$H54,0),IF(OR($F54="buy_to_close",$F54="expire",$F54="roll",$F54="assignment",$F54="called_away"),IF(AND($AF54&gt;0,$H54&gt;0,IF($F54="assignment",IF($AF54&gt;0,INDEX($AG$9:$AG$53,$AF54),"")="put",TRUE),IF($F54="called_away",IF($AF54&gt;0,INDEX($AG$9:$AG$53,$AF54),"")="call",TRUE)),MIN($H54,IF($AF54&gt;0,MAX(0,INDEX($AI$9:$AI$53,$AF54)-SUMIFS($AE$9:$AE$53,$G$9:$G$53,$G54,$B$9:$B$53,$B54)),0)),0),0)))</f>
        <v/>
      </c>
      <c r="AF54" t="str">
        <f>IF($A54="","",IFERROR(MATCH(LEN($B54)&amp;":"&amp;$B54&amp;$G54,$AY$9:$AY$53,0),0))</f>
        <v/>
      </c>
      <c r="AG54" t="str">
        <f>IF($A54="","",IF($F54="sell_put","put",IF($F54="sell_call","call",IF($F54="roll",IF($AF54&gt;0,IF($AF54&gt;0,INDEX($AG$9:$AG$53,$AF54),""),""),IF($AF54&gt;0,IF($AF54&gt;0,INDEX($AG$9:$AG$53,$AF54),""),"")))))</f>
        <v/>
      </c>
      <c r="AH54" t="str">
        <f>IF($A54="","",IF(OR($F54="sell_put",$F54="sell_call",$F54="roll"),$I54,IF($AF54&gt;0,IF($AF54&gt;0,INDEX($AH$9:$AH$53,$AF54),0),0)))</f>
        <v/>
      </c>
      <c r="AI54" s="51" t="str">
        <f t="shared" si="9"/>
        <v/>
      </c>
      <c r="AJ54" s="51" t="str">
        <f>IF($A54="","",IFERROR(LOOKUP(2,1/($B$9:$B$53=$B54),$AM$9:$AM53),0))</f>
        <v/>
      </c>
      <c r="AK54" t="str">
        <f>IF($A54="","",IFERROR(LOOKUP(2,1/($B$9:$B$53=$B54),$AN$9:$AN53),0))</f>
        <v/>
      </c>
      <c r="AL54" s="51" t="str">
        <f t="shared" si="10"/>
        <v/>
      </c>
      <c r="AM54" s="51" t="str">
        <f t="shared" si="11"/>
        <v/>
      </c>
      <c r="AN54" t="str">
        <f t="shared" si="12"/>
        <v/>
      </c>
      <c r="AO54" s="50" t="str">
        <f>IF($A54="","",IFERROR(LOOKUP(2,1/($B$9:$B$53=$B54),$AO$9:$AO53),0)+IF($F54="sell_put",$I54*$AE54*$D54,IF($F54="roll",IF($AG54="put",($I54-IF($AF54&gt;0,INDEX($AH$9:$AH$53,$AF54),0))*$AE54*$D54,0),IF(AND(OR($F54="buy_to_close",$F54="expire",$F54="roll",$F54="assignment",$F54="called_away"),$F54&lt;&gt;"roll",$AG54="put"),-IF($AF54&gt;0,INDEX($AH$9:$AH$53,$AF54),0)*$AE54*$D54,0))))</f>
        <v/>
      </c>
      <c r="AP54" s="51" t="str">
        <f>IF($A54="","",IFERROR(LOOKUP(2,1/($B$9:$B$53=$B54),$AP$9:$AP53),0)+IF($F54="sell_put",$AE54*$D54,IF(AND(OR($F54="buy_to_close",$F54="expire",$F54="roll",$F54="assignment",$F54="called_away"),$F54&lt;&gt;"roll",$AG54="put"),-$AE54*$D54,0)))</f>
        <v/>
      </c>
      <c r="AQ54" s="51" t="str">
        <f>IF($A54="","",IFERROR(LOOKUP(2,1/($B$9:$B$53=$B54),$AQ$9:$AQ53),0)+IF(OR($F54="sell_put",$F54="sell_call"),$AE54,0)-IF(AND(OR($F54="buy_to_close",$F54="expire",$F54="roll",$F54="assignment",$F54="called_away"),$F54&lt;&gt;"roll"),$AE54,0))</f>
        <v/>
      </c>
      <c r="AR54" t="str">
        <f t="shared" si="13"/>
        <v/>
      </c>
      <c r="AS54" s="50" t="str">
        <f t="shared" si="14"/>
        <v/>
      </c>
      <c r="AT54" s="50" t="str">
        <f>IF($A54="","",MAX(IF($T54=IFERROR(LOOKUP(2,1/($B$9:$B$53=$B54),$T$9:$T53),0),IFERROR(LOOKUP(2,1/($B$9:$B$53=$B54),$AT$9:$AT53),0),0),$AS54))</f>
        <v/>
      </c>
      <c r="AU54" t="str">
        <f t="shared" si="15"/>
        <v/>
      </c>
      <c r="AV54" s="51">
        <f>IF($AU54="",0,IF(AND(IFERROR(LOOKUP(2,1/($B$9:$B$53=$B54),$AR$9:$AR53),1),NOT(AND(OR($F54="dividend",$F54="fee"),IFERROR(LOOKUP(2,1/($B$9:$B$53=$B54),$T$9:$T53),0)&gt;0))),ROW(),0))</f>
        <v>0</v>
      </c>
      <c r="AW54">
        <f>IF($A54="",0,IF($AV54&gt;0,MAX($AW$9:$AW$53)+1,MAX($AW$9:$AW$53)))</f>
        <v>0</v>
      </c>
      <c r="AX54">
        <f>IF($AU54="",0,IF(AND($AR54,OR(NOT(IFERROR(LOOKUP(2,1/($B$9:$B$53=$B54),$AR$9:$AR53),1)),IFERROR(LOOKUP(2,1/($B$9:$B$53=$B54),$T$9:$T53),0)=0)),ROW(),0))</f>
        <v>0</v>
      </c>
      <c r="AY54" t="str">
        <f t="shared" si="16"/>
        <v/>
      </c>
    </row>
    <row r="55" spans="1:51" ht="15" x14ac:dyDescent="0.25">
      <c r="A55" s="41" t="str">
        <f>IF(Trades!$A55="","",Trades!O55)</f>
        <v/>
      </c>
      <c r="B55" s="41" t="str">
        <f>IF(Trades!$A55="","",Trades!B55)</f>
        <v/>
      </c>
      <c r="C55" s="41" t="str">
        <f>IF(Trades!$A55="","",Trades!C55)</f>
        <v/>
      </c>
      <c r="D55" s="42" t="str">
        <f>IF(Trades!$A55="","",IF(Trades!$L55&gt;0,Trades!$L55,Trades!$C$6))</f>
        <v/>
      </c>
      <c r="E55" s="43" t="str">
        <f>IF(Trades!$A55="","",Trades!A55)</f>
        <v/>
      </c>
      <c r="F55" s="41" t="str">
        <f>IF(Trades!$A55="","",IFERROR(INDEX(Trades!$V$2:$V$14,MATCH(Trades!$E55,Trades!$U$2:$U$14,0)),""))</f>
        <v/>
      </c>
      <c r="G55" s="41" t="str">
        <f>IF(Trades!$A55="","",Trades!N55)</f>
        <v/>
      </c>
      <c r="H55" s="42" t="str">
        <f>IF(Trades!$A55="","",Trades!F55)</f>
        <v/>
      </c>
      <c r="I55" s="44" t="str">
        <f>IF(Trades!$A55="","",Trades!G55)</f>
        <v/>
      </c>
      <c r="J55" s="44" t="str">
        <f>IF(Trades!$A55="","",Trades!I55)</f>
        <v/>
      </c>
      <c r="K55" s="44" t="str">
        <f>IF(Trades!$A55="","",Trades!Q55)</f>
        <v/>
      </c>
      <c r="L55" s="42" t="str">
        <f>IF(Trades!$A55="","",Trades!F55)</f>
        <v/>
      </c>
      <c r="M55" s="44" t="str">
        <f>IF(Trades!$A55="","",Trades!M55)</f>
        <v/>
      </c>
      <c r="N55" s="44" t="str">
        <f>IF(Trades!$A55="","",Trades!R55)</f>
        <v/>
      </c>
      <c r="O55" s="44" t="str">
        <f>IF(Trades!$A55="","",Trades!J55)</f>
        <v/>
      </c>
      <c r="P55" s="43" t="str">
        <f>IF(Trades!$A55="","",Trades!H55)</f>
        <v/>
      </c>
      <c r="Q55" s="41" t="str">
        <f>IF(Trades!$A55="","",Trades!P55)</f>
        <v/>
      </c>
      <c r="R55" s="45" t="str">
        <f t="shared" si="0"/>
        <v/>
      </c>
      <c r="S55" s="45" t="str">
        <f t="shared" si="1"/>
        <v/>
      </c>
      <c r="T55" s="46" t="str">
        <f>IF(OR($A55="",$B55=""),"",IF(AND(IFERROR(LOOKUP(2,1/($B$9:$B$54=$B55),$AR$9:$AR54),1),NOT(AND(OR($F55="dividend",$F55="fee"),IFERROR(LOOKUP(2,1/($B$9:$B$54=$B55),$T$9:$T54),0)&gt;0))),IFERROR(LOOKUP(2,1/($B$9:$B$54=$B55),$T$9:$T54),0)+1,IFERROR(LOOKUP(2,1/($B$9:$B$54=$B55),$T$9:$T54),0)))</f>
        <v/>
      </c>
      <c r="U55" s="47" t="str">
        <f t="shared" si="2"/>
        <v/>
      </c>
      <c r="V55" s="47" t="str">
        <f>IF($A55="","",IF(OR($B55="",$C55="",$D55="",$E55="",$F55=""),"Missing required field",IF(COUNTIFS($A$9:$A55,$A55,$B$9:$B55,$B55)&gt;1,"Duplicate event ID",IF(AND($E55&lt;&gt;IFERROR(LOOKUP(2,1/($B$9:$B$54=$B55),$E$9:$E54),0),IFERROR(LOOKUP(2,1/($B$9:$B$54=$B55),$E$9:$E54),0)&gt;$E55),"Date out of order",IF(AND(OR($F55="buy_to_close",$F55="expire",$F55="roll",$F55="assignment",$F55="called_away"),$AF55=0),"Unknown lot",IF(OR(AND($F55="assignment",$AF55&gt;0,IF($AF55&gt;0,INDEX($AG$9:$AG$54,$AF55),"")&lt;&gt;"put"),AND($F55="called_away",$AF55&gt;0,IF($AF55&gt;0,INDEX($AG$9:$AG$54,$AF55),"")&lt;&gt;"call")),"Wrong option leg",IF(OR(AND(OR($F55="sell_put",$F55="sell_call"),OR($H55&lt;=0,$I55&lt;=0,$J55&lt;0)),AND(OR($F55="buy_to_close",$F55="expire",$F55="assignment",$F55="called_away"),OR($H55&lt;=0,$J55&lt;0)),AND($F55="roll",OR($H55&lt;=0,$I55&lt;=0,$J55&lt;0,$K55&lt;0)),AND(OR($F55="buy_shares",$F55="sell_shares"),OR($L55&lt;=0,$M55&lt;0)),AND(OR($F55="dividend",$F55="fee"),$N55&lt;0)),"Invalid value",IF(AND(OR($F55="sell_shares",$F55="called_away"),$AL55&lt;IF($F55="called_away",$AE55*$D55,$L55)),"Insufficient shares (capped)",IF(AND(OR($F55="buy_to_close",$F55="expire",$F55="roll",$F55="assignment",$F55="called_away"),$AF55&gt;0,$H55&gt;IF($AF55&gt;0,MAX(0,INDEX($AI$9:$AI$54,$AF55)-SUMIFS($AE$9:$AE$54,$G$9:$G$54,$G55,$B$9:$B$54,$B55)),0)),"Close quantity capped","OK")))))))))</f>
        <v/>
      </c>
      <c r="W55" s="48" t="str">
        <f t="shared" si="3"/>
        <v/>
      </c>
      <c r="X55" s="49" t="str">
        <f t="shared" si="4"/>
        <v/>
      </c>
      <c r="Y55" s="50" t="str">
        <f t="shared" si="5"/>
        <v/>
      </c>
      <c r="Z55" s="50" t="str">
        <f t="shared" si="6"/>
        <v/>
      </c>
      <c r="AA55" s="50" t="str">
        <f t="shared" si="7"/>
        <v/>
      </c>
      <c r="AB55" s="50" t="str">
        <f t="shared" si="8"/>
        <v/>
      </c>
      <c r="AC55" s="50" t="str">
        <f>IF($A55="","",IF($F55="assignment",IF($AF55&gt;0,INDEX($AH$9:$AH$54,$AF55),0)*$AE55*$D55,IF($F55="buy_shares",$M55*$AL55,0)))</f>
        <v/>
      </c>
      <c r="AD55" s="50" t="str">
        <f>IF($A55="","",IF($F55="called_away",IF($AF55&gt;0,INDEX($AH$9:$AH$54,$AF55),0)*$AL55,IF($F55="sell_shares",$M55*$AL55,0)))</f>
        <v/>
      </c>
      <c r="AE55" s="51" t="str">
        <f>IF($A55="","",IF(OR($F55="sell_put",$F55="sell_call"),IF(AND($H55&gt;0,$I55&gt;0,$J55&gt;=0),$H55,0),IF(OR($F55="buy_to_close",$F55="expire",$F55="roll",$F55="assignment",$F55="called_away"),IF(AND($AF55&gt;0,$H55&gt;0,IF($F55="assignment",IF($AF55&gt;0,INDEX($AG$9:$AG$54,$AF55),"")="put",TRUE),IF($F55="called_away",IF($AF55&gt;0,INDEX($AG$9:$AG$54,$AF55),"")="call",TRUE)),MIN($H55,IF($AF55&gt;0,MAX(0,INDEX($AI$9:$AI$54,$AF55)-SUMIFS($AE$9:$AE$54,$G$9:$G$54,$G55,$B$9:$B$54,$B55)),0)),0),0)))</f>
        <v/>
      </c>
      <c r="AF55" t="str">
        <f>IF($A55="","",IFERROR(MATCH(LEN($B55)&amp;":"&amp;$B55&amp;$G55,$AY$9:$AY$54,0),0))</f>
        <v/>
      </c>
      <c r="AG55" t="str">
        <f>IF($A55="","",IF($F55="sell_put","put",IF($F55="sell_call","call",IF($F55="roll",IF($AF55&gt;0,IF($AF55&gt;0,INDEX($AG$9:$AG$54,$AF55),""),""),IF($AF55&gt;0,IF($AF55&gt;0,INDEX($AG$9:$AG$54,$AF55),""),"")))))</f>
        <v/>
      </c>
      <c r="AH55" t="str">
        <f>IF($A55="","",IF(OR($F55="sell_put",$F55="sell_call",$F55="roll"),$I55,IF($AF55&gt;0,IF($AF55&gt;0,INDEX($AH$9:$AH$54,$AF55),0),0)))</f>
        <v/>
      </c>
      <c r="AI55" s="51" t="str">
        <f t="shared" si="9"/>
        <v/>
      </c>
      <c r="AJ55" s="51" t="str">
        <f>IF($A55="","",IFERROR(LOOKUP(2,1/($B$9:$B$54=$B55),$AM$9:$AM54),0))</f>
        <v/>
      </c>
      <c r="AK55" t="str">
        <f>IF($A55="","",IFERROR(LOOKUP(2,1/($B$9:$B$54=$B55),$AN$9:$AN54),0))</f>
        <v/>
      </c>
      <c r="AL55" s="51" t="str">
        <f t="shared" si="10"/>
        <v/>
      </c>
      <c r="AM55" s="51" t="str">
        <f t="shared" si="11"/>
        <v/>
      </c>
      <c r="AN55" t="str">
        <f t="shared" si="12"/>
        <v/>
      </c>
      <c r="AO55" s="50" t="str">
        <f>IF($A55="","",IFERROR(LOOKUP(2,1/($B$9:$B$54=$B55),$AO$9:$AO54),0)+IF($F55="sell_put",$I55*$AE55*$D55,IF($F55="roll",IF($AG55="put",($I55-IF($AF55&gt;0,INDEX($AH$9:$AH$54,$AF55),0))*$AE55*$D55,0),IF(AND(OR($F55="buy_to_close",$F55="expire",$F55="roll",$F55="assignment",$F55="called_away"),$F55&lt;&gt;"roll",$AG55="put"),-IF($AF55&gt;0,INDEX($AH$9:$AH$54,$AF55),0)*$AE55*$D55,0))))</f>
        <v/>
      </c>
      <c r="AP55" s="51" t="str">
        <f>IF($A55="","",IFERROR(LOOKUP(2,1/($B$9:$B$54=$B55),$AP$9:$AP54),0)+IF($F55="sell_put",$AE55*$D55,IF(AND(OR($F55="buy_to_close",$F55="expire",$F55="roll",$F55="assignment",$F55="called_away"),$F55&lt;&gt;"roll",$AG55="put"),-$AE55*$D55,0)))</f>
        <v/>
      </c>
      <c r="AQ55" s="51" t="str">
        <f>IF($A55="","",IFERROR(LOOKUP(2,1/($B$9:$B$54=$B55),$AQ$9:$AQ54),0)+IF(OR($F55="sell_put",$F55="sell_call"),$AE55,0)-IF(AND(OR($F55="buy_to_close",$F55="expire",$F55="roll",$F55="assignment",$F55="called_away"),$F55&lt;&gt;"roll"),$AE55,0))</f>
        <v/>
      </c>
      <c r="AR55" t="str">
        <f t="shared" si="13"/>
        <v/>
      </c>
      <c r="AS55" s="50" t="str">
        <f t="shared" si="14"/>
        <v/>
      </c>
      <c r="AT55" s="50" t="str">
        <f>IF($A55="","",MAX(IF($T55=IFERROR(LOOKUP(2,1/($B$9:$B$54=$B55),$T$9:$T54),0),IFERROR(LOOKUP(2,1/($B$9:$B$54=$B55),$AT$9:$AT54),0),0),$AS55))</f>
        <v/>
      </c>
      <c r="AU55" t="str">
        <f t="shared" si="15"/>
        <v/>
      </c>
      <c r="AV55" s="51">
        <f>IF($AU55="",0,IF(AND(IFERROR(LOOKUP(2,1/($B$9:$B$54=$B55),$AR$9:$AR54),1),NOT(AND(OR($F55="dividend",$F55="fee"),IFERROR(LOOKUP(2,1/($B$9:$B$54=$B55),$T$9:$T54),0)&gt;0))),ROW(),0))</f>
        <v>0</v>
      </c>
      <c r="AW55">
        <f>IF($A55="",0,IF($AV55&gt;0,MAX($AW$9:$AW$54)+1,MAX($AW$9:$AW$54)))</f>
        <v>0</v>
      </c>
      <c r="AX55">
        <f>IF($AU55="",0,IF(AND($AR55,OR(NOT(IFERROR(LOOKUP(2,1/($B$9:$B$54=$B55),$AR$9:$AR54),1)),IFERROR(LOOKUP(2,1/($B$9:$B$54=$B55),$T$9:$T54),0)=0)),ROW(),0))</f>
        <v>0</v>
      </c>
      <c r="AY55" t="str">
        <f t="shared" si="16"/>
        <v/>
      </c>
    </row>
    <row r="56" spans="1:51" ht="15" x14ac:dyDescent="0.25">
      <c r="A56" s="52" t="str">
        <f>IF(Trades!$A56="","",Trades!O56)</f>
        <v/>
      </c>
      <c r="B56" s="52" t="str">
        <f>IF(Trades!$A56="","",Trades!B56)</f>
        <v/>
      </c>
      <c r="C56" s="52" t="str">
        <f>IF(Trades!$A56="","",Trades!C56)</f>
        <v/>
      </c>
      <c r="D56" s="53" t="str">
        <f>IF(Trades!$A56="","",IF(Trades!$L56&gt;0,Trades!$L56,Trades!$C$6))</f>
        <v/>
      </c>
      <c r="E56" s="54" t="str">
        <f>IF(Trades!$A56="","",Trades!A56)</f>
        <v/>
      </c>
      <c r="F56" s="52" t="str">
        <f>IF(Trades!$A56="","",IFERROR(INDEX(Trades!$V$2:$V$14,MATCH(Trades!$E56,Trades!$U$2:$U$14,0)),""))</f>
        <v/>
      </c>
      <c r="G56" s="52" t="str">
        <f>IF(Trades!$A56="","",Trades!N56)</f>
        <v/>
      </c>
      <c r="H56" s="53" t="str">
        <f>IF(Trades!$A56="","",Trades!F56)</f>
        <v/>
      </c>
      <c r="I56" s="55" t="str">
        <f>IF(Trades!$A56="","",Trades!G56)</f>
        <v/>
      </c>
      <c r="J56" s="55" t="str">
        <f>IF(Trades!$A56="","",Trades!I56)</f>
        <v/>
      </c>
      <c r="K56" s="55" t="str">
        <f>IF(Trades!$A56="","",Trades!Q56)</f>
        <v/>
      </c>
      <c r="L56" s="53" t="str">
        <f>IF(Trades!$A56="","",Trades!F56)</f>
        <v/>
      </c>
      <c r="M56" s="55" t="str">
        <f>IF(Trades!$A56="","",Trades!M56)</f>
        <v/>
      </c>
      <c r="N56" s="55" t="str">
        <f>IF(Trades!$A56="","",Trades!R56)</f>
        <v/>
      </c>
      <c r="O56" s="55" t="str">
        <f>IF(Trades!$A56="","",Trades!J56)</f>
        <v/>
      </c>
      <c r="P56" s="54" t="str">
        <f>IF(Trades!$A56="","",Trades!H56)</f>
        <v/>
      </c>
      <c r="Q56" s="52" t="str">
        <f>IF(Trades!$A56="","",Trades!P56)</f>
        <v/>
      </c>
      <c r="R56" s="56" t="str">
        <f t="shared" si="0"/>
        <v/>
      </c>
      <c r="S56" s="56" t="str">
        <f t="shared" si="1"/>
        <v/>
      </c>
      <c r="T56" s="57" t="str">
        <f>IF(OR($A56="",$B56=""),"",IF(AND(IFERROR(LOOKUP(2,1/($B$9:$B$55=$B56),$AR$9:$AR55),1),NOT(AND(OR($F56="dividend",$F56="fee"),IFERROR(LOOKUP(2,1/($B$9:$B$55=$B56),$T$9:$T55),0)&gt;0))),IFERROR(LOOKUP(2,1/($B$9:$B$55=$B56),$T$9:$T55),0)+1,IFERROR(LOOKUP(2,1/($B$9:$B$55=$B56),$T$9:$T55),0)))</f>
        <v/>
      </c>
      <c r="U56" s="58" t="str">
        <f t="shared" si="2"/>
        <v/>
      </c>
      <c r="V56" s="58" t="str">
        <f>IF($A56="","",IF(OR($B56="",$C56="",$D56="",$E56="",$F56=""),"Missing required field",IF(COUNTIFS($A$9:$A56,$A56,$B$9:$B56,$B56)&gt;1,"Duplicate event ID",IF(AND($E56&lt;&gt;IFERROR(LOOKUP(2,1/($B$9:$B$55=$B56),$E$9:$E55),0),IFERROR(LOOKUP(2,1/($B$9:$B$55=$B56),$E$9:$E55),0)&gt;$E56),"Date out of order",IF(AND(OR($F56="buy_to_close",$F56="expire",$F56="roll",$F56="assignment",$F56="called_away"),$AF56=0),"Unknown lot",IF(OR(AND($F56="assignment",$AF56&gt;0,IF($AF56&gt;0,INDEX($AG$9:$AG$55,$AF56),"")&lt;&gt;"put"),AND($F56="called_away",$AF56&gt;0,IF($AF56&gt;0,INDEX($AG$9:$AG$55,$AF56),"")&lt;&gt;"call")),"Wrong option leg",IF(OR(AND(OR($F56="sell_put",$F56="sell_call"),OR($H56&lt;=0,$I56&lt;=0,$J56&lt;0)),AND(OR($F56="buy_to_close",$F56="expire",$F56="assignment",$F56="called_away"),OR($H56&lt;=0,$J56&lt;0)),AND($F56="roll",OR($H56&lt;=0,$I56&lt;=0,$J56&lt;0,$K56&lt;0)),AND(OR($F56="buy_shares",$F56="sell_shares"),OR($L56&lt;=0,$M56&lt;0)),AND(OR($F56="dividend",$F56="fee"),$N56&lt;0)),"Invalid value",IF(AND(OR($F56="sell_shares",$F56="called_away"),$AL56&lt;IF($F56="called_away",$AE56*$D56,$L56)),"Insufficient shares (capped)",IF(AND(OR($F56="buy_to_close",$F56="expire",$F56="roll",$F56="assignment",$F56="called_away"),$AF56&gt;0,$H56&gt;IF($AF56&gt;0,MAX(0,INDEX($AI$9:$AI$55,$AF56)-SUMIFS($AE$9:$AE$55,$G$9:$G$55,$G56,$B$9:$B$55,$B56)),0)),"Close quantity capped","OK")))))))))</f>
        <v/>
      </c>
      <c r="W56" s="59" t="str">
        <f t="shared" si="3"/>
        <v/>
      </c>
      <c r="X56" s="60" t="str">
        <f t="shared" si="4"/>
        <v/>
      </c>
      <c r="Y56" s="50" t="str">
        <f t="shared" si="5"/>
        <v/>
      </c>
      <c r="Z56" s="50" t="str">
        <f t="shared" si="6"/>
        <v/>
      </c>
      <c r="AA56" s="50" t="str">
        <f t="shared" si="7"/>
        <v/>
      </c>
      <c r="AB56" s="50" t="str">
        <f t="shared" si="8"/>
        <v/>
      </c>
      <c r="AC56" s="50" t="str">
        <f>IF($A56="","",IF($F56="assignment",IF($AF56&gt;0,INDEX($AH$9:$AH$55,$AF56),0)*$AE56*$D56,IF($F56="buy_shares",$M56*$AL56,0)))</f>
        <v/>
      </c>
      <c r="AD56" s="50" t="str">
        <f>IF($A56="","",IF($F56="called_away",IF($AF56&gt;0,INDEX($AH$9:$AH$55,$AF56),0)*$AL56,IF($F56="sell_shares",$M56*$AL56,0)))</f>
        <v/>
      </c>
      <c r="AE56" s="51" t="str">
        <f>IF($A56="","",IF(OR($F56="sell_put",$F56="sell_call"),IF(AND($H56&gt;0,$I56&gt;0,$J56&gt;=0),$H56,0),IF(OR($F56="buy_to_close",$F56="expire",$F56="roll",$F56="assignment",$F56="called_away"),IF(AND($AF56&gt;0,$H56&gt;0,IF($F56="assignment",IF($AF56&gt;0,INDEX($AG$9:$AG$55,$AF56),"")="put",TRUE),IF($F56="called_away",IF($AF56&gt;0,INDEX($AG$9:$AG$55,$AF56),"")="call",TRUE)),MIN($H56,IF($AF56&gt;0,MAX(0,INDEX($AI$9:$AI$55,$AF56)-SUMIFS($AE$9:$AE$55,$G$9:$G$55,$G56,$B$9:$B$55,$B56)),0)),0),0)))</f>
        <v/>
      </c>
      <c r="AF56" t="str">
        <f>IF($A56="","",IFERROR(MATCH(LEN($B56)&amp;":"&amp;$B56&amp;$G56,$AY$9:$AY$55,0),0))</f>
        <v/>
      </c>
      <c r="AG56" t="str">
        <f>IF($A56="","",IF($F56="sell_put","put",IF($F56="sell_call","call",IF($F56="roll",IF($AF56&gt;0,IF($AF56&gt;0,INDEX($AG$9:$AG$55,$AF56),""),""),IF($AF56&gt;0,IF($AF56&gt;0,INDEX($AG$9:$AG$55,$AF56),""),"")))))</f>
        <v/>
      </c>
      <c r="AH56" t="str">
        <f>IF($A56="","",IF(OR($F56="sell_put",$F56="sell_call",$F56="roll"),$I56,IF($AF56&gt;0,IF($AF56&gt;0,INDEX($AH$9:$AH$55,$AF56),0),0)))</f>
        <v/>
      </c>
      <c r="AI56" s="51" t="str">
        <f t="shared" si="9"/>
        <v/>
      </c>
      <c r="AJ56" s="51" t="str">
        <f>IF($A56="","",IFERROR(LOOKUP(2,1/($B$9:$B$55=$B56),$AM$9:$AM55),0))</f>
        <v/>
      </c>
      <c r="AK56" t="str">
        <f>IF($A56="","",IFERROR(LOOKUP(2,1/($B$9:$B$55=$B56),$AN$9:$AN55),0))</f>
        <v/>
      </c>
      <c r="AL56" s="51" t="str">
        <f t="shared" si="10"/>
        <v/>
      </c>
      <c r="AM56" s="51" t="str">
        <f t="shared" si="11"/>
        <v/>
      </c>
      <c r="AN56" t="str">
        <f t="shared" si="12"/>
        <v/>
      </c>
      <c r="AO56" s="50" t="str">
        <f>IF($A56="","",IFERROR(LOOKUP(2,1/($B$9:$B$55=$B56),$AO$9:$AO55),0)+IF($F56="sell_put",$I56*$AE56*$D56,IF($F56="roll",IF($AG56="put",($I56-IF($AF56&gt;0,INDEX($AH$9:$AH$55,$AF56),0))*$AE56*$D56,0),IF(AND(OR($F56="buy_to_close",$F56="expire",$F56="roll",$F56="assignment",$F56="called_away"),$F56&lt;&gt;"roll",$AG56="put"),-IF($AF56&gt;0,INDEX($AH$9:$AH$55,$AF56),0)*$AE56*$D56,0))))</f>
        <v/>
      </c>
      <c r="AP56" s="51" t="str">
        <f>IF($A56="","",IFERROR(LOOKUP(2,1/($B$9:$B$55=$B56),$AP$9:$AP55),0)+IF($F56="sell_put",$AE56*$D56,IF(AND(OR($F56="buy_to_close",$F56="expire",$F56="roll",$F56="assignment",$F56="called_away"),$F56&lt;&gt;"roll",$AG56="put"),-$AE56*$D56,0)))</f>
        <v/>
      </c>
      <c r="AQ56" s="51" t="str">
        <f>IF($A56="","",IFERROR(LOOKUP(2,1/($B$9:$B$55=$B56),$AQ$9:$AQ55),0)+IF(OR($F56="sell_put",$F56="sell_call"),$AE56,0)-IF(AND(OR($F56="buy_to_close",$F56="expire",$F56="roll",$F56="assignment",$F56="called_away"),$F56&lt;&gt;"roll"),$AE56,0))</f>
        <v/>
      </c>
      <c r="AR56" t="str">
        <f t="shared" si="13"/>
        <v/>
      </c>
      <c r="AS56" s="50" t="str">
        <f t="shared" si="14"/>
        <v/>
      </c>
      <c r="AT56" s="50" t="str">
        <f>IF($A56="","",MAX(IF($T56=IFERROR(LOOKUP(2,1/($B$9:$B$55=$B56),$T$9:$T55),0),IFERROR(LOOKUP(2,1/($B$9:$B$55=$B56),$AT$9:$AT55),0),0),$AS56))</f>
        <v/>
      </c>
      <c r="AU56" t="str">
        <f t="shared" si="15"/>
        <v/>
      </c>
      <c r="AV56" s="51">
        <f>IF($AU56="",0,IF(AND(IFERROR(LOOKUP(2,1/($B$9:$B$55=$B56),$AR$9:$AR55),1),NOT(AND(OR($F56="dividend",$F56="fee"),IFERROR(LOOKUP(2,1/($B$9:$B$55=$B56),$T$9:$T55),0)&gt;0))),ROW(),0))</f>
        <v>0</v>
      </c>
      <c r="AW56">
        <f>IF($A56="",0,IF($AV56&gt;0,MAX($AW$9:$AW$55)+1,MAX($AW$9:$AW$55)))</f>
        <v>0</v>
      </c>
      <c r="AX56">
        <f>IF($AU56="",0,IF(AND($AR56,OR(NOT(IFERROR(LOOKUP(2,1/($B$9:$B$55=$B56),$AR$9:$AR55),1)),IFERROR(LOOKUP(2,1/($B$9:$B$55=$B56),$T$9:$T55),0)=0)),ROW(),0))</f>
        <v>0</v>
      </c>
      <c r="AY56" t="str">
        <f t="shared" si="16"/>
        <v/>
      </c>
    </row>
    <row r="57" spans="1:51" ht="15" x14ac:dyDescent="0.25">
      <c r="A57" s="41" t="str">
        <f>IF(Trades!$A57="","",Trades!O57)</f>
        <v/>
      </c>
      <c r="B57" s="41" t="str">
        <f>IF(Trades!$A57="","",Trades!B57)</f>
        <v/>
      </c>
      <c r="C57" s="41" t="str">
        <f>IF(Trades!$A57="","",Trades!C57)</f>
        <v/>
      </c>
      <c r="D57" s="42" t="str">
        <f>IF(Trades!$A57="","",IF(Trades!$L57&gt;0,Trades!$L57,Trades!$C$6))</f>
        <v/>
      </c>
      <c r="E57" s="43" t="str">
        <f>IF(Trades!$A57="","",Trades!A57)</f>
        <v/>
      </c>
      <c r="F57" s="41" t="str">
        <f>IF(Trades!$A57="","",IFERROR(INDEX(Trades!$V$2:$V$14,MATCH(Trades!$E57,Trades!$U$2:$U$14,0)),""))</f>
        <v/>
      </c>
      <c r="G57" s="41" t="str">
        <f>IF(Trades!$A57="","",Trades!N57)</f>
        <v/>
      </c>
      <c r="H57" s="42" t="str">
        <f>IF(Trades!$A57="","",Trades!F57)</f>
        <v/>
      </c>
      <c r="I57" s="44" t="str">
        <f>IF(Trades!$A57="","",Trades!G57)</f>
        <v/>
      </c>
      <c r="J57" s="44" t="str">
        <f>IF(Trades!$A57="","",Trades!I57)</f>
        <v/>
      </c>
      <c r="K57" s="44" t="str">
        <f>IF(Trades!$A57="","",Trades!Q57)</f>
        <v/>
      </c>
      <c r="L57" s="42" t="str">
        <f>IF(Trades!$A57="","",Trades!F57)</f>
        <v/>
      </c>
      <c r="M57" s="44" t="str">
        <f>IF(Trades!$A57="","",Trades!M57)</f>
        <v/>
      </c>
      <c r="N57" s="44" t="str">
        <f>IF(Trades!$A57="","",Trades!R57)</f>
        <v/>
      </c>
      <c r="O57" s="44" t="str">
        <f>IF(Trades!$A57="","",Trades!J57)</f>
        <v/>
      </c>
      <c r="P57" s="43" t="str">
        <f>IF(Trades!$A57="","",Trades!H57)</f>
        <v/>
      </c>
      <c r="Q57" s="41" t="str">
        <f>IF(Trades!$A57="","",Trades!P57)</f>
        <v/>
      </c>
      <c r="R57" s="45" t="str">
        <f t="shared" si="0"/>
        <v/>
      </c>
      <c r="S57" s="45" t="str">
        <f t="shared" si="1"/>
        <v/>
      </c>
      <c r="T57" s="46" t="str">
        <f>IF(OR($A57="",$B57=""),"",IF(AND(IFERROR(LOOKUP(2,1/($B$9:$B$56=$B57),$AR$9:$AR56),1),NOT(AND(OR($F57="dividend",$F57="fee"),IFERROR(LOOKUP(2,1/($B$9:$B$56=$B57),$T$9:$T56),0)&gt;0))),IFERROR(LOOKUP(2,1/($B$9:$B$56=$B57),$T$9:$T56),0)+1,IFERROR(LOOKUP(2,1/($B$9:$B$56=$B57),$T$9:$T56),0)))</f>
        <v/>
      </c>
      <c r="U57" s="47" t="str">
        <f t="shared" si="2"/>
        <v/>
      </c>
      <c r="V57" s="47" t="str">
        <f>IF($A57="","",IF(OR($B57="",$C57="",$D57="",$E57="",$F57=""),"Missing required field",IF(COUNTIFS($A$9:$A57,$A57,$B$9:$B57,$B57)&gt;1,"Duplicate event ID",IF(AND($E57&lt;&gt;IFERROR(LOOKUP(2,1/($B$9:$B$56=$B57),$E$9:$E56),0),IFERROR(LOOKUP(2,1/($B$9:$B$56=$B57),$E$9:$E56),0)&gt;$E57),"Date out of order",IF(AND(OR($F57="buy_to_close",$F57="expire",$F57="roll",$F57="assignment",$F57="called_away"),$AF57=0),"Unknown lot",IF(OR(AND($F57="assignment",$AF57&gt;0,IF($AF57&gt;0,INDEX($AG$9:$AG$56,$AF57),"")&lt;&gt;"put"),AND($F57="called_away",$AF57&gt;0,IF($AF57&gt;0,INDEX($AG$9:$AG$56,$AF57),"")&lt;&gt;"call")),"Wrong option leg",IF(OR(AND(OR($F57="sell_put",$F57="sell_call"),OR($H57&lt;=0,$I57&lt;=0,$J57&lt;0)),AND(OR($F57="buy_to_close",$F57="expire",$F57="assignment",$F57="called_away"),OR($H57&lt;=0,$J57&lt;0)),AND($F57="roll",OR($H57&lt;=0,$I57&lt;=0,$J57&lt;0,$K57&lt;0)),AND(OR($F57="buy_shares",$F57="sell_shares"),OR($L57&lt;=0,$M57&lt;0)),AND(OR($F57="dividend",$F57="fee"),$N57&lt;0)),"Invalid value",IF(AND(OR($F57="sell_shares",$F57="called_away"),$AL57&lt;IF($F57="called_away",$AE57*$D57,$L57)),"Insufficient shares (capped)",IF(AND(OR($F57="buy_to_close",$F57="expire",$F57="roll",$F57="assignment",$F57="called_away"),$AF57&gt;0,$H57&gt;IF($AF57&gt;0,MAX(0,INDEX($AI$9:$AI$56,$AF57)-SUMIFS($AE$9:$AE$56,$G$9:$G$56,$G57,$B$9:$B$56,$B57)),0)),"Close quantity capped","OK")))))))))</f>
        <v/>
      </c>
      <c r="W57" s="48" t="str">
        <f t="shared" si="3"/>
        <v/>
      </c>
      <c r="X57" s="49" t="str">
        <f t="shared" si="4"/>
        <v/>
      </c>
      <c r="Y57" s="50" t="str">
        <f t="shared" si="5"/>
        <v/>
      </c>
      <c r="Z57" s="50" t="str">
        <f t="shared" si="6"/>
        <v/>
      </c>
      <c r="AA57" s="50" t="str">
        <f t="shared" si="7"/>
        <v/>
      </c>
      <c r="AB57" s="50" t="str">
        <f t="shared" si="8"/>
        <v/>
      </c>
      <c r="AC57" s="50" t="str">
        <f>IF($A57="","",IF($F57="assignment",IF($AF57&gt;0,INDEX($AH$9:$AH$56,$AF57),0)*$AE57*$D57,IF($F57="buy_shares",$M57*$AL57,0)))</f>
        <v/>
      </c>
      <c r="AD57" s="50" t="str">
        <f>IF($A57="","",IF($F57="called_away",IF($AF57&gt;0,INDEX($AH$9:$AH$56,$AF57),0)*$AL57,IF($F57="sell_shares",$M57*$AL57,0)))</f>
        <v/>
      </c>
      <c r="AE57" s="51" t="str">
        <f>IF($A57="","",IF(OR($F57="sell_put",$F57="sell_call"),IF(AND($H57&gt;0,$I57&gt;0,$J57&gt;=0),$H57,0),IF(OR($F57="buy_to_close",$F57="expire",$F57="roll",$F57="assignment",$F57="called_away"),IF(AND($AF57&gt;0,$H57&gt;0,IF($F57="assignment",IF($AF57&gt;0,INDEX($AG$9:$AG$56,$AF57),"")="put",TRUE),IF($F57="called_away",IF($AF57&gt;0,INDEX($AG$9:$AG$56,$AF57),"")="call",TRUE)),MIN($H57,IF($AF57&gt;0,MAX(0,INDEX($AI$9:$AI$56,$AF57)-SUMIFS($AE$9:$AE$56,$G$9:$G$56,$G57,$B$9:$B$56,$B57)),0)),0),0)))</f>
        <v/>
      </c>
      <c r="AF57" t="str">
        <f>IF($A57="","",IFERROR(MATCH(LEN($B57)&amp;":"&amp;$B57&amp;$G57,$AY$9:$AY$56,0),0))</f>
        <v/>
      </c>
      <c r="AG57" t="str">
        <f>IF($A57="","",IF($F57="sell_put","put",IF($F57="sell_call","call",IF($F57="roll",IF($AF57&gt;0,IF($AF57&gt;0,INDEX($AG$9:$AG$56,$AF57),""),""),IF($AF57&gt;0,IF($AF57&gt;0,INDEX($AG$9:$AG$56,$AF57),""),"")))))</f>
        <v/>
      </c>
      <c r="AH57" t="str">
        <f>IF($A57="","",IF(OR($F57="sell_put",$F57="sell_call",$F57="roll"),$I57,IF($AF57&gt;0,IF($AF57&gt;0,INDEX($AH$9:$AH$56,$AF57),0),0)))</f>
        <v/>
      </c>
      <c r="AI57" s="51" t="str">
        <f t="shared" si="9"/>
        <v/>
      </c>
      <c r="AJ57" s="51" t="str">
        <f>IF($A57="","",IFERROR(LOOKUP(2,1/($B$9:$B$56=$B57),$AM$9:$AM56),0))</f>
        <v/>
      </c>
      <c r="AK57" t="str">
        <f>IF($A57="","",IFERROR(LOOKUP(2,1/($B$9:$B$56=$B57),$AN$9:$AN56),0))</f>
        <v/>
      </c>
      <c r="AL57" s="51" t="str">
        <f t="shared" si="10"/>
        <v/>
      </c>
      <c r="AM57" s="51" t="str">
        <f t="shared" si="11"/>
        <v/>
      </c>
      <c r="AN57" t="str">
        <f t="shared" si="12"/>
        <v/>
      </c>
      <c r="AO57" s="50" t="str">
        <f>IF($A57="","",IFERROR(LOOKUP(2,1/($B$9:$B$56=$B57),$AO$9:$AO56),0)+IF($F57="sell_put",$I57*$AE57*$D57,IF($F57="roll",IF($AG57="put",($I57-IF($AF57&gt;0,INDEX($AH$9:$AH$56,$AF57),0))*$AE57*$D57,0),IF(AND(OR($F57="buy_to_close",$F57="expire",$F57="roll",$F57="assignment",$F57="called_away"),$F57&lt;&gt;"roll",$AG57="put"),-IF($AF57&gt;0,INDEX($AH$9:$AH$56,$AF57),0)*$AE57*$D57,0))))</f>
        <v/>
      </c>
      <c r="AP57" s="51" t="str">
        <f>IF($A57="","",IFERROR(LOOKUP(2,1/($B$9:$B$56=$B57),$AP$9:$AP56),0)+IF($F57="sell_put",$AE57*$D57,IF(AND(OR($F57="buy_to_close",$F57="expire",$F57="roll",$F57="assignment",$F57="called_away"),$F57&lt;&gt;"roll",$AG57="put"),-$AE57*$D57,0)))</f>
        <v/>
      </c>
      <c r="AQ57" s="51" t="str">
        <f>IF($A57="","",IFERROR(LOOKUP(2,1/($B$9:$B$56=$B57),$AQ$9:$AQ56),0)+IF(OR($F57="sell_put",$F57="sell_call"),$AE57,0)-IF(AND(OR($F57="buy_to_close",$F57="expire",$F57="roll",$F57="assignment",$F57="called_away"),$F57&lt;&gt;"roll"),$AE57,0))</f>
        <v/>
      </c>
      <c r="AR57" t="str">
        <f t="shared" si="13"/>
        <v/>
      </c>
      <c r="AS57" s="50" t="str">
        <f t="shared" si="14"/>
        <v/>
      </c>
      <c r="AT57" s="50" t="str">
        <f>IF($A57="","",MAX(IF($T57=IFERROR(LOOKUP(2,1/($B$9:$B$56=$B57),$T$9:$T56),0),IFERROR(LOOKUP(2,1/($B$9:$B$56=$B57),$AT$9:$AT56),0),0),$AS57))</f>
        <v/>
      </c>
      <c r="AU57" t="str">
        <f t="shared" si="15"/>
        <v/>
      </c>
      <c r="AV57" s="51">
        <f>IF($AU57="",0,IF(AND(IFERROR(LOOKUP(2,1/($B$9:$B$56=$B57),$AR$9:$AR56),1),NOT(AND(OR($F57="dividend",$F57="fee"),IFERROR(LOOKUP(2,1/($B$9:$B$56=$B57),$T$9:$T56),0)&gt;0))),ROW(),0))</f>
        <v>0</v>
      </c>
      <c r="AW57">
        <f>IF($A57="",0,IF($AV57&gt;0,MAX($AW$9:$AW$56)+1,MAX($AW$9:$AW$56)))</f>
        <v>0</v>
      </c>
      <c r="AX57">
        <f>IF($AU57="",0,IF(AND($AR57,OR(NOT(IFERROR(LOOKUP(2,1/($B$9:$B$56=$B57),$AR$9:$AR56),1)),IFERROR(LOOKUP(2,1/($B$9:$B$56=$B57),$T$9:$T56),0)=0)),ROW(),0))</f>
        <v>0</v>
      </c>
      <c r="AY57" t="str">
        <f t="shared" si="16"/>
        <v/>
      </c>
    </row>
    <row r="58" spans="1:51" ht="15" x14ac:dyDescent="0.25">
      <c r="A58" s="52" t="str">
        <f>IF(Trades!$A58="","",Trades!O58)</f>
        <v/>
      </c>
      <c r="B58" s="52" t="str">
        <f>IF(Trades!$A58="","",Trades!B58)</f>
        <v/>
      </c>
      <c r="C58" s="52" t="str">
        <f>IF(Trades!$A58="","",Trades!C58)</f>
        <v/>
      </c>
      <c r="D58" s="53" t="str">
        <f>IF(Trades!$A58="","",IF(Trades!$L58&gt;0,Trades!$L58,Trades!$C$6))</f>
        <v/>
      </c>
      <c r="E58" s="54" t="str">
        <f>IF(Trades!$A58="","",Trades!A58)</f>
        <v/>
      </c>
      <c r="F58" s="52" t="str">
        <f>IF(Trades!$A58="","",IFERROR(INDEX(Trades!$V$2:$V$14,MATCH(Trades!$E58,Trades!$U$2:$U$14,0)),""))</f>
        <v/>
      </c>
      <c r="G58" s="52" t="str">
        <f>IF(Trades!$A58="","",Trades!N58)</f>
        <v/>
      </c>
      <c r="H58" s="53" t="str">
        <f>IF(Trades!$A58="","",Trades!F58)</f>
        <v/>
      </c>
      <c r="I58" s="55" t="str">
        <f>IF(Trades!$A58="","",Trades!G58)</f>
        <v/>
      </c>
      <c r="J58" s="55" t="str">
        <f>IF(Trades!$A58="","",Trades!I58)</f>
        <v/>
      </c>
      <c r="K58" s="55" t="str">
        <f>IF(Trades!$A58="","",Trades!Q58)</f>
        <v/>
      </c>
      <c r="L58" s="53" t="str">
        <f>IF(Trades!$A58="","",Trades!F58)</f>
        <v/>
      </c>
      <c r="M58" s="55" t="str">
        <f>IF(Trades!$A58="","",Trades!M58)</f>
        <v/>
      </c>
      <c r="N58" s="55" t="str">
        <f>IF(Trades!$A58="","",Trades!R58)</f>
        <v/>
      </c>
      <c r="O58" s="55" t="str">
        <f>IF(Trades!$A58="","",Trades!J58)</f>
        <v/>
      </c>
      <c r="P58" s="54" t="str">
        <f>IF(Trades!$A58="","",Trades!H58)</f>
        <v/>
      </c>
      <c r="Q58" s="52" t="str">
        <f>IF(Trades!$A58="","",Trades!P58)</f>
        <v/>
      </c>
      <c r="R58" s="56" t="str">
        <f t="shared" si="0"/>
        <v/>
      </c>
      <c r="S58" s="56" t="str">
        <f t="shared" si="1"/>
        <v/>
      </c>
      <c r="T58" s="57" t="str">
        <f>IF(OR($A58="",$B58=""),"",IF(AND(IFERROR(LOOKUP(2,1/($B$9:$B$57=$B58),$AR$9:$AR57),1),NOT(AND(OR($F58="dividend",$F58="fee"),IFERROR(LOOKUP(2,1/($B$9:$B$57=$B58),$T$9:$T57),0)&gt;0))),IFERROR(LOOKUP(2,1/($B$9:$B$57=$B58),$T$9:$T57),0)+1,IFERROR(LOOKUP(2,1/($B$9:$B$57=$B58),$T$9:$T57),0)))</f>
        <v/>
      </c>
      <c r="U58" s="58" t="str">
        <f t="shared" si="2"/>
        <v/>
      </c>
      <c r="V58" s="58" t="str">
        <f>IF($A58="","",IF(OR($B58="",$C58="",$D58="",$E58="",$F58=""),"Missing required field",IF(COUNTIFS($A$9:$A58,$A58,$B$9:$B58,$B58)&gt;1,"Duplicate event ID",IF(AND($E58&lt;&gt;IFERROR(LOOKUP(2,1/($B$9:$B$57=$B58),$E$9:$E57),0),IFERROR(LOOKUP(2,1/($B$9:$B$57=$B58),$E$9:$E57),0)&gt;$E58),"Date out of order",IF(AND(OR($F58="buy_to_close",$F58="expire",$F58="roll",$F58="assignment",$F58="called_away"),$AF58=0),"Unknown lot",IF(OR(AND($F58="assignment",$AF58&gt;0,IF($AF58&gt;0,INDEX($AG$9:$AG$57,$AF58),"")&lt;&gt;"put"),AND($F58="called_away",$AF58&gt;0,IF($AF58&gt;0,INDEX($AG$9:$AG$57,$AF58),"")&lt;&gt;"call")),"Wrong option leg",IF(OR(AND(OR($F58="sell_put",$F58="sell_call"),OR($H58&lt;=0,$I58&lt;=0,$J58&lt;0)),AND(OR($F58="buy_to_close",$F58="expire",$F58="assignment",$F58="called_away"),OR($H58&lt;=0,$J58&lt;0)),AND($F58="roll",OR($H58&lt;=0,$I58&lt;=0,$J58&lt;0,$K58&lt;0)),AND(OR($F58="buy_shares",$F58="sell_shares"),OR($L58&lt;=0,$M58&lt;0)),AND(OR($F58="dividend",$F58="fee"),$N58&lt;0)),"Invalid value",IF(AND(OR($F58="sell_shares",$F58="called_away"),$AL58&lt;IF($F58="called_away",$AE58*$D58,$L58)),"Insufficient shares (capped)",IF(AND(OR($F58="buy_to_close",$F58="expire",$F58="roll",$F58="assignment",$F58="called_away"),$AF58&gt;0,$H58&gt;IF($AF58&gt;0,MAX(0,INDEX($AI$9:$AI$57,$AF58)-SUMIFS($AE$9:$AE$57,$G$9:$G$57,$G58,$B$9:$B$57,$B58)),0)),"Close quantity capped","OK")))))))))</f>
        <v/>
      </c>
      <c r="W58" s="59" t="str">
        <f t="shared" si="3"/>
        <v/>
      </c>
      <c r="X58" s="60" t="str">
        <f t="shared" si="4"/>
        <v/>
      </c>
      <c r="Y58" s="50" t="str">
        <f t="shared" si="5"/>
        <v/>
      </c>
      <c r="Z58" s="50" t="str">
        <f t="shared" si="6"/>
        <v/>
      </c>
      <c r="AA58" s="50" t="str">
        <f t="shared" si="7"/>
        <v/>
      </c>
      <c r="AB58" s="50" t="str">
        <f t="shared" si="8"/>
        <v/>
      </c>
      <c r="AC58" s="50" t="str">
        <f>IF($A58="","",IF($F58="assignment",IF($AF58&gt;0,INDEX($AH$9:$AH$57,$AF58),0)*$AE58*$D58,IF($F58="buy_shares",$M58*$AL58,0)))</f>
        <v/>
      </c>
      <c r="AD58" s="50" t="str">
        <f>IF($A58="","",IF($F58="called_away",IF($AF58&gt;0,INDEX($AH$9:$AH$57,$AF58),0)*$AL58,IF($F58="sell_shares",$M58*$AL58,0)))</f>
        <v/>
      </c>
      <c r="AE58" s="51" t="str">
        <f>IF($A58="","",IF(OR($F58="sell_put",$F58="sell_call"),IF(AND($H58&gt;0,$I58&gt;0,$J58&gt;=0),$H58,0),IF(OR($F58="buy_to_close",$F58="expire",$F58="roll",$F58="assignment",$F58="called_away"),IF(AND($AF58&gt;0,$H58&gt;0,IF($F58="assignment",IF($AF58&gt;0,INDEX($AG$9:$AG$57,$AF58),"")="put",TRUE),IF($F58="called_away",IF($AF58&gt;0,INDEX($AG$9:$AG$57,$AF58),"")="call",TRUE)),MIN($H58,IF($AF58&gt;0,MAX(0,INDEX($AI$9:$AI$57,$AF58)-SUMIFS($AE$9:$AE$57,$G$9:$G$57,$G58,$B$9:$B$57,$B58)),0)),0),0)))</f>
        <v/>
      </c>
      <c r="AF58" t="str">
        <f>IF($A58="","",IFERROR(MATCH(LEN($B58)&amp;":"&amp;$B58&amp;$G58,$AY$9:$AY$57,0),0))</f>
        <v/>
      </c>
      <c r="AG58" t="str">
        <f>IF($A58="","",IF($F58="sell_put","put",IF($F58="sell_call","call",IF($F58="roll",IF($AF58&gt;0,IF($AF58&gt;0,INDEX($AG$9:$AG$57,$AF58),""),""),IF($AF58&gt;0,IF($AF58&gt;0,INDEX($AG$9:$AG$57,$AF58),""),"")))))</f>
        <v/>
      </c>
      <c r="AH58" t="str">
        <f>IF($A58="","",IF(OR($F58="sell_put",$F58="sell_call",$F58="roll"),$I58,IF($AF58&gt;0,IF($AF58&gt;0,INDEX($AH$9:$AH$57,$AF58),0),0)))</f>
        <v/>
      </c>
      <c r="AI58" s="51" t="str">
        <f t="shared" si="9"/>
        <v/>
      </c>
      <c r="AJ58" s="51" t="str">
        <f>IF($A58="","",IFERROR(LOOKUP(2,1/($B$9:$B$57=$B58),$AM$9:$AM57),0))</f>
        <v/>
      </c>
      <c r="AK58" t="str">
        <f>IF($A58="","",IFERROR(LOOKUP(2,1/($B$9:$B$57=$B58),$AN$9:$AN57),0))</f>
        <v/>
      </c>
      <c r="AL58" s="51" t="str">
        <f t="shared" si="10"/>
        <v/>
      </c>
      <c r="AM58" s="51" t="str">
        <f t="shared" si="11"/>
        <v/>
      </c>
      <c r="AN58" t="str">
        <f t="shared" si="12"/>
        <v/>
      </c>
      <c r="AO58" s="50" t="str">
        <f>IF($A58="","",IFERROR(LOOKUP(2,1/($B$9:$B$57=$B58),$AO$9:$AO57),0)+IF($F58="sell_put",$I58*$AE58*$D58,IF($F58="roll",IF($AG58="put",($I58-IF($AF58&gt;0,INDEX($AH$9:$AH$57,$AF58),0))*$AE58*$D58,0),IF(AND(OR($F58="buy_to_close",$F58="expire",$F58="roll",$F58="assignment",$F58="called_away"),$F58&lt;&gt;"roll",$AG58="put"),-IF($AF58&gt;0,INDEX($AH$9:$AH$57,$AF58),0)*$AE58*$D58,0))))</f>
        <v/>
      </c>
      <c r="AP58" s="51" t="str">
        <f>IF($A58="","",IFERROR(LOOKUP(2,1/($B$9:$B$57=$B58),$AP$9:$AP57),0)+IF($F58="sell_put",$AE58*$D58,IF(AND(OR($F58="buy_to_close",$F58="expire",$F58="roll",$F58="assignment",$F58="called_away"),$F58&lt;&gt;"roll",$AG58="put"),-$AE58*$D58,0)))</f>
        <v/>
      </c>
      <c r="AQ58" s="51" t="str">
        <f>IF($A58="","",IFERROR(LOOKUP(2,1/($B$9:$B$57=$B58),$AQ$9:$AQ57),0)+IF(OR($F58="sell_put",$F58="sell_call"),$AE58,0)-IF(AND(OR($F58="buy_to_close",$F58="expire",$F58="roll",$F58="assignment",$F58="called_away"),$F58&lt;&gt;"roll"),$AE58,0))</f>
        <v/>
      </c>
      <c r="AR58" t="str">
        <f t="shared" si="13"/>
        <v/>
      </c>
      <c r="AS58" s="50" t="str">
        <f t="shared" si="14"/>
        <v/>
      </c>
      <c r="AT58" s="50" t="str">
        <f>IF($A58="","",MAX(IF($T58=IFERROR(LOOKUP(2,1/($B$9:$B$57=$B58),$T$9:$T57),0),IFERROR(LOOKUP(2,1/($B$9:$B$57=$B58),$AT$9:$AT57),0),0),$AS58))</f>
        <v/>
      </c>
      <c r="AU58" t="str">
        <f t="shared" si="15"/>
        <v/>
      </c>
      <c r="AV58" s="51">
        <f>IF($AU58="",0,IF(AND(IFERROR(LOOKUP(2,1/($B$9:$B$57=$B58),$AR$9:$AR57),1),NOT(AND(OR($F58="dividend",$F58="fee"),IFERROR(LOOKUP(2,1/($B$9:$B$57=$B58),$T$9:$T57),0)&gt;0))),ROW(),0))</f>
        <v>0</v>
      </c>
      <c r="AW58">
        <f>IF($A58="",0,IF($AV58&gt;0,MAX($AW$9:$AW$57)+1,MAX($AW$9:$AW$57)))</f>
        <v>0</v>
      </c>
      <c r="AX58">
        <f>IF($AU58="",0,IF(AND($AR58,OR(NOT(IFERROR(LOOKUP(2,1/($B$9:$B$57=$B58),$AR$9:$AR57),1)),IFERROR(LOOKUP(2,1/($B$9:$B$57=$B58),$T$9:$T57),0)=0)),ROW(),0))</f>
        <v>0</v>
      </c>
      <c r="AY58" t="str">
        <f t="shared" si="16"/>
        <v/>
      </c>
    </row>
    <row r="59" spans="1:51" ht="15" x14ac:dyDescent="0.25">
      <c r="A59" s="41" t="str">
        <f>IF(Trades!$A59="","",Trades!O59)</f>
        <v/>
      </c>
      <c r="B59" s="41" t="str">
        <f>IF(Trades!$A59="","",Trades!B59)</f>
        <v/>
      </c>
      <c r="C59" s="41" t="str">
        <f>IF(Trades!$A59="","",Trades!C59)</f>
        <v/>
      </c>
      <c r="D59" s="42" t="str">
        <f>IF(Trades!$A59="","",IF(Trades!$L59&gt;0,Trades!$L59,Trades!$C$6))</f>
        <v/>
      </c>
      <c r="E59" s="43" t="str">
        <f>IF(Trades!$A59="","",Trades!A59)</f>
        <v/>
      </c>
      <c r="F59" s="41" t="str">
        <f>IF(Trades!$A59="","",IFERROR(INDEX(Trades!$V$2:$V$14,MATCH(Trades!$E59,Trades!$U$2:$U$14,0)),""))</f>
        <v/>
      </c>
      <c r="G59" s="41" t="str">
        <f>IF(Trades!$A59="","",Trades!N59)</f>
        <v/>
      </c>
      <c r="H59" s="42" t="str">
        <f>IF(Trades!$A59="","",Trades!F59)</f>
        <v/>
      </c>
      <c r="I59" s="44" t="str">
        <f>IF(Trades!$A59="","",Trades!G59)</f>
        <v/>
      </c>
      <c r="J59" s="44" t="str">
        <f>IF(Trades!$A59="","",Trades!I59)</f>
        <v/>
      </c>
      <c r="K59" s="44" t="str">
        <f>IF(Trades!$A59="","",Trades!Q59)</f>
        <v/>
      </c>
      <c r="L59" s="42" t="str">
        <f>IF(Trades!$A59="","",Trades!F59)</f>
        <v/>
      </c>
      <c r="M59" s="44" t="str">
        <f>IF(Trades!$A59="","",Trades!M59)</f>
        <v/>
      </c>
      <c r="N59" s="44" t="str">
        <f>IF(Trades!$A59="","",Trades!R59)</f>
        <v/>
      </c>
      <c r="O59" s="44" t="str">
        <f>IF(Trades!$A59="","",Trades!J59)</f>
        <v/>
      </c>
      <c r="P59" s="43" t="str">
        <f>IF(Trades!$A59="","",Trades!H59)</f>
        <v/>
      </c>
      <c r="Q59" s="41" t="str">
        <f>IF(Trades!$A59="","",Trades!P59)</f>
        <v/>
      </c>
      <c r="R59" s="45" t="str">
        <f t="shared" si="0"/>
        <v/>
      </c>
      <c r="S59" s="45" t="str">
        <f t="shared" si="1"/>
        <v/>
      </c>
      <c r="T59" s="46" t="str">
        <f>IF(OR($A59="",$B59=""),"",IF(AND(IFERROR(LOOKUP(2,1/($B$9:$B$58=$B59),$AR$9:$AR58),1),NOT(AND(OR($F59="dividend",$F59="fee"),IFERROR(LOOKUP(2,1/($B$9:$B$58=$B59),$T$9:$T58),0)&gt;0))),IFERROR(LOOKUP(2,1/($B$9:$B$58=$B59),$T$9:$T58),0)+1,IFERROR(LOOKUP(2,1/($B$9:$B$58=$B59),$T$9:$T58),0)))</f>
        <v/>
      </c>
      <c r="U59" s="47" t="str">
        <f t="shared" si="2"/>
        <v/>
      </c>
      <c r="V59" s="47" t="str">
        <f>IF($A59="","",IF(OR($B59="",$C59="",$D59="",$E59="",$F59=""),"Missing required field",IF(COUNTIFS($A$9:$A59,$A59,$B$9:$B59,$B59)&gt;1,"Duplicate event ID",IF(AND($E59&lt;&gt;IFERROR(LOOKUP(2,1/($B$9:$B$58=$B59),$E$9:$E58),0),IFERROR(LOOKUP(2,1/($B$9:$B$58=$B59),$E$9:$E58),0)&gt;$E59),"Date out of order",IF(AND(OR($F59="buy_to_close",$F59="expire",$F59="roll",$F59="assignment",$F59="called_away"),$AF59=0),"Unknown lot",IF(OR(AND($F59="assignment",$AF59&gt;0,IF($AF59&gt;0,INDEX($AG$9:$AG$58,$AF59),"")&lt;&gt;"put"),AND($F59="called_away",$AF59&gt;0,IF($AF59&gt;0,INDEX($AG$9:$AG$58,$AF59),"")&lt;&gt;"call")),"Wrong option leg",IF(OR(AND(OR($F59="sell_put",$F59="sell_call"),OR($H59&lt;=0,$I59&lt;=0,$J59&lt;0)),AND(OR($F59="buy_to_close",$F59="expire",$F59="assignment",$F59="called_away"),OR($H59&lt;=0,$J59&lt;0)),AND($F59="roll",OR($H59&lt;=0,$I59&lt;=0,$J59&lt;0,$K59&lt;0)),AND(OR($F59="buy_shares",$F59="sell_shares"),OR($L59&lt;=0,$M59&lt;0)),AND(OR($F59="dividend",$F59="fee"),$N59&lt;0)),"Invalid value",IF(AND(OR($F59="sell_shares",$F59="called_away"),$AL59&lt;IF($F59="called_away",$AE59*$D59,$L59)),"Insufficient shares (capped)",IF(AND(OR($F59="buy_to_close",$F59="expire",$F59="roll",$F59="assignment",$F59="called_away"),$AF59&gt;0,$H59&gt;IF($AF59&gt;0,MAX(0,INDEX($AI$9:$AI$58,$AF59)-SUMIFS($AE$9:$AE$58,$G$9:$G$58,$G59,$B$9:$B$58,$B59)),0)),"Close quantity capped","OK")))))))))</f>
        <v/>
      </c>
      <c r="W59" s="48" t="str">
        <f t="shared" si="3"/>
        <v/>
      </c>
      <c r="X59" s="49" t="str">
        <f t="shared" si="4"/>
        <v/>
      </c>
      <c r="Y59" s="50" t="str">
        <f t="shared" si="5"/>
        <v/>
      </c>
      <c r="Z59" s="50" t="str">
        <f t="shared" si="6"/>
        <v/>
      </c>
      <c r="AA59" s="50" t="str">
        <f t="shared" si="7"/>
        <v/>
      </c>
      <c r="AB59" s="50" t="str">
        <f t="shared" si="8"/>
        <v/>
      </c>
      <c r="AC59" s="50" t="str">
        <f>IF($A59="","",IF($F59="assignment",IF($AF59&gt;0,INDEX($AH$9:$AH$58,$AF59),0)*$AE59*$D59,IF($F59="buy_shares",$M59*$AL59,0)))</f>
        <v/>
      </c>
      <c r="AD59" s="50" t="str">
        <f>IF($A59="","",IF($F59="called_away",IF($AF59&gt;0,INDEX($AH$9:$AH$58,$AF59),0)*$AL59,IF($F59="sell_shares",$M59*$AL59,0)))</f>
        <v/>
      </c>
      <c r="AE59" s="51" t="str">
        <f>IF($A59="","",IF(OR($F59="sell_put",$F59="sell_call"),IF(AND($H59&gt;0,$I59&gt;0,$J59&gt;=0),$H59,0),IF(OR($F59="buy_to_close",$F59="expire",$F59="roll",$F59="assignment",$F59="called_away"),IF(AND($AF59&gt;0,$H59&gt;0,IF($F59="assignment",IF($AF59&gt;0,INDEX($AG$9:$AG$58,$AF59),"")="put",TRUE),IF($F59="called_away",IF($AF59&gt;0,INDEX($AG$9:$AG$58,$AF59),"")="call",TRUE)),MIN($H59,IF($AF59&gt;0,MAX(0,INDEX($AI$9:$AI$58,$AF59)-SUMIFS($AE$9:$AE$58,$G$9:$G$58,$G59,$B$9:$B$58,$B59)),0)),0),0)))</f>
        <v/>
      </c>
      <c r="AF59" t="str">
        <f>IF($A59="","",IFERROR(MATCH(LEN($B59)&amp;":"&amp;$B59&amp;$G59,$AY$9:$AY$58,0),0))</f>
        <v/>
      </c>
      <c r="AG59" t="str">
        <f>IF($A59="","",IF($F59="sell_put","put",IF($F59="sell_call","call",IF($F59="roll",IF($AF59&gt;0,IF($AF59&gt;0,INDEX($AG$9:$AG$58,$AF59),""),""),IF($AF59&gt;0,IF($AF59&gt;0,INDEX($AG$9:$AG$58,$AF59),""),"")))))</f>
        <v/>
      </c>
      <c r="AH59" t="str">
        <f>IF($A59="","",IF(OR($F59="sell_put",$F59="sell_call",$F59="roll"),$I59,IF($AF59&gt;0,IF($AF59&gt;0,INDEX($AH$9:$AH$58,$AF59),0),0)))</f>
        <v/>
      </c>
      <c r="AI59" s="51" t="str">
        <f t="shared" si="9"/>
        <v/>
      </c>
      <c r="AJ59" s="51" t="str">
        <f>IF($A59="","",IFERROR(LOOKUP(2,1/($B$9:$B$58=$B59),$AM$9:$AM58),0))</f>
        <v/>
      </c>
      <c r="AK59" t="str">
        <f>IF($A59="","",IFERROR(LOOKUP(2,1/($B$9:$B$58=$B59),$AN$9:$AN58),0))</f>
        <v/>
      </c>
      <c r="AL59" s="51" t="str">
        <f t="shared" si="10"/>
        <v/>
      </c>
      <c r="AM59" s="51" t="str">
        <f t="shared" si="11"/>
        <v/>
      </c>
      <c r="AN59" t="str">
        <f t="shared" si="12"/>
        <v/>
      </c>
      <c r="AO59" s="50" t="str">
        <f>IF($A59="","",IFERROR(LOOKUP(2,1/($B$9:$B$58=$B59),$AO$9:$AO58),0)+IF($F59="sell_put",$I59*$AE59*$D59,IF($F59="roll",IF($AG59="put",($I59-IF($AF59&gt;0,INDEX($AH$9:$AH$58,$AF59),0))*$AE59*$D59,0),IF(AND(OR($F59="buy_to_close",$F59="expire",$F59="roll",$F59="assignment",$F59="called_away"),$F59&lt;&gt;"roll",$AG59="put"),-IF($AF59&gt;0,INDEX($AH$9:$AH$58,$AF59),0)*$AE59*$D59,0))))</f>
        <v/>
      </c>
      <c r="AP59" s="51" t="str">
        <f>IF($A59="","",IFERROR(LOOKUP(2,1/($B$9:$B$58=$B59),$AP$9:$AP58),0)+IF($F59="sell_put",$AE59*$D59,IF(AND(OR($F59="buy_to_close",$F59="expire",$F59="roll",$F59="assignment",$F59="called_away"),$F59&lt;&gt;"roll",$AG59="put"),-$AE59*$D59,0)))</f>
        <v/>
      </c>
      <c r="AQ59" s="51" t="str">
        <f>IF($A59="","",IFERROR(LOOKUP(2,1/($B$9:$B$58=$B59),$AQ$9:$AQ58),0)+IF(OR($F59="sell_put",$F59="sell_call"),$AE59,0)-IF(AND(OR($F59="buy_to_close",$F59="expire",$F59="roll",$F59="assignment",$F59="called_away"),$F59&lt;&gt;"roll"),$AE59,0))</f>
        <v/>
      </c>
      <c r="AR59" t="str">
        <f t="shared" si="13"/>
        <v/>
      </c>
      <c r="AS59" s="50" t="str">
        <f t="shared" si="14"/>
        <v/>
      </c>
      <c r="AT59" s="50" t="str">
        <f>IF($A59="","",MAX(IF($T59=IFERROR(LOOKUP(2,1/($B$9:$B$58=$B59),$T$9:$T58),0),IFERROR(LOOKUP(2,1/($B$9:$B$58=$B59),$AT$9:$AT58),0),0),$AS59))</f>
        <v/>
      </c>
      <c r="AU59" t="str">
        <f t="shared" si="15"/>
        <v/>
      </c>
      <c r="AV59" s="51">
        <f>IF($AU59="",0,IF(AND(IFERROR(LOOKUP(2,1/($B$9:$B$58=$B59),$AR$9:$AR58),1),NOT(AND(OR($F59="dividend",$F59="fee"),IFERROR(LOOKUP(2,1/($B$9:$B$58=$B59),$T$9:$T58),0)&gt;0))),ROW(),0))</f>
        <v>0</v>
      </c>
      <c r="AW59">
        <f>IF($A59="",0,IF($AV59&gt;0,MAX($AW$9:$AW$58)+1,MAX($AW$9:$AW$58)))</f>
        <v>0</v>
      </c>
      <c r="AX59">
        <f>IF($AU59="",0,IF(AND($AR59,OR(NOT(IFERROR(LOOKUP(2,1/($B$9:$B$58=$B59),$AR$9:$AR58),1)),IFERROR(LOOKUP(2,1/($B$9:$B$58=$B59),$T$9:$T58),0)=0)),ROW(),0))</f>
        <v>0</v>
      </c>
      <c r="AY59" t="str">
        <f t="shared" si="16"/>
        <v/>
      </c>
    </row>
    <row r="60" spans="1:51" ht="15" x14ac:dyDescent="0.25">
      <c r="A60" s="52" t="str">
        <f>IF(Trades!$A60="","",Trades!O60)</f>
        <v/>
      </c>
      <c r="B60" s="52" t="str">
        <f>IF(Trades!$A60="","",Trades!B60)</f>
        <v/>
      </c>
      <c r="C60" s="52" t="str">
        <f>IF(Trades!$A60="","",Trades!C60)</f>
        <v/>
      </c>
      <c r="D60" s="53" t="str">
        <f>IF(Trades!$A60="","",IF(Trades!$L60&gt;0,Trades!$L60,Trades!$C$6))</f>
        <v/>
      </c>
      <c r="E60" s="54" t="str">
        <f>IF(Trades!$A60="","",Trades!A60)</f>
        <v/>
      </c>
      <c r="F60" s="52" t="str">
        <f>IF(Trades!$A60="","",IFERROR(INDEX(Trades!$V$2:$V$14,MATCH(Trades!$E60,Trades!$U$2:$U$14,0)),""))</f>
        <v/>
      </c>
      <c r="G60" s="52" t="str">
        <f>IF(Trades!$A60="","",Trades!N60)</f>
        <v/>
      </c>
      <c r="H60" s="53" t="str">
        <f>IF(Trades!$A60="","",Trades!F60)</f>
        <v/>
      </c>
      <c r="I60" s="55" t="str">
        <f>IF(Trades!$A60="","",Trades!G60)</f>
        <v/>
      </c>
      <c r="J60" s="55" t="str">
        <f>IF(Trades!$A60="","",Trades!I60)</f>
        <v/>
      </c>
      <c r="K60" s="55" t="str">
        <f>IF(Trades!$A60="","",Trades!Q60)</f>
        <v/>
      </c>
      <c r="L60" s="53" t="str">
        <f>IF(Trades!$A60="","",Trades!F60)</f>
        <v/>
      </c>
      <c r="M60" s="55" t="str">
        <f>IF(Trades!$A60="","",Trades!M60)</f>
        <v/>
      </c>
      <c r="N60" s="55" t="str">
        <f>IF(Trades!$A60="","",Trades!R60)</f>
        <v/>
      </c>
      <c r="O60" s="55" t="str">
        <f>IF(Trades!$A60="","",Trades!J60)</f>
        <v/>
      </c>
      <c r="P60" s="54" t="str">
        <f>IF(Trades!$A60="","",Trades!H60)</f>
        <v/>
      </c>
      <c r="Q60" s="52" t="str">
        <f>IF(Trades!$A60="","",Trades!P60)</f>
        <v/>
      </c>
      <c r="R60" s="56" t="str">
        <f t="shared" si="0"/>
        <v/>
      </c>
      <c r="S60" s="56" t="str">
        <f t="shared" si="1"/>
        <v/>
      </c>
      <c r="T60" s="57" t="str">
        <f>IF(OR($A60="",$B60=""),"",IF(AND(IFERROR(LOOKUP(2,1/($B$9:$B$59=$B60),$AR$9:$AR59),1),NOT(AND(OR($F60="dividend",$F60="fee"),IFERROR(LOOKUP(2,1/($B$9:$B$59=$B60),$T$9:$T59),0)&gt;0))),IFERROR(LOOKUP(2,1/($B$9:$B$59=$B60),$T$9:$T59),0)+1,IFERROR(LOOKUP(2,1/($B$9:$B$59=$B60),$T$9:$T59),0)))</f>
        <v/>
      </c>
      <c r="U60" s="58" t="str">
        <f t="shared" si="2"/>
        <v/>
      </c>
      <c r="V60" s="58" t="str">
        <f>IF($A60="","",IF(OR($B60="",$C60="",$D60="",$E60="",$F60=""),"Missing required field",IF(COUNTIFS($A$9:$A60,$A60,$B$9:$B60,$B60)&gt;1,"Duplicate event ID",IF(AND($E60&lt;&gt;IFERROR(LOOKUP(2,1/($B$9:$B$59=$B60),$E$9:$E59),0),IFERROR(LOOKUP(2,1/($B$9:$B$59=$B60),$E$9:$E59),0)&gt;$E60),"Date out of order",IF(AND(OR($F60="buy_to_close",$F60="expire",$F60="roll",$F60="assignment",$F60="called_away"),$AF60=0),"Unknown lot",IF(OR(AND($F60="assignment",$AF60&gt;0,IF($AF60&gt;0,INDEX($AG$9:$AG$59,$AF60),"")&lt;&gt;"put"),AND($F60="called_away",$AF60&gt;0,IF($AF60&gt;0,INDEX($AG$9:$AG$59,$AF60),"")&lt;&gt;"call")),"Wrong option leg",IF(OR(AND(OR($F60="sell_put",$F60="sell_call"),OR($H60&lt;=0,$I60&lt;=0,$J60&lt;0)),AND(OR($F60="buy_to_close",$F60="expire",$F60="assignment",$F60="called_away"),OR($H60&lt;=0,$J60&lt;0)),AND($F60="roll",OR($H60&lt;=0,$I60&lt;=0,$J60&lt;0,$K60&lt;0)),AND(OR($F60="buy_shares",$F60="sell_shares"),OR($L60&lt;=0,$M60&lt;0)),AND(OR($F60="dividend",$F60="fee"),$N60&lt;0)),"Invalid value",IF(AND(OR($F60="sell_shares",$F60="called_away"),$AL60&lt;IF($F60="called_away",$AE60*$D60,$L60)),"Insufficient shares (capped)",IF(AND(OR($F60="buy_to_close",$F60="expire",$F60="roll",$F60="assignment",$F60="called_away"),$AF60&gt;0,$H60&gt;IF($AF60&gt;0,MAX(0,INDEX($AI$9:$AI$59,$AF60)-SUMIFS($AE$9:$AE$59,$G$9:$G$59,$G60,$B$9:$B$59,$B60)),0)),"Close quantity capped","OK")))))))))</f>
        <v/>
      </c>
      <c r="W60" s="59" t="str">
        <f t="shared" si="3"/>
        <v/>
      </c>
      <c r="X60" s="60" t="str">
        <f t="shared" si="4"/>
        <v/>
      </c>
      <c r="Y60" s="50" t="str">
        <f t="shared" si="5"/>
        <v/>
      </c>
      <c r="Z60" s="50" t="str">
        <f t="shared" si="6"/>
        <v/>
      </c>
      <c r="AA60" s="50" t="str">
        <f t="shared" si="7"/>
        <v/>
      </c>
      <c r="AB60" s="50" t="str">
        <f t="shared" si="8"/>
        <v/>
      </c>
      <c r="AC60" s="50" t="str">
        <f>IF($A60="","",IF($F60="assignment",IF($AF60&gt;0,INDEX($AH$9:$AH$59,$AF60),0)*$AE60*$D60,IF($F60="buy_shares",$M60*$AL60,0)))</f>
        <v/>
      </c>
      <c r="AD60" s="50" t="str">
        <f>IF($A60="","",IF($F60="called_away",IF($AF60&gt;0,INDEX($AH$9:$AH$59,$AF60),0)*$AL60,IF($F60="sell_shares",$M60*$AL60,0)))</f>
        <v/>
      </c>
      <c r="AE60" s="51" t="str">
        <f>IF($A60="","",IF(OR($F60="sell_put",$F60="sell_call"),IF(AND($H60&gt;0,$I60&gt;0,$J60&gt;=0),$H60,0),IF(OR($F60="buy_to_close",$F60="expire",$F60="roll",$F60="assignment",$F60="called_away"),IF(AND($AF60&gt;0,$H60&gt;0,IF($F60="assignment",IF($AF60&gt;0,INDEX($AG$9:$AG$59,$AF60),"")="put",TRUE),IF($F60="called_away",IF($AF60&gt;0,INDEX($AG$9:$AG$59,$AF60),"")="call",TRUE)),MIN($H60,IF($AF60&gt;0,MAX(0,INDEX($AI$9:$AI$59,$AF60)-SUMIFS($AE$9:$AE$59,$G$9:$G$59,$G60,$B$9:$B$59,$B60)),0)),0),0)))</f>
        <v/>
      </c>
      <c r="AF60" t="str">
        <f>IF($A60="","",IFERROR(MATCH(LEN($B60)&amp;":"&amp;$B60&amp;$G60,$AY$9:$AY$59,0),0))</f>
        <v/>
      </c>
      <c r="AG60" t="str">
        <f>IF($A60="","",IF($F60="sell_put","put",IF($F60="sell_call","call",IF($F60="roll",IF($AF60&gt;0,IF($AF60&gt;0,INDEX($AG$9:$AG$59,$AF60),""),""),IF($AF60&gt;0,IF($AF60&gt;0,INDEX($AG$9:$AG$59,$AF60),""),"")))))</f>
        <v/>
      </c>
      <c r="AH60" t="str">
        <f>IF($A60="","",IF(OR($F60="sell_put",$F60="sell_call",$F60="roll"),$I60,IF($AF60&gt;0,IF($AF60&gt;0,INDEX($AH$9:$AH$59,$AF60),0),0)))</f>
        <v/>
      </c>
      <c r="AI60" s="51" t="str">
        <f t="shared" si="9"/>
        <v/>
      </c>
      <c r="AJ60" s="51" t="str">
        <f>IF($A60="","",IFERROR(LOOKUP(2,1/($B$9:$B$59=$B60),$AM$9:$AM59),0))</f>
        <v/>
      </c>
      <c r="AK60" t="str">
        <f>IF($A60="","",IFERROR(LOOKUP(2,1/($B$9:$B$59=$B60),$AN$9:$AN59),0))</f>
        <v/>
      </c>
      <c r="AL60" s="51" t="str">
        <f t="shared" si="10"/>
        <v/>
      </c>
      <c r="AM60" s="51" t="str">
        <f t="shared" si="11"/>
        <v/>
      </c>
      <c r="AN60" t="str">
        <f t="shared" si="12"/>
        <v/>
      </c>
      <c r="AO60" s="50" t="str">
        <f>IF($A60="","",IFERROR(LOOKUP(2,1/($B$9:$B$59=$B60),$AO$9:$AO59),0)+IF($F60="sell_put",$I60*$AE60*$D60,IF($F60="roll",IF($AG60="put",($I60-IF($AF60&gt;0,INDEX($AH$9:$AH$59,$AF60),0))*$AE60*$D60,0),IF(AND(OR($F60="buy_to_close",$F60="expire",$F60="roll",$F60="assignment",$F60="called_away"),$F60&lt;&gt;"roll",$AG60="put"),-IF($AF60&gt;0,INDEX($AH$9:$AH$59,$AF60),0)*$AE60*$D60,0))))</f>
        <v/>
      </c>
      <c r="AP60" s="51" t="str">
        <f>IF($A60="","",IFERROR(LOOKUP(2,1/($B$9:$B$59=$B60),$AP$9:$AP59),0)+IF($F60="sell_put",$AE60*$D60,IF(AND(OR($F60="buy_to_close",$F60="expire",$F60="roll",$F60="assignment",$F60="called_away"),$F60&lt;&gt;"roll",$AG60="put"),-$AE60*$D60,0)))</f>
        <v/>
      </c>
      <c r="AQ60" s="51" t="str">
        <f>IF($A60="","",IFERROR(LOOKUP(2,1/($B$9:$B$59=$B60),$AQ$9:$AQ59),0)+IF(OR($F60="sell_put",$F60="sell_call"),$AE60,0)-IF(AND(OR($F60="buy_to_close",$F60="expire",$F60="roll",$F60="assignment",$F60="called_away"),$F60&lt;&gt;"roll"),$AE60,0))</f>
        <v/>
      </c>
      <c r="AR60" t="str">
        <f t="shared" si="13"/>
        <v/>
      </c>
      <c r="AS60" s="50" t="str">
        <f t="shared" si="14"/>
        <v/>
      </c>
      <c r="AT60" s="50" t="str">
        <f>IF($A60="","",MAX(IF($T60=IFERROR(LOOKUP(2,1/($B$9:$B$59=$B60),$T$9:$T59),0),IFERROR(LOOKUP(2,1/($B$9:$B$59=$B60),$AT$9:$AT59),0),0),$AS60))</f>
        <v/>
      </c>
      <c r="AU60" t="str">
        <f t="shared" si="15"/>
        <v/>
      </c>
      <c r="AV60" s="51">
        <f>IF($AU60="",0,IF(AND(IFERROR(LOOKUP(2,1/($B$9:$B$59=$B60),$AR$9:$AR59),1),NOT(AND(OR($F60="dividend",$F60="fee"),IFERROR(LOOKUP(2,1/($B$9:$B$59=$B60),$T$9:$T59),0)&gt;0))),ROW(),0))</f>
        <v>0</v>
      </c>
      <c r="AW60">
        <f>IF($A60="",0,IF($AV60&gt;0,MAX($AW$9:$AW$59)+1,MAX($AW$9:$AW$59)))</f>
        <v>0</v>
      </c>
      <c r="AX60">
        <f>IF($AU60="",0,IF(AND($AR60,OR(NOT(IFERROR(LOOKUP(2,1/($B$9:$B$59=$B60),$AR$9:$AR59),1)),IFERROR(LOOKUP(2,1/($B$9:$B$59=$B60),$T$9:$T59),0)=0)),ROW(),0))</f>
        <v>0</v>
      </c>
      <c r="AY60" t="str">
        <f t="shared" si="16"/>
        <v/>
      </c>
    </row>
    <row r="61" spans="1:51" ht="15" x14ac:dyDescent="0.25">
      <c r="A61" s="41" t="str">
        <f>IF(Trades!$A61="","",Trades!O61)</f>
        <v/>
      </c>
      <c r="B61" s="41" t="str">
        <f>IF(Trades!$A61="","",Trades!B61)</f>
        <v/>
      </c>
      <c r="C61" s="41" t="str">
        <f>IF(Trades!$A61="","",Trades!C61)</f>
        <v/>
      </c>
      <c r="D61" s="42" t="str">
        <f>IF(Trades!$A61="","",IF(Trades!$L61&gt;0,Trades!$L61,Trades!$C$6))</f>
        <v/>
      </c>
      <c r="E61" s="43" t="str">
        <f>IF(Trades!$A61="","",Trades!A61)</f>
        <v/>
      </c>
      <c r="F61" s="41" t="str">
        <f>IF(Trades!$A61="","",IFERROR(INDEX(Trades!$V$2:$V$14,MATCH(Trades!$E61,Trades!$U$2:$U$14,0)),""))</f>
        <v/>
      </c>
      <c r="G61" s="41" t="str">
        <f>IF(Trades!$A61="","",Trades!N61)</f>
        <v/>
      </c>
      <c r="H61" s="42" t="str">
        <f>IF(Trades!$A61="","",Trades!F61)</f>
        <v/>
      </c>
      <c r="I61" s="44" t="str">
        <f>IF(Trades!$A61="","",Trades!G61)</f>
        <v/>
      </c>
      <c r="J61" s="44" t="str">
        <f>IF(Trades!$A61="","",Trades!I61)</f>
        <v/>
      </c>
      <c r="K61" s="44" t="str">
        <f>IF(Trades!$A61="","",Trades!Q61)</f>
        <v/>
      </c>
      <c r="L61" s="42" t="str">
        <f>IF(Trades!$A61="","",Trades!F61)</f>
        <v/>
      </c>
      <c r="M61" s="44" t="str">
        <f>IF(Trades!$A61="","",Trades!M61)</f>
        <v/>
      </c>
      <c r="N61" s="44" t="str">
        <f>IF(Trades!$A61="","",Trades!R61)</f>
        <v/>
      </c>
      <c r="O61" s="44" t="str">
        <f>IF(Trades!$A61="","",Trades!J61)</f>
        <v/>
      </c>
      <c r="P61" s="43" t="str">
        <f>IF(Trades!$A61="","",Trades!H61)</f>
        <v/>
      </c>
      <c r="Q61" s="41" t="str">
        <f>IF(Trades!$A61="","",Trades!P61)</f>
        <v/>
      </c>
      <c r="R61" s="45" t="str">
        <f t="shared" si="0"/>
        <v/>
      </c>
      <c r="S61" s="45" t="str">
        <f t="shared" si="1"/>
        <v/>
      </c>
      <c r="T61" s="46" t="str">
        <f>IF(OR($A61="",$B61=""),"",IF(AND(IFERROR(LOOKUP(2,1/($B$9:$B$60=$B61),$AR$9:$AR60),1),NOT(AND(OR($F61="dividend",$F61="fee"),IFERROR(LOOKUP(2,1/($B$9:$B$60=$B61),$T$9:$T60),0)&gt;0))),IFERROR(LOOKUP(2,1/($B$9:$B$60=$B61),$T$9:$T60),0)+1,IFERROR(LOOKUP(2,1/($B$9:$B$60=$B61),$T$9:$T60),0)))</f>
        <v/>
      </c>
      <c r="U61" s="47" t="str">
        <f t="shared" si="2"/>
        <v/>
      </c>
      <c r="V61" s="47" t="str">
        <f>IF($A61="","",IF(OR($B61="",$C61="",$D61="",$E61="",$F61=""),"Missing required field",IF(COUNTIFS($A$9:$A61,$A61,$B$9:$B61,$B61)&gt;1,"Duplicate event ID",IF(AND($E61&lt;&gt;IFERROR(LOOKUP(2,1/($B$9:$B$60=$B61),$E$9:$E60),0),IFERROR(LOOKUP(2,1/($B$9:$B$60=$B61),$E$9:$E60),0)&gt;$E61),"Date out of order",IF(AND(OR($F61="buy_to_close",$F61="expire",$F61="roll",$F61="assignment",$F61="called_away"),$AF61=0),"Unknown lot",IF(OR(AND($F61="assignment",$AF61&gt;0,IF($AF61&gt;0,INDEX($AG$9:$AG$60,$AF61),"")&lt;&gt;"put"),AND($F61="called_away",$AF61&gt;0,IF($AF61&gt;0,INDEX($AG$9:$AG$60,$AF61),"")&lt;&gt;"call")),"Wrong option leg",IF(OR(AND(OR($F61="sell_put",$F61="sell_call"),OR($H61&lt;=0,$I61&lt;=0,$J61&lt;0)),AND(OR($F61="buy_to_close",$F61="expire",$F61="assignment",$F61="called_away"),OR($H61&lt;=0,$J61&lt;0)),AND($F61="roll",OR($H61&lt;=0,$I61&lt;=0,$J61&lt;0,$K61&lt;0)),AND(OR($F61="buy_shares",$F61="sell_shares"),OR($L61&lt;=0,$M61&lt;0)),AND(OR($F61="dividend",$F61="fee"),$N61&lt;0)),"Invalid value",IF(AND(OR($F61="sell_shares",$F61="called_away"),$AL61&lt;IF($F61="called_away",$AE61*$D61,$L61)),"Insufficient shares (capped)",IF(AND(OR($F61="buy_to_close",$F61="expire",$F61="roll",$F61="assignment",$F61="called_away"),$AF61&gt;0,$H61&gt;IF($AF61&gt;0,MAX(0,INDEX($AI$9:$AI$60,$AF61)-SUMIFS($AE$9:$AE$60,$G$9:$G$60,$G61,$B$9:$B$60,$B61)),0)),"Close quantity capped","OK")))))))))</f>
        <v/>
      </c>
      <c r="W61" s="48" t="str">
        <f t="shared" si="3"/>
        <v/>
      </c>
      <c r="X61" s="49" t="str">
        <f t="shared" si="4"/>
        <v/>
      </c>
      <c r="Y61" s="50" t="str">
        <f t="shared" si="5"/>
        <v/>
      </c>
      <c r="Z61" s="50" t="str">
        <f t="shared" si="6"/>
        <v/>
      </c>
      <c r="AA61" s="50" t="str">
        <f t="shared" si="7"/>
        <v/>
      </c>
      <c r="AB61" s="50" t="str">
        <f t="shared" si="8"/>
        <v/>
      </c>
      <c r="AC61" s="50" t="str">
        <f>IF($A61="","",IF($F61="assignment",IF($AF61&gt;0,INDEX($AH$9:$AH$60,$AF61),0)*$AE61*$D61,IF($F61="buy_shares",$M61*$AL61,0)))</f>
        <v/>
      </c>
      <c r="AD61" s="50" t="str">
        <f>IF($A61="","",IF($F61="called_away",IF($AF61&gt;0,INDEX($AH$9:$AH$60,$AF61),0)*$AL61,IF($F61="sell_shares",$M61*$AL61,0)))</f>
        <v/>
      </c>
      <c r="AE61" s="51" t="str">
        <f>IF($A61="","",IF(OR($F61="sell_put",$F61="sell_call"),IF(AND($H61&gt;0,$I61&gt;0,$J61&gt;=0),$H61,0),IF(OR($F61="buy_to_close",$F61="expire",$F61="roll",$F61="assignment",$F61="called_away"),IF(AND($AF61&gt;0,$H61&gt;0,IF($F61="assignment",IF($AF61&gt;0,INDEX($AG$9:$AG$60,$AF61),"")="put",TRUE),IF($F61="called_away",IF($AF61&gt;0,INDEX($AG$9:$AG$60,$AF61),"")="call",TRUE)),MIN($H61,IF($AF61&gt;0,MAX(0,INDEX($AI$9:$AI$60,$AF61)-SUMIFS($AE$9:$AE$60,$G$9:$G$60,$G61,$B$9:$B$60,$B61)),0)),0),0)))</f>
        <v/>
      </c>
      <c r="AF61" t="str">
        <f>IF($A61="","",IFERROR(MATCH(LEN($B61)&amp;":"&amp;$B61&amp;$G61,$AY$9:$AY$60,0),0))</f>
        <v/>
      </c>
      <c r="AG61" t="str">
        <f>IF($A61="","",IF($F61="sell_put","put",IF($F61="sell_call","call",IF($F61="roll",IF($AF61&gt;0,IF($AF61&gt;0,INDEX($AG$9:$AG$60,$AF61),""),""),IF($AF61&gt;0,IF($AF61&gt;0,INDEX($AG$9:$AG$60,$AF61),""),"")))))</f>
        <v/>
      </c>
      <c r="AH61" t="str">
        <f>IF($A61="","",IF(OR($F61="sell_put",$F61="sell_call",$F61="roll"),$I61,IF($AF61&gt;0,IF($AF61&gt;0,INDEX($AH$9:$AH$60,$AF61),0),0)))</f>
        <v/>
      </c>
      <c r="AI61" s="51" t="str">
        <f t="shared" si="9"/>
        <v/>
      </c>
      <c r="AJ61" s="51" t="str">
        <f>IF($A61="","",IFERROR(LOOKUP(2,1/($B$9:$B$60=$B61),$AM$9:$AM60),0))</f>
        <v/>
      </c>
      <c r="AK61" t="str">
        <f>IF($A61="","",IFERROR(LOOKUP(2,1/($B$9:$B$60=$B61),$AN$9:$AN60),0))</f>
        <v/>
      </c>
      <c r="AL61" s="51" t="str">
        <f t="shared" si="10"/>
        <v/>
      </c>
      <c r="AM61" s="51" t="str">
        <f t="shared" si="11"/>
        <v/>
      </c>
      <c r="AN61" t="str">
        <f t="shared" si="12"/>
        <v/>
      </c>
      <c r="AO61" s="50" t="str">
        <f>IF($A61="","",IFERROR(LOOKUP(2,1/($B$9:$B$60=$B61),$AO$9:$AO60),0)+IF($F61="sell_put",$I61*$AE61*$D61,IF($F61="roll",IF($AG61="put",($I61-IF($AF61&gt;0,INDEX($AH$9:$AH$60,$AF61),0))*$AE61*$D61,0),IF(AND(OR($F61="buy_to_close",$F61="expire",$F61="roll",$F61="assignment",$F61="called_away"),$F61&lt;&gt;"roll",$AG61="put"),-IF($AF61&gt;0,INDEX($AH$9:$AH$60,$AF61),0)*$AE61*$D61,0))))</f>
        <v/>
      </c>
      <c r="AP61" s="51" t="str">
        <f>IF($A61="","",IFERROR(LOOKUP(2,1/($B$9:$B$60=$B61),$AP$9:$AP60),0)+IF($F61="sell_put",$AE61*$D61,IF(AND(OR($F61="buy_to_close",$F61="expire",$F61="roll",$F61="assignment",$F61="called_away"),$F61&lt;&gt;"roll",$AG61="put"),-$AE61*$D61,0)))</f>
        <v/>
      </c>
      <c r="AQ61" s="51" t="str">
        <f>IF($A61="","",IFERROR(LOOKUP(2,1/($B$9:$B$60=$B61),$AQ$9:$AQ60),0)+IF(OR($F61="sell_put",$F61="sell_call"),$AE61,0)-IF(AND(OR($F61="buy_to_close",$F61="expire",$F61="roll",$F61="assignment",$F61="called_away"),$F61&lt;&gt;"roll"),$AE61,0))</f>
        <v/>
      </c>
      <c r="AR61" t="str">
        <f t="shared" si="13"/>
        <v/>
      </c>
      <c r="AS61" s="50" t="str">
        <f t="shared" si="14"/>
        <v/>
      </c>
      <c r="AT61" s="50" t="str">
        <f>IF($A61="","",MAX(IF($T61=IFERROR(LOOKUP(2,1/($B$9:$B$60=$B61),$T$9:$T60),0),IFERROR(LOOKUP(2,1/($B$9:$B$60=$B61),$AT$9:$AT60),0),0),$AS61))</f>
        <v/>
      </c>
      <c r="AU61" t="str">
        <f t="shared" si="15"/>
        <v/>
      </c>
      <c r="AV61" s="51">
        <f>IF($AU61="",0,IF(AND(IFERROR(LOOKUP(2,1/($B$9:$B$60=$B61),$AR$9:$AR60),1),NOT(AND(OR($F61="dividend",$F61="fee"),IFERROR(LOOKUP(2,1/($B$9:$B$60=$B61),$T$9:$T60),0)&gt;0))),ROW(),0))</f>
        <v>0</v>
      </c>
      <c r="AW61">
        <f>IF($A61="",0,IF($AV61&gt;0,MAX($AW$9:$AW$60)+1,MAX($AW$9:$AW$60)))</f>
        <v>0</v>
      </c>
      <c r="AX61">
        <f>IF($AU61="",0,IF(AND($AR61,OR(NOT(IFERROR(LOOKUP(2,1/($B$9:$B$60=$B61),$AR$9:$AR60),1)),IFERROR(LOOKUP(2,1/($B$9:$B$60=$B61),$T$9:$T60),0)=0)),ROW(),0))</f>
        <v>0</v>
      </c>
      <c r="AY61" t="str">
        <f t="shared" si="16"/>
        <v/>
      </c>
    </row>
    <row r="62" spans="1:51" ht="15" x14ac:dyDescent="0.25">
      <c r="A62" s="52" t="str">
        <f>IF(Trades!$A62="","",Trades!O62)</f>
        <v/>
      </c>
      <c r="B62" s="52" t="str">
        <f>IF(Trades!$A62="","",Trades!B62)</f>
        <v/>
      </c>
      <c r="C62" s="52" t="str">
        <f>IF(Trades!$A62="","",Trades!C62)</f>
        <v/>
      </c>
      <c r="D62" s="53" t="str">
        <f>IF(Trades!$A62="","",IF(Trades!$L62&gt;0,Trades!$L62,Trades!$C$6))</f>
        <v/>
      </c>
      <c r="E62" s="54" t="str">
        <f>IF(Trades!$A62="","",Trades!A62)</f>
        <v/>
      </c>
      <c r="F62" s="52" t="str">
        <f>IF(Trades!$A62="","",IFERROR(INDEX(Trades!$V$2:$V$14,MATCH(Trades!$E62,Trades!$U$2:$U$14,0)),""))</f>
        <v/>
      </c>
      <c r="G62" s="52" t="str">
        <f>IF(Trades!$A62="","",Trades!N62)</f>
        <v/>
      </c>
      <c r="H62" s="53" t="str">
        <f>IF(Trades!$A62="","",Trades!F62)</f>
        <v/>
      </c>
      <c r="I62" s="55" t="str">
        <f>IF(Trades!$A62="","",Trades!G62)</f>
        <v/>
      </c>
      <c r="J62" s="55" t="str">
        <f>IF(Trades!$A62="","",Trades!I62)</f>
        <v/>
      </c>
      <c r="K62" s="55" t="str">
        <f>IF(Trades!$A62="","",Trades!Q62)</f>
        <v/>
      </c>
      <c r="L62" s="53" t="str">
        <f>IF(Trades!$A62="","",Trades!F62)</f>
        <v/>
      </c>
      <c r="M62" s="55" t="str">
        <f>IF(Trades!$A62="","",Trades!M62)</f>
        <v/>
      </c>
      <c r="N62" s="55" t="str">
        <f>IF(Trades!$A62="","",Trades!R62)</f>
        <v/>
      </c>
      <c r="O62" s="55" t="str">
        <f>IF(Trades!$A62="","",Trades!J62)</f>
        <v/>
      </c>
      <c r="P62" s="54" t="str">
        <f>IF(Trades!$A62="","",Trades!H62)</f>
        <v/>
      </c>
      <c r="Q62" s="52" t="str">
        <f>IF(Trades!$A62="","",Trades!P62)</f>
        <v/>
      </c>
      <c r="R62" s="56" t="str">
        <f t="shared" si="0"/>
        <v/>
      </c>
      <c r="S62" s="56" t="str">
        <f t="shared" si="1"/>
        <v/>
      </c>
      <c r="T62" s="57" t="str">
        <f>IF(OR($A62="",$B62=""),"",IF(AND(IFERROR(LOOKUP(2,1/($B$9:$B$61=$B62),$AR$9:$AR61),1),NOT(AND(OR($F62="dividend",$F62="fee"),IFERROR(LOOKUP(2,1/($B$9:$B$61=$B62),$T$9:$T61),0)&gt;0))),IFERROR(LOOKUP(2,1/($B$9:$B$61=$B62),$T$9:$T61),0)+1,IFERROR(LOOKUP(2,1/($B$9:$B$61=$B62),$T$9:$T61),0)))</f>
        <v/>
      </c>
      <c r="U62" s="58" t="str">
        <f t="shared" si="2"/>
        <v/>
      </c>
      <c r="V62" s="58" t="str">
        <f>IF($A62="","",IF(OR($B62="",$C62="",$D62="",$E62="",$F62=""),"Missing required field",IF(COUNTIFS($A$9:$A62,$A62,$B$9:$B62,$B62)&gt;1,"Duplicate event ID",IF(AND($E62&lt;&gt;IFERROR(LOOKUP(2,1/($B$9:$B$61=$B62),$E$9:$E61),0),IFERROR(LOOKUP(2,1/($B$9:$B$61=$B62),$E$9:$E61),0)&gt;$E62),"Date out of order",IF(AND(OR($F62="buy_to_close",$F62="expire",$F62="roll",$F62="assignment",$F62="called_away"),$AF62=0),"Unknown lot",IF(OR(AND($F62="assignment",$AF62&gt;0,IF($AF62&gt;0,INDEX($AG$9:$AG$61,$AF62),"")&lt;&gt;"put"),AND($F62="called_away",$AF62&gt;0,IF($AF62&gt;0,INDEX($AG$9:$AG$61,$AF62),"")&lt;&gt;"call")),"Wrong option leg",IF(OR(AND(OR($F62="sell_put",$F62="sell_call"),OR($H62&lt;=0,$I62&lt;=0,$J62&lt;0)),AND(OR($F62="buy_to_close",$F62="expire",$F62="assignment",$F62="called_away"),OR($H62&lt;=0,$J62&lt;0)),AND($F62="roll",OR($H62&lt;=0,$I62&lt;=0,$J62&lt;0,$K62&lt;0)),AND(OR($F62="buy_shares",$F62="sell_shares"),OR($L62&lt;=0,$M62&lt;0)),AND(OR($F62="dividend",$F62="fee"),$N62&lt;0)),"Invalid value",IF(AND(OR($F62="sell_shares",$F62="called_away"),$AL62&lt;IF($F62="called_away",$AE62*$D62,$L62)),"Insufficient shares (capped)",IF(AND(OR($F62="buy_to_close",$F62="expire",$F62="roll",$F62="assignment",$F62="called_away"),$AF62&gt;0,$H62&gt;IF($AF62&gt;0,MAX(0,INDEX($AI$9:$AI$61,$AF62)-SUMIFS($AE$9:$AE$61,$G$9:$G$61,$G62,$B$9:$B$61,$B62)),0)),"Close quantity capped","OK")))))))))</f>
        <v/>
      </c>
      <c r="W62" s="59" t="str">
        <f t="shared" si="3"/>
        <v/>
      </c>
      <c r="X62" s="60" t="str">
        <f t="shared" si="4"/>
        <v/>
      </c>
      <c r="Y62" s="50" t="str">
        <f t="shared" si="5"/>
        <v/>
      </c>
      <c r="Z62" s="50" t="str">
        <f t="shared" si="6"/>
        <v/>
      </c>
      <c r="AA62" s="50" t="str">
        <f t="shared" si="7"/>
        <v/>
      </c>
      <c r="AB62" s="50" t="str">
        <f t="shared" si="8"/>
        <v/>
      </c>
      <c r="AC62" s="50" t="str">
        <f>IF($A62="","",IF($F62="assignment",IF($AF62&gt;0,INDEX($AH$9:$AH$61,$AF62),0)*$AE62*$D62,IF($F62="buy_shares",$M62*$AL62,0)))</f>
        <v/>
      </c>
      <c r="AD62" s="50" t="str">
        <f>IF($A62="","",IF($F62="called_away",IF($AF62&gt;0,INDEX($AH$9:$AH$61,$AF62),0)*$AL62,IF($F62="sell_shares",$M62*$AL62,0)))</f>
        <v/>
      </c>
      <c r="AE62" s="51" t="str">
        <f>IF($A62="","",IF(OR($F62="sell_put",$F62="sell_call"),IF(AND($H62&gt;0,$I62&gt;0,$J62&gt;=0),$H62,0),IF(OR($F62="buy_to_close",$F62="expire",$F62="roll",$F62="assignment",$F62="called_away"),IF(AND($AF62&gt;0,$H62&gt;0,IF($F62="assignment",IF($AF62&gt;0,INDEX($AG$9:$AG$61,$AF62),"")="put",TRUE),IF($F62="called_away",IF($AF62&gt;0,INDEX($AG$9:$AG$61,$AF62),"")="call",TRUE)),MIN($H62,IF($AF62&gt;0,MAX(0,INDEX($AI$9:$AI$61,$AF62)-SUMIFS($AE$9:$AE$61,$G$9:$G$61,$G62,$B$9:$B$61,$B62)),0)),0),0)))</f>
        <v/>
      </c>
      <c r="AF62" t="str">
        <f>IF($A62="","",IFERROR(MATCH(LEN($B62)&amp;":"&amp;$B62&amp;$G62,$AY$9:$AY$61,0),0))</f>
        <v/>
      </c>
      <c r="AG62" t="str">
        <f>IF($A62="","",IF($F62="sell_put","put",IF($F62="sell_call","call",IF($F62="roll",IF($AF62&gt;0,IF($AF62&gt;0,INDEX($AG$9:$AG$61,$AF62),""),""),IF($AF62&gt;0,IF($AF62&gt;0,INDEX($AG$9:$AG$61,$AF62),""),"")))))</f>
        <v/>
      </c>
      <c r="AH62" t="str">
        <f>IF($A62="","",IF(OR($F62="sell_put",$F62="sell_call",$F62="roll"),$I62,IF($AF62&gt;0,IF($AF62&gt;0,INDEX($AH$9:$AH$61,$AF62),0),0)))</f>
        <v/>
      </c>
      <c r="AI62" s="51" t="str">
        <f t="shared" si="9"/>
        <v/>
      </c>
      <c r="AJ62" s="51" t="str">
        <f>IF($A62="","",IFERROR(LOOKUP(2,1/($B$9:$B$61=$B62),$AM$9:$AM61),0))</f>
        <v/>
      </c>
      <c r="AK62" t="str">
        <f>IF($A62="","",IFERROR(LOOKUP(2,1/($B$9:$B$61=$B62),$AN$9:$AN61),0))</f>
        <v/>
      </c>
      <c r="AL62" s="51" t="str">
        <f t="shared" si="10"/>
        <v/>
      </c>
      <c r="AM62" s="51" t="str">
        <f t="shared" si="11"/>
        <v/>
      </c>
      <c r="AN62" t="str">
        <f t="shared" si="12"/>
        <v/>
      </c>
      <c r="AO62" s="50" t="str">
        <f>IF($A62="","",IFERROR(LOOKUP(2,1/($B$9:$B$61=$B62),$AO$9:$AO61),0)+IF($F62="sell_put",$I62*$AE62*$D62,IF($F62="roll",IF($AG62="put",($I62-IF($AF62&gt;0,INDEX($AH$9:$AH$61,$AF62),0))*$AE62*$D62,0),IF(AND(OR($F62="buy_to_close",$F62="expire",$F62="roll",$F62="assignment",$F62="called_away"),$F62&lt;&gt;"roll",$AG62="put"),-IF($AF62&gt;0,INDEX($AH$9:$AH$61,$AF62),0)*$AE62*$D62,0))))</f>
        <v/>
      </c>
      <c r="AP62" s="51" t="str">
        <f>IF($A62="","",IFERROR(LOOKUP(2,1/($B$9:$B$61=$B62),$AP$9:$AP61),0)+IF($F62="sell_put",$AE62*$D62,IF(AND(OR($F62="buy_to_close",$F62="expire",$F62="roll",$F62="assignment",$F62="called_away"),$F62&lt;&gt;"roll",$AG62="put"),-$AE62*$D62,0)))</f>
        <v/>
      </c>
      <c r="AQ62" s="51" t="str">
        <f>IF($A62="","",IFERROR(LOOKUP(2,1/($B$9:$B$61=$B62),$AQ$9:$AQ61),0)+IF(OR($F62="sell_put",$F62="sell_call"),$AE62,0)-IF(AND(OR($F62="buy_to_close",$F62="expire",$F62="roll",$F62="assignment",$F62="called_away"),$F62&lt;&gt;"roll"),$AE62,0))</f>
        <v/>
      </c>
      <c r="AR62" t="str">
        <f t="shared" si="13"/>
        <v/>
      </c>
      <c r="AS62" s="50" t="str">
        <f t="shared" si="14"/>
        <v/>
      </c>
      <c r="AT62" s="50" t="str">
        <f>IF($A62="","",MAX(IF($T62=IFERROR(LOOKUP(2,1/($B$9:$B$61=$B62),$T$9:$T61),0),IFERROR(LOOKUP(2,1/($B$9:$B$61=$B62),$AT$9:$AT61),0),0),$AS62))</f>
        <v/>
      </c>
      <c r="AU62" t="str">
        <f t="shared" si="15"/>
        <v/>
      </c>
      <c r="AV62" s="51">
        <f>IF($AU62="",0,IF(AND(IFERROR(LOOKUP(2,1/($B$9:$B$61=$B62),$AR$9:$AR61),1),NOT(AND(OR($F62="dividend",$F62="fee"),IFERROR(LOOKUP(2,1/($B$9:$B$61=$B62),$T$9:$T61),0)&gt;0))),ROW(),0))</f>
        <v>0</v>
      </c>
      <c r="AW62">
        <f>IF($A62="",0,IF($AV62&gt;0,MAX($AW$9:$AW$61)+1,MAX($AW$9:$AW$61)))</f>
        <v>0</v>
      </c>
      <c r="AX62">
        <f>IF($AU62="",0,IF(AND($AR62,OR(NOT(IFERROR(LOOKUP(2,1/($B$9:$B$61=$B62),$AR$9:$AR61),1)),IFERROR(LOOKUP(2,1/($B$9:$B$61=$B62),$T$9:$T61),0)=0)),ROW(),0))</f>
        <v>0</v>
      </c>
      <c r="AY62" t="str">
        <f t="shared" si="16"/>
        <v/>
      </c>
    </row>
    <row r="63" spans="1:51" ht="15" x14ac:dyDescent="0.25">
      <c r="A63" s="41" t="str">
        <f>IF(Trades!$A63="","",Trades!O63)</f>
        <v/>
      </c>
      <c r="B63" s="41" t="str">
        <f>IF(Trades!$A63="","",Trades!B63)</f>
        <v/>
      </c>
      <c r="C63" s="41" t="str">
        <f>IF(Trades!$A63="","",Trades!C63)</f>
        <v/>
      </c>
      <c r="D63" s="42" t="str">
        <f>IF(Trades!$A63="","",IF(Trades!$L63&gt;0,Trades!$L63,Trades!$C$6))</f>
        <v/>
      </c>
      <c r="E63" s="43" t="str">
        <f>IF(Trades!$A63="","",Trades!A63)</f>
        <v/>
      </c>
      <c r="F63" s="41" t="str">
        <f>IF(Trades!$A63="","",IFERROR(INDEX(Trades!$V$2:$V$14,MATCH(Trades!$E63,Trades!$U$2:$U$14,0)),""))</f>
        <v/>
      </c>
      <c r="G63" s="41" t="str">
        <f>IF(Trades!$A63="","",Trades!N63)</f>
        <v/>
      </c>
      <c r="H63" s="42" t="str">
        <f>IF(Trades!$A63="","",Trades!F63)</f>
        <v/>
      </c>
      <c r="I63" s="44" t="str">
        <f>IF(Trades!$A63="","",Trades!G63)</f>
        <v/>
      </c>
      <c r="J63" s="44" t="str">
        <f>IF(Trades!$A63="","",Trades!I63)</f>
        <v/>
      </c>
      <c r="K63" s="44" t="str">
        <f>IF(Trades!$A63="","",Trades!Q63)</f>
        <v/>
      </c>
      <c r="L63" s="42" t="str">
        <f>IF(Trades!$A63="","",Trades!F63)</f>
        <v/>
      </c>
      <c r="M63" s="44" t="str">
        <f>IF(Trades!$A63="","",Trades!M63)</f>
        <v/>
      </c>
      <c r="N63" s="44" t="str">
        <f>IF(Trades!$A63="","",Trades!R63)</f>
        <v/>
      </c>
      <c r="O63" s="44" t="str">
        <f>IF(Trades!$A63="","",Trades!J63)</f>
        <v/>
      </c>
      <c r="P63" s="43" t="str">
        <f>IF(Trades!$A63="","",Trades!H63)</f>
        <v/>
      </c>
      <c r="Q63" s="41" t="str">
        <f>IF(Trades!$A63="","",Trades!P63)</f>
        <v/>
      </c>
      <c r="R63" s="45" t="str">
        <f t="shared" si="0"/>
        <v/>
      </c>
      <c r="S63" s="45" t="str">
        <f t="shared" si="1"/>
        <v/>
      </c>
      <c r="T63" s="46" t="str">
        <f>IF(OR($A63="",$B63=""),"",IF(AND(IFERROR(LOOKUP(2,1/($B$9:$B$62=$B63),$AR$9:$AR62),1),NOT(AND(OR($F63="dividend",$F63="fee"),IFERROR(LOOKUP(2,1/($B$9:$B$62=$B63),$T$9:$T62),0)&gt;0))),IFERROR(LOOKUP(2,1/($B$9:$B$62=$B63),$T$9:$T62),0)+1,IFERROR(LOOKUP(2,1/($B$9:$B$62=$B63),$T$9:$T62),0)))</f>
        <v/>
      </c>
      <c r="U63" s="47" t="str">
        <f t="shared" si="2"/>
        <v/>
      </c>
      <c r="V63" s="47" t="str">
        <f>IF($A63="","",IF(OR($B63="",$C63="",$D63="",$E63="",$F63=""),"Missing required field",IF(COUNTIFS($A$9:$A63,$A63,$B$9:$B63,$B63)&gt;1,"Duplicate event ID",IF(AND($E63&lt;&gt;IFERROR(LOOKUP(2,1/($B$9:$B$62=$B63),$E$9:$E62),0),IFERROR(LOOKUP(2,1/($B$9:$B$62=$B63),$E$9:$E62),0)&gt;$E63),"Date out of order",IF(AND(OR($F63="buy_to_close",$F63="expire",$F63="roll",$F63="assignment",$F63="called_away"),$AF63=0),"Unknown lot",IF(OR(AND($F63="assignment",$AF63&gt;0,IF($AF63&gt;0,INDEX($AG$9:$AG$62,$AF63),"")&lt;&gt;"put"),AND($F63="called_away",$AF63&gt;0,IF($AF63&gt;0,INDEX($AG$9:$AG$62,$AF63),"")&lt;&gt;"call")),"Wrong option leg",IF(OR(AND(OR($F63="sell_put",$F63="sell_call"),OR($H63&lt;=0,$I63&lt;=0,$J63&lt;0)),AND(OR($F63="buy_to_close",$F63="expire",$F63="assignment",$F63="called_away"),OR($H63&lt;=0,$J63&lt;0)),AND($F63="roll",OR($H63&lt;=0,$I63&lt;=0,$J63&lt;0,$K63&lt;0)),AND(OR($F63="buy_shares",$F63="sell_shares"),OR($L63&lt;=0,$M63&lt;0)),AND(OR($F63="dividend",$F63="fee"),$N63&lt;0)),"Invalid value",IF(AND(OR($F63="sell_shares",$F63="called_away"),$AL63&lt;IF($F63="called_away",$AE63*$D63,$L63)),"Insufficient shares (capped)",IF(AND(OR($F63="buy_to_close",$F63="expire",$F63="roll",$F63="assignment",$F63="called_away"),$AF63&gt;0,$H63&gt;IF($AF63&gt;0,MAX(0,INDEX($AI$9:$AI$62,$AF63)-SUMIFS($AE$9:$AE$62,$G$9:$G$62,$G63,$B$9:$B$62,$B63)),0)),"Close quantity capped","OK")))))))))</f>
        <v/>
      </c>
      <c r="W63" s="48" t="str">
        <f t="shared" si="3"/>
        <v/>
      </c>
      <c r="X63" s="49" t="str">
        <f t="shared" si="4"/>
        <v/>
      </c>
      <c r="Y63" s="50" t="str">
        <f t="shared" si="5"/>
        <v/>
      </c>
      <c r="Z63" s="50" t="str">
        <f t="shared" si="6"/>
        <v/>
      </c>
      <c r="AA63" s="50" t="str">
        <f t="shared" si="7"/>
        <v/>
      </c>
      <c r="AB63" s="50" t="str">
        <f t="shared" si="8"/>
        <v/>
      </c>
      <c r="AC63" s="50" t="str">
        <f>IF($A63="","",IF($F63="assignment",IF($AF63&gt;0,INDEX($AH$9:$AH$62,$AF63),0)*$AE63*$D63,IF($F63="buy_shares",$M63*$AL63,0)))</f>
        <v/>
      </c>
      <c r="AD63" s="50" t="str">
        <f>IF($A63="","",IF($F63="called_away",IF($AF63&gt;0,INDEX($AH$9:$AH$62,$AF63),0)*$AL63,IF($F63="sell_shares",$M63*$AL63,0)))</f>
        <v/>
      </c>
      <c r="AE63" s="51" t="str">
        <f>IF($A63="","",IF(OR($F63="sell_put",$F63="sell_call"),IF(AND($H63&gt;0,$I63&gt;0,$J63&gt;=0),$H63,0),IF(OR($F63="buy_to_close",$F63="expire",$F63="roll",$F63="assignment",$F63="called_away"),IF(AND($AF63&gt;0,$H63&gt;0,IF($F63="assignment",IF($AF63&gt;0,INDEX($AG$9:$AG$62,$AF63),"")="put",TRUE),IF($F63="called_away",IF($AF63&gt;0,INDEX($AG$9:$AG$62,$AF63),"")="call",TRUE)),MIN($H63,IF($AF63&gt;0,MAX(0,INDEX($AI$9:$AI$62,$AF63)-SUMIFS($AE$9:$AE$62,$G$9:$G$62,$G63,$B$9:$B$62,$B63)),0)),0),0)))</f>
        <v/>
      </c>
      <c r="AF63" t="str">
        <f>IF($A63="","",IFERROR(MATCH(LEN($B63)&amp;":"&amp;$B63&amp;$G63,$AY$9:$AY$62,0),0))</f>
        <v/>
      </c>
      <c r="AG63" t="str">
        <f>IF($A63="","",IF($F63="sell_put","put",IF($F63="sell_call","call",IF($F63="roll",IF($AF63&gt;0,IF($AF63&gt;0,INDEX($AG$9:$AG$62,$AF63),""),""),IF($AF63&gt;0,IF($AF63&gt;0,INDEX($AG$9:$AG$62,$AF63),""),"")))))</f>
        <v/>
      </c>
      <c r="AH63" t="str">
        <f>IF($A63="","",IF(OR($F63="sell_put",$F63="sell_call",$F63="roll"),$I63,IF($AF63&gt;0,IF($AF63&gt;0,INDEX($AH$9:$AH$62,$AF63),0),0)))</f>
        <v/>
      </c>
      <c r="AI63" s="51" t="str">
        <f t="shared" si="9"/>
        <v/>
      </c>
      <c r="AJ63" s="51" t="str">
        <f>IF($A63="","",IFERROR(LOOKUP(2,1/($B$9:$B$62=$B63),$AM$9:$AM62),0))</f>
        <v/>
      </c>
      <c r="AK63" t="str">
        <f>IF($A63="","",IFERROR(LOOKUP(2,1/($B$9:$B$62=$B63),$AN$9:$AN62),0))</f>
        <v/>
      </c>
      <c r="AL63" s="51" t="str">
        <f t="shared" si="10"/>
        <v/>
      </c>
      <c r="AM63" s="51" t="str">
        <f t="shared" si="11"/>
        <v/>
      </c>
      <c r="AN63" t="str">
        <f t="shared" si="12"/>
        <v/>
      </c>
      <c r="AO63" s="50" t="str">
        <f>IF($A63="","",IFERROR(LOOKUP(2,1/($B$9:$B$62=$B63),$AO$9:$AO62),0)+IF($F63="sell_put",$I63*$AE63*$D63,IF($F63="roll",IF($AG63="put",($I63-IF($AF63&gt;0,INDEX($AH$9:$AH$62,$AF63),0))*$AE63*$D63,0),IF(AND(OR($F63="buy_to_close",$F63="expire",$F63="roll",$F63="assignment",$F63="called_away"),$F63&lt;&gt;"roll",$AG63="put"),-IF($AF63&gt;0,INDEX($AH$9:$AH$62,$AF63),0)*$AE63*$D63,0))))</f>
        <v/>
      </c>
      <c r="AP63" s="51" t="str">
        <f>IF($A63="","",IFERROR(LOOKUP(2,1/($B$9:$B$62=$B63),$AP$9:$AP62),0)+IF($F63="sell_put",$AE63*$D63,IF(AND(OR($F63="buy_to_close",$F63="expire",$F63="roll",$F63="assignment",$F63="called_away"),$F63&lt;&gt;"roll",$AG63="put"),-$AE63*$D63,0)))</f>
        <v/>
      </c>
      <c r="AQ63" s="51" t="str">
        <f>IF($A63="","",IFERROR(LOOKUP(2,1/($B$9:$B$62=$B63),$AQ$9:$AQ62),0)+IF(OR($F63="sell_put",$F63="sell_call"),$AE63,0)-IF(AND(OR($F63="buy_to_close",$F63="expire",$F63="roll",$F63="assignment",$F63="called_away"),$F63&lt;&gt;"roll"),$AE63,0))</f>
        <v/>
      </c>
      <c r="AR63" t="str">
        <f t="shared" si="13"/>
        <v/>
      </c>
      <c r="AS63" s="50" t="str">
        <f t="shared" si="14"/>
        <v/>
      </c>
      <c r="AT63" s="50" t="str">
        <f>IF($A63="","",MAX(IF($T63=IFERROR(LOOKUP(2,1/($B$9:$B$62=$B63),$T$9:$T62),0),IFERROR(LOOKUP(2,1/($B$9:$B$62=$B63),$AT$9:$AT62),0),0),$AS63))</f>
        <v/>
      </c>
      <c r="AU63" t="str">
        <f t="shared" si="15"/>
        <v/>
      </c>
      <c r="AV63" s="51">
        <f>IF($AU63="",0,IF(AND(IFERROR(LOOKUP(2,1/($B$9:$B$62=$B63),$AR$9:$AR62),1),NOT(AND(OR($F63="dividend",$F63="fee"),IFERROR(LOOKUP(2,1/($B$9:$B$62=$B63),$T$9:$T62),0)&gt;0))),ROW(),0))</f>
        <v>0</v>
      </c>
      <c r="AW63">
        <f>IF($A63="",0,IF($AV63&gt;0,MAX($AW$9:$AW$62)+1,MAX($AW$9:$AW$62)))</f>
        <v>0</v>
      </c>
      <c r="AX63">
        <f>IF($AU63="",0,IF(AND($AR63,OR(NOT(IFERROR(LOOKUP(2,1/($B$9:$B$62=$B63),$AR$9:$AR62),1)),IFERROR(LOOKUP(2,1/($B$9:$B$62=$B63),$T$9:$T62),0)=0)),ROW(),0))</f>
        <v>0</v>
      </c>
      <c r="AY63" t="str">
        <f t="shared" si="16"/>
        <v/>
      </c>
    </row>
    <row r="64" spans="1:51" ht="15" x14ac:dyDescent="0.25">
      <c r="A64" s="52" t="str">
        <f>IF(Trades!$A64="","",Trades!O64)</f>
        <v/>
      </c>
      <c r="B64" s="52" t="str">
        <f>IF(Trades!$A64="","",Trades!B64)</f>
        <v/>
      </c>
      <c r="C64" s="52" t="str">
        <f>IF(Trades!$A64="","",Trades!C64)</f>
        <v/>
      </c>
      <c r="D64" s="53" t="str">
        <f>IF(Trades!$A64="","",IF(Trades!$L64&gt;0,Trades!$L64,Trades!$C$6))</f>
        <v/>
      </c>
      <c r="E64" s="54" t="str">
        <f>IF(Trades!$A64="","",Trades!A64)</f>
        <v/>
      </c>
      <c r="F64" s="52" t="str">
        <f>IF(Trades!$A64="","",IFERROR(INDEX(Trades!$V$2:$V$14,MATCH(Trades!$E64,Trades!$U$2:$U$14,0)),""))</f>
        <v/>
      </c>
      <c r="G64" s="52" t="str">
        <f>IF(Trades!$A64="","",Trades!N64)</f>
        <v/>
      </c>
      <c r="H64" s="53" t="str">
        <f>IF(Trades!$A64="","",Trades!F64)</f>
        <v/>
      </c>
      <c r="I64" s="55" t="str">
        <f>IF(Trades!$A64="","",Trades!G64)</f>
        <v/>
      </c>
      <c r="J64" s="55" t="str">
        <f>IF(Trades!$A64="","",Trades!I64)</f>
        <v/>
      </c>
      <c r="K64" s="55" t="str">
        <f>IF(Trades!$A64="","",Trades!Q64)</f>
        <v/>
      </c>
      <c r="L64" s="53" t="str">
        <f>IF(Trades!$A64="","",Trades!F64)</f>
        <v/>
      </c>
      <c r="M64" s="55" t="str">
        <f>IF(Trades!$A64="","",Trades!M64)</f>
        <v/>
      </c>
      <c r="N64" s="55" t="str">
        <f>IF(Trades!$A64="","",Trades!R64)</f>
        <v/>
      </c>
      <c r="O64" s="55" t="str">
        <f>IF(Trades!$A64="","",Trades!J64)</f>
        <v/>
      </c>
      <c r="P64" s="54" t="str">
        <f>IF(Trades!$A64="","",Trades!H64)</f>
        <v/>
      </c>
      <c r="Q64" s="52" t="str">
        <f>IF(Trades!$A64="","",Trades!P64)</f>
        <v/>
      </c>
      <c r="R64" s="56" t="str">
        <f t="shared" si="0"/>
        <v/>
      </c>
      <c r="S64" s="56" t="str">
        <f t="shared" si="1"/>
        <v/>
      </c>
      <c r="T64" s="57" t="str">
        <f>IF(OR($A64="",$B64=""),"",IF(AND(IFERROR(LOOKUP(2,1/($B$9:$B$63=$B64),$AR$9:$AR63),1),NOT(AND(OR($F64="dividend",$F64="fee"),IFERROR(LOOKUP(2,1/($B$9:$B$63=$B64),$T$9:$T63),0)&gt;0))),IFERROR(LOOKUP(2,1/($B$9:$B$63=$B64),$T$9:$T63),0)+1,IFERROR(LOOKUP(2,1/($B$9:$B$63=$B64),$T$9:$T63),0)))</f>
        <v/>
      </c>
      <c r="U64" s="58" t="str">
        <f t="shared" si="2"/>
        <v/>
      </c>
      <c r="V64" s="58" t="str">
        <f>IF($A64="","",IF(OR($B64="",$C64="",$D64="",$E64="",$F64=""),"Missing required field",IF(COUNTIFS($A$9:$A64,$A64,$B$9:$B64,$B64)&gt;1,"Duplicate event ID",IF(AND($E64&lt;&gt;IFERROR(LOOKUP(2,1/($B$9:$B$63=$B64),$E$9:$E63),0),IFERROR(LOOKUP(2,1/($B$9:$B$63=$B64),$E$9:$E63),0)&gt;$E64),"Date out of order",IF(AND(OR($F64="buy_to_close",$F64="expire",$F64="roll",$F64="assignment",$F64="called_away"),$AF64=0),"Unknown lot",IF(OR(AND($F64="assignment",$AF64&gt;0,IF($AF64&gt;0,INDEX($AG$9:$AG$63,$AF64),"")&lt;&gt;"put"),AND($F64="called_away",$AF64&gt;0,IF($AF64&gt;0,INDEX($AG$9:$AG$63,$AF64),"")&lt;&gt;"call")),"Wrong option leg",IF(OR(AND(OR($F64="sell_put",$F64="sell_call"),OR($H64&lt;=0,$I64&lt;=0,$J64&lt;0)),AND(OR($F64="buy_to_close",$F64="expire",$F64="assignment",$F64="called_away"),OR($H64&lt;=0,$J64&lt;0)),AND($F64="roll",OR($H64&lt;=0,$I64&lt;=0,$J64&lt;0,$K64&lt;0)),AND(OR($F64="buy_shares",$F64="sell_shares"),OR($L64&lt;=0,$M64&lt;0)),AND(OR($F64="dividend",$F64="fee"),$N64&lt;0)),"Invalid value",IF(AND(OR($F64="sell_shares",$F64="called_away"),$AL64&lt;IF($F64="called_away",$AE64*$D64,$L64)),"Insufficient shares (capped)",IF(AND(OR($F64="buy_to_close",$F64="expire",$F64="roll",$F64="assignment",$F64="called_away"),$AF64&gt;0,$H64&gt;IF($AF64&gt;0,MAX(0,INDEX($AI$9:$AI$63,$AF64)-SUMIFS($AE$9:$AE$63,$G$9:$G$63,$G64,$B$9:$B$63,$B64)),0)),"Close quantity capped","OK")))))))))</f>
        <v/>
      </c>
      <c r="W64" s="59" t="str">
        <f t="shared" si="3"/>
        <v/>
      </c>
      <c r="X64" s="60" t="str">
        <f t="shared" si="4"/>
        <v/>
      </c>
      <c r="Y64" s="50" t="str">
        <f t="shared" si="5"/>
        <v/>
      </c>
      <c r="Z64" s="50" t="str">
        <f t="shared" si="6"/>
        <v/>
      </c>
      <c r="AA64" s="50" t="str">
        <f t="shared" si="7"/>
        <v/>
      </c>
      <c r="AB64" s="50" t="str">
        <f t="shared" si="8"/>
        <v/>
      </c>
      <c r="AC64" s="50" t="str">
        <f>IF($A64="","",IF($F64="assignment",IF($AF64&gt;0,INDEX($AH$9:$AH$63,$AF64),0)*$AE64*$D64,IF($F64="buy_shares",$M64*$AL64,0)))</f>
        <v/>
      </c>
      <c r="AD64" s="50" t="str">
        <f>IF($A64="","",IF($F64="called_away",IF($AF64&gt;0,INDEX($AH$9:$AH$63,$AF64),0)*$AL64,IF($F64="sell_shares",$M64*$AL64,0)))</f>
        <v/>
      </c>
      <c r="AE64" s="51" t="str">
        <f>IF($A64="","",IF(OR($F64="sell_put",$F64="sell_call"),IF(AND($H64&gt;0,$I64&gt;0,$J64&gt;=0),$H64,0),IF(OR($F64="buy_to_close",$F64="expire",$F64="roll",$F64="assignment",$F64="called_away"),IF(AND($AF64&gt;0,$H64&gt;0,IF($F64="assignment",IF($AF64&gt;0,INDEX($AG$9:$AG$63,$AF64),"")="put",TRUE),IF($F64="called_away",IF($AF64&gt;0,INDEX($AG$9:$AG$63,$AF64),"")="call",TRUE)),MIN($H64,IF($AF64&gt;0,MAX(0,INDEX($AI$9:$AI$63,$AF64)-SUMIFS($AE$9:$AE$63,$G$9:$G$63,$G64,$B$9:$B$63,$B64)),0)),0),0)))</f>
        <v/>
      </c>
      <c r="AF64" t="str">
        <f>IF($A64="","",IFERROR(MATCH(LEN($B64)&amp;":"&amp;$B64&amp;$G64,$AY$9:$AY$63,0),0))</f>
        <v/>
      </c>
      <c r="AG64" t="str">
        <f>IF($A64="","",IF($F64="sell_put","put",IF($F64="sell_call","call",IF($F64="roll",IF($AF64&gt;0,IF($AF64&gt;0,INDEX($AG$9:$AG$63,$AF64),""),""),IF($AF64&gt;0,IF($AF64&gt;0,INDEX($AG$9:$AG$63,$AF64),""),"")))))</f>
        <v/>
      </c>
      <c r="AH64" t="str">
        <f>IF($A64="","",IF(OR($F64="sell_put",$F64="sell_call",$F64="roll"),$I64,IF($AF64&gt;0,IF($AF64&gt;0,INDEX($AH$9:$AH$63,$AF64),0),0)))</f>
        <v/>
      </c>
      <c r="AI64" s="51" t="str">
        <f t="shared" si="9"/>
        <v/>
      </c>
      <c r="AJ64" s="51" t="str">
        <f>IF($A64="","",IFERROR(LOOKUP(2,1/($B$9:$B$63=$B64),$AM$9:$AM63),0))</f>
        <v/>
      </c>
      <c r="AK64" t="str">
        <f>IF($A64="","",IFERROR(LOOKUP(2,1/($B$9:$B$63=$B64),$AN$9:$AN63),0))</f>
        <v/>
      </c>
      <c r="AL64" s="51" t="str">
        <f t="shared" si="10"/>
        <v/>
      </c>
      <c r="AM64" s="51" t="str">
        <f t="shared" si="11"/>
        <v/>
      </c>
      <c r="AN64" t="str">
        <f t="shared" si="12"/>
        <v/>
      </c>
      <c r="AO64" s="50" t="str">
        <f>IF($A64="","",IFERROR(LOOKUP(2,1/($B$9:$B$63=$B64),$AO$9:$AO63),0)+IF($F64="sell_put",$I64*$AE64*$D64,IF($F64="roll",IF($AG64="put",($I64-IF($AF64&gt;0,INDEX($AH$9:$AH$63,$AF64),0))*$AE64*$D64,0),IF(AND(OR($F64="buy_to_close",$F64="expire",$F64="roll",$F64="assignment",$F64="called_away"),$F64&lt;&gt;"roll",$AG64="put"),-IF($AF64&gt;0,INDEX($AH$9:$AH$63,$AF64),0)*$AE64*$D64,0))))</f>
        <v/>
      </c>
      <c r="AP64" s="51" t="str">
        <f>IF($A64="","",IFERROR(LOOKUP(2,1/($B$9:$B$63=$B64),$AP$9:$AP63),0)+IF($F64="sell_put",$AE64*$D64,IF(AND(OR($F64="buy_to_close",$F64="expire",$F64="roll",$F64="assignment",$F64="called_away"),$F64&lt;&gt;"roll",$AG64="put"),-$AE64*$D64,0)))</f>
        <v/>
      </c>
      <c r="AQ64" s="51" t="str">
        <f>IF($A64="","",IFERROR(LOOKUP(2,1/($B$9:$B$63=$B64),$AQ$9:$AQ63),0)+IF(OR($F64="sell_put",$F64="sell_call"),$AE64,0)-IF(AND(OR($F64="buy_to_close",$F64="expire",$F64="roll",$F64="assignment",$F64="called_away"),$F64&lt;&gt;"roll"),$AE64,0))</f>
        <v/>
      </c>
      <c r="AR64" t="str">
        <f t="shared" si="13"/>
        <v/>
      </c>
      <c r="AS64" s="50" t="str">
        <f t="shared" si="14"/>
        <v/>
      </c>
      <c r="AT64" s="50" t="str">
        <f>IF($A64="","",MAX(IF($T64=IFERROR(LOOKUP(2,1/($B$9:$B$63=$B64),$T$9:$T63),0),IFERROR(LOOKUP(2,1/($B$9:$B$63=$B64),$AT$9:$AT63),0),0),$AS64))</f>
        <v/>
      </c>
      <c r="AU64" t="str">
        <f t="shared" si="15"/>
        <v/>
      </c>
      <c r="AV64" s="51">
        <f>IF($AU64="",0,IF(AND(IFERROR(LOOKUP(2,1/($B$9:$B$63=$B64),$AR$9:$AR63),1),NOT(AND(OR($F64="dividend",$F64="fee"),IFERROR(LOOKUP(2,1/($B$9:$B$63=$B64),$T$9:$T63),0)&gt;0))),ROW(),0))</f>
        <v>0</v>
      </c>
      <c r="AW64">
        <f>IF($A64="",0,IF($AV64&gt;0,MAX($AW$9:$AW$63)+1,MAX($AW$9:$AW$63)))</f>
        <v>0</v>
      </c>
      <c r="AX64">
        <f>IF($AU64="",0,IF(AND($AR64,OR(NOT(IFERROR(LOOKUP(2,1/($B$9:$B$63=$B64),$AR$9:$AR63),1)),IFERROR(LOOKUP(2,1/($B$9:$B$63=$B64),$T$9:$T63),0)=0)),ROW(),0))</f>
        <v>0</v>
      </c>
      <c r="AY64" t="str">
        <f t="shared" si="16"/>
        <v/>
      </c>
    </row>
    <row r="65" spans="1:51" ht="15" x14ac:dyDescent="0.25">
      <c r="A65" s="41" t="str">
        <f>IF(Trades!$A65="","",Trades!O65)</f>
        <v/>
      </c>
      <c r="B65" s="41" t="str">
        <f>IF(Trades!$A65="","",Trades!B65)</f>
        <v/>
      </c>
      <c r="C65" s="41" t="str">
        <f>IF(Trades!$A65="","",Trades!C65)</f>
        <v/>
      </c>
      <c r="D65" s="42" t="str">
        <f>IF(Trades!$A65="","",IF(Trades!$L65&gt;0,Trades!$L65,Trades!$C$6))</f>
        <v/>
      </c>
      <c r="E65" s="43" t="str">
        <f>IF(Trades!$A65="","",Trades!A65)</f>
        <v/>
      </c>
      <c r="F65" s="41" t="str">
        <f>IF(Trades!$A65="","",IFERROR(INDEX(Trades!$V$2:$V$14,MATCH(Trades!$E65,Trades!$U$2:$U$14,0)),""))</f>
        <v/>
      </c>
      <c r="G65" s="41" t="str">
        <f>IF(Trades!$A65="","",Trades!N65)</f>
        <v/>
      </c>
      <c r="H65" s="42" t="str">
        <f>IF(Trades!$A65="","",Trades!F65)</f>
        <v/>
      </c>
      <c r="I65" s="44" t="str">
        <f>IF(Trades!$A65="","",Trades!G65)</f>
        <v/>
      </c>
      <c r="J65" s="44" t="str">
        <f>IF(Trades!$A65="","",Trades!I65)</f>
        <v/>
      </c>
      <c r="K65" s="44" t="str">
        <f>IF(Trades!$A65="","",Trades!Q65)</f>
        <v/>
      </c>
      <c r="L65" s="42" t="str">
        <f>IF(Trades!$A65="","",Trades!F65)</f>
        <v/>
      </c>
      <c r="M65" s="44" t="str">
        <f>IF(Trades!$A65="","",Trades!M65)</f>
        <v/>
      </c>
      <c r="N65" s="44" t="str">
        <f>IF(Trades!$A65="","",Trades!R65)</f>
        <v/>
      </c>
      <c r="O65" s="44" t="str">
        <f>IF(Trades!$A65="","",Trades!J65)</f>
        <v/>
      </c>
      <c r="P65" s="43" t="str">
        <f>IF(Trades!$A65="","",Trades!H65)</f>
        <v/>
      </c>
      <c r="Q65" s="41" t="str">
        <f>IF(Trades!$A65="","",Trades!P65)</f>
        <v/>
      </c>
      <c r="R65" s="45" t="str">
        <f t="shared" si="0"/>
        <v/>
      </c>
      <c r="S65" s="45" t="str">
        <f t="shared" si="1"/>
        <v/>
      </c>
      <c r="T65" s="46" t="str">
        <f>IF(OR($A65="",$B65=""),"",IF(AND(IFERROR(LOOKUP(2,1/($B$9:$B$64=$B65),$AR$9:$AR64),1),NOT(AND(OR($F65="dividend",$F65="fee"),IFERROR(LOOKUP(2,1/($B$9:$B$64=$B65),$T$9:$T64),0)&gt;0))),IFERROR(LOOKUP(2,1/($B$9:$B$64=$B65),$T$9:$T64),0)+1,IFERROR(LOOKUP(2,1/($B$9:$B$64=$B65),$T$9:$T64),0)))</f>
        <v/>
      </c>
      <c r="U65" s="47" t="str">
        <f t="shared" si="2"/>
        <v/>
      </c>
      <c r="V65" s="47" t="str">
        <f>IF($A65="","",IF(OR($B65="",$C65="",$D65="",$E65="",$F65=""),"Missing required field",IF(COUNTIFS($A$9:$A65,$A65,$B$9:$B65,$B65)&gt;1,"Duplicate event ID",IF(AND($E65&lt;&gt;IFERROR(LOOKUP(2,1/($B$9:$B$64=$B65),$E$9:$E64),0),IFERROR(LOOKUP(2,1/($B$9:$B$64=$B65),$E$9:$E64),0)&gt;$E65),"Date out of order",IF(AND(OR($F65="buy_to_close",$F65="expire",$F65="roll",$F65="assignment",$F65="called_away"),$AF65=0),"Unknown lot",IF(OR(AND($F65="assignment",$AF65&gt;0,IF($AF65&gt;0,INDEX($AG$9:$AG$64,$AF65),"")&lt;&gt;"put"),AND($F65="called_away",$AF65&gt;0,IF($AF65&gt;0,INDEX($AG$9:$AG$64,$AF65),"")&lt;&gt;"call")),"Wrong option leg",IF(OR(AND(OR($F65="sell_put",$F65="sell_call"),OR($H65&lt;=0,$I65&lt;=0,$J65&lt;0)),AND(OR($F65="buy_to_close",$F65="expire",$F65="assignment",$F65="called_away"),OR($H65&lt;=0,$J65&lt;0)),AND($F65="roll",OR($H65&lt;=0,$I65&lt;=0,$J65&lt;0,$K65&lt;0)),AND(OR($F65="buy_shares",$F65="sell_shares"),OR($L65&lt;=0,$M65&lt;0)),AND(OR($F65="dividend",$F65="fee"),$N65&lt;0)),"Invalid value",IF(AND(OR($F65="sell_shares",$F65="called_away"),$AL65&lt;IF($F65="called_away",$AE65*$D65,$L65)),"Insufficient shares (capped)",IF(AND(OR($F65="buy_to_close",$F65="expire",$F65="roll",$F65="assignment",$F65="called_away"),$AF65&gt;0,$H65&gt;IF($AF65&gt;0,MAX(0,INDEX($AI$9:$AI$64,$AF65)-SUMIFS($AE$9:$AE$64,$G$9:$G$64,$G65,$B$9:$B$64,$B65)),0)),"Close quantity capped","OK")))))))))</f>
        <v/>
      </c>
      <c r="W65" s="48" t="str">
        <f t="shared" si="3"/>
        <v/>
      </c>
      <c r="X65" s="49" t="str">
        <f t="shared" si="4"/>
        <v/>
      </c>
      <c r="Y65" s="50" t="str">
        <f t="shared" si="5"/>
        <v/>
      </c>
      <c r="Z65" s="50" t="str">
        <f t="shared" si="6"/>
        <v/>
      </c>
      <c r="AA65" s="50" t="str">
        <f t="shared" si="7"/>
        <v/>
      </c>
      <c r="AB65" s="50" t="str">
        <f t="shared" si="8"/>
        <v/>
      </c>
      <c r="AC65" s="50" t="str">
        <f>IF($A65="","",IF($F65="assignment",IF($AF65&gt;0,INDEX($AH$9:$AH$64,$AF65),0)*$AE65*$D65,IF($F65="buy_shares",$M65*$AL65,0)))</f>
        <v/>
      </c>
      <c r="AD65" s="50" t="str">
        <f>IF($A65="","",IF($F65="called_away",IF($AF65&gt;0,INDEX($AH$9:$AH$64,$AF65),0)*$AL65,IF($F65="sell_shares",$M65*$AL65,0)))</f>
        <v/>
      </c>
      <c r="AE65" s="51" t="str">
        <f>IF($A65="","",IF(OR($F65="sell_put",$F65="sell_call"),IF(AND($H65&gt;0,$I65&gt;0,$J65&gt;=0),$H65,0),IF(OR($F65="buy_to_close",$F65="expire",$F65="roll",$F65="assignment",$F65="called_away"),IF(AND($AF65&gt;0,$H65&gt;0,IF($F65="assignment",IF($AF65&gt;0,INDEX($AG$9:$AG$64,$AF65),"")="put",TRUE),IF($F65="called_away",IF($AF65&gt;0,INDEX($AG$9:$AG$64,$AF65),"")="call",TRUE)),MIN($H65,IF($AF65&gt;0,MAX(0,INDEX($AI$9:$AI$64,$AF65)-SUMIFS($AE$9:$AE$64,$G$9:$G$64,$G65,$B$9:$B$64,$B65)),0)),0),0)))</f>
        <v/>
      </c>
      <c r="AF65" t="str">
        <f>IF($A65="","",IFERROR(MATCH(LEN($B65)&amp;":"&amp;$B65&amp;$G65,$AY$9:$AY$64,0),0))</f>
        <v/>
      </c>
      <c r="AG65" t="str">
        <f>IF($A65="","",IF($F65="sell_put","put",IF($F65="sell_call","call",IF($F65="roll",IF($AF65&gt;0,IF($AF65&gt;0,INDEX($AG$9:$AG$64,$AF65),""),""),IF($AF65&gt;0,IF($AF65&gt;0,INDEX($AG$9:$AG$64,$AF65),""),"")))))</f>
        <v/>
      </c>
      <c r="AH65" t="str">
        <f>IF($A65="","",IF(OR($F65="sell_put",$F65="sell_call",$F65="roll"),$I65,IF($AF65&gt;0,IF($AF65&gt;0,INDEX($AH$9:$AH$64,$AF65),0),0)))</f>
        <v/>
      </c>
      <c r="AI65" s="51" t="str">
        <f t="shared" si="9"/>
        <v/>
      </c>
      <c r="AJ65" s="51" t="str">
        <f>IF($A65="","",IFERROR(LOOKUP(2,1/($B$9:$B$64=$B65),$AM$9:$AM64),0))</f>
        <v/>
      </c>
      <c r="AK65" t="str">
        <f>IF($A65="","",IFERROR(LOOKUP(2,1/($B$9:$B$64=$B65),$AN$9:$AN64),0))</f>
        <v/>
      </c>
      <c r="AL65" s="51" t="str">
        <f t="shared" si="10"/>
        <v/>
      </c>
      <c r="AM65" s="51" t="str">
        <f t="shared" si="11"/>
        <v/>
      </c>
      <c r="AN65" t="str">
        <f t="shared" si="12"/>
        <v/>
      </c>
      <c r="AO65" s="50" t="str">
        <f>IF($A65="","",IFERROR(LOOKUP(2,1/($B$9:$B$64=$B65),$AO$9:$AO64),0)+IF($F65="sell_put",$I65*$AE65*$D65,IF($F65="roll",IF($AG65="put",($I65-IF($AF65&gt;0,INDEX($AH$9:$AH$64,$AF65),0))*$AE65*$D65,0),IF(AND(OR($F65="buy_to_close",$F65="expire",$F65="roll",$F65="assignment",$F65="called_away"),$F65&lt;&gt;"roll",$AG65="put"),-IF($AF65&gt;0,INDEX($AH$9:$AH$64,$AF65),0)*$AE65*$D65,0))))</f>
        <v/>
      </c>
      <c r="AP65" s="51" t="str">
        <f>IF($A65="","",IFERROR(LOOKUP(2,1/($B$9:$B$64=$B65),$AP$9:$AP64),0)+IF($F65="sell_put",$AE65*$D65,IF(AND(OR($F65="buy_to_close",$F65="expire",$F65="roll",$F65="assignment",$F65="called_away"),$F65&lt;&gt;"roll",$AG65="put"),-$AE65*$D65,0)))</f>
        <v/>
      </c>
      <c r="AQ65" s="51" t="str">
        <f>IF($A65="","",IFERROR(LOOKUP(2,1/($B$9:$B$64=$B65),$AQ$9:$AQ64),0)+IF(OR($F65="sell_put",$F65="sell_call"),$AE65,0)-IF(AND(OR($F65="buy_to_close",$F65="expire",$F65="roll",$F65="assignment",$F65="called_away"),$F65&lt;&gt;"roll"),$AE65,0))</f>
        <v/>
      </c>
      <c r="AR65" t="str">
        <f t="shared" si="13"/>
        <v/>
      </c>
      <c r="AS65" s="50" t="str">
        <f t="shared" si="14"/>
        <v/>
      </c>
      <c r="AT65" s="50" t="str">
        <f>IF($A65="","",MAX(IF($T65=IFERROR(LOOKUP(2,1/($B$9:$B$64=$B65),$T$9:$T64),0),IFERROR(LOOKUP(2,1/($B$9:$B$64=$B65),$AT$9:$AT64),0),0),$AS65))</f>
        <v/>
      </c>
      <c r="AU65" t="str">
        <f t="shared" si="15"/>
        <v/>
      </c>
      <c r="AV65" s="51">
        <f>IF($AU65="",0,IF(AND(IFERROR(LOOKUP(2,1/($B$9:$B$64=$B65),$AR$9:$AR64),1),NOT(AND(OR($F65="dividend",$F65="fee"),IFERROR(LOOKUP(2,1/($B$9:$B$64=$B65),$T$9:$T64),0)&gt;0))),ROW(),0))</f>
        <v>0</v>
      </c>
      <c r="AW65">
        <f>IF($A65="",0,IF($AV65&gt;0,MAX($AW$9:$AW$64)+1,MAX($AW$9:$AW$64)))</f>
        <v>0</v>
      </c>
      <c r="AX65">
        <f>IF($AU65="",0,IF(AND($AR65,OR(NOT(IFERROR(LOOKUP(2,1/($B$9:$B$64=$B65),$AR$9:$AR64),1)),IFERROR(LOOKUP(2,1/($B$9:$B$64=$B65),$T$9:$T64),0)=0)),ROW(),0))</f>
        <v>0</v>
      </c>
      <c r="AY65" t="str">
        <f t="shared" si="16"/>
        <v/>
      </c>
    </row>
    <row r="66" spans="1:51" ht="15" x14ac:dyDescent="0.25">
      <c r="A66" s="52" t="str">
        <f>IF(Trades!$A66="","",Trades!O66)</f>
        <v/>
      </c>
      <c r="B66" s="52" t="str">
        <f>IF(Trades!$A66="","",Trades!B66)</f>
        <v/>
      </c>
      <c r="C66" s="52" t="str">
        <f>IF(Trades!$A66="","",Trades!C66)</f>
        <v/>
      </c>
      <c r="D66" s="53" t="str">
        <f>IF(Trades!$A66="","",IF(Trades!$L66&gt;0,Trades!$L66,Trades!$C$6))</f>
        <v/>
      </c>
      <c r="E66" s="54" t="str">
        <f>IF(Trades!$A66="","",Trades!A66)</f>
        <v/>
      </c>
      <c r="F66" s="52" t="str">
        <f>IF(Trades!$A66="","",IFERROR(INDEX(Trades!$V$2:$V$14,MATCH(Trades!$E66,Trades!$U$2:$U$14,0)),""))</f>
        <v/>
      </c>
      <c r="G66" s="52" t="str">
        <f>IF(Trades!$A66="","",Trades!N66)</f>
        <v/>
      </c>
      <c r="H66" s="53" t="str">
        <f>IF(Trades!$A66="","",Trades!F66)</f>
        <v/>
      </c>
      <c r="I66" s="55" t="str">
        <f>IF(Trades!$A66="","",Trades!G66)</f>
        <v/>
      </c>
      <c r="J66" s="55" t="str">
        <f>IF(Trades!$A66="","",Trades!I66)</f>
        <v/>
      </c>
      <c r="K66" s="55" t="str">
        <f>IF(Trades!$A66="","",Trades!Q66)</f>
        <v/>
      </c>
      <c r="L66" s="53" t="str">
        <f>IF(Trades!$A66="","",Trades!F66)</f>
        <v/>
      </c>
      <c r="M66" s="55" t="str">
        <f>IF(Trades!$A66="","",Trades!M66)</f>
        <v/>
      </c>
      <c r="N66" s="55" t="str">
        <f>IF(Trades!$A66="","",Trades!R66)</f>
        <v/>
      </c>
      <c r="O66" s="55" t="str">
        <f>IF(Trades!$A66="","",Trades!J66)</f>
        <v/>
      </c>
      <c r="P66" s="54" t="str">
        <f>IF(Trades!$A66="","",Trades!H66)</f>
        <v/>
      </c>
      <c r="Q66" s="52" t="str">
        <f>IF(Trades!$A66="","",Trades!P66)</f>
        <v/>
      </c>
      <c r="R66" s="56" t="str">
        <f t="shared" si="0"/>
        <v/>
      </c>
      <c r="S66" s="56" t="str">
        <f t="shared" si="1"/>
        <v/>
      </c>
      <c r="T66" s="57" t="str">
        <f>IF(OR($A66="",$B66=""),"",IF(AND(IFERROR(LOOKUP(2,1/($B$9:$B$65=$B66),$AR$9:$AR65),1),NOT(AND(OR($F66="dividend",$F66="fee"),IFERROR(LOOKUP(2,1/($B$9:$B$65=$B66),$T$9:$T65),0)&gt;0))),IFERROR(LOOKUP(2,1/($B$9:$B$65=$B66),$T$9:$T65),0)+1,IFERROR(LOOKUP(2,1/($B$9:$B$65=$B66),$T$9:$T65),0)))</f>
        <v/>
      </c>
      <c r="U66" s="58" t="str">
        <f t="shared" si="2"/>
        <v/>
      </c>
      <c r="V66" s="58" t="str">
        <f>IF($A66="","",IF(OR($B66="",$C66="",$D66="",$E66="",$F66=""),"Missing required field",IF(COUNTIFS($A$9:$A66,$A66,$B$9:$B66,$B66)&gt;1,"Duplicate event ID",IF(AND($E66&lt;&gt;IFERROR(LOOKUP(2,1/($B$9:$B$65=$B66),$E$9:$E65),0),IFERROR(LOOKUP(2,1/($B$9:$B$65=$B66),$E$9:$E65),0)&gt;$E66),"Date out of order",IF(AND(OR($F66="buy_to_close",$F66="expire",$F66="roll",$F66="assignment",$F66="called_away"),$AF66=0),"Unknown lot",IF(OR(AND($F66="assignment",$AF66&gt;0,IF($AF66&gt;0,INDEX($AG$9:$AG$65,$AF66),"")&lt;&gt;"put"),AND($F66="called_away",$AF66&gt;0,IF($AF66&gt;0,INDEX($AG$9:$AG$65,$AF66),"")&lt;&gt;"call")),"Wrong option leg",IF(OR(AND(OR($F66="sell_put",$F66="sell_call"),OR($H66&lt;=0,$I66&lt;=0,$J66&lt;0)),AND(OR($F66="buy_to_close",$F66="expire",$F66="assignment",$F66="called_away"),OR($H66&lt;=0,$J66&lt;0)),AND($F66="roll",OR($H66&lt;=0,$I66&lt;=0,$J66&lt;0,$K66&lt;0)),AND(OR($F66="buy_shares",$F66="sell_shares"),OR($L66&lt;=0,$M66&lt;0)),AND(OR($F66="dividend",$F66="fee"),$N66&lt;0)),"Invalid value",IF(AND(OR($F66="sell_shares",$F66="called_away"),$AL66&lt;IF($F66="called_away",$AE66*$D66,$L66)),"Insufficient shares (capped)",IF(AND(OR($F66="buy_to_close",$F66="expire",$F66="roll",$F66="assignment",$F66="called_away"),$AF66&gt;0,$H66&gt;IF($AF66&gt;0,MAX(0,INDEX($AI$9:$AI$65,$AF66)-SUMIFS($AE$9:$AE$65,$G$9:$G$65,$G66,$B$9:$B$65,$B66)),0)),"Close quantity capped","OK")))))))))</f>
        <v/>
      </c>
      <c r="W66" s="59" t="str">
        <f t="shared" si="3"/>
        <v/>
      </c>
      <c r="X66" s="60" t="str">
        <f t="shared" si="4"/>
        <v/>
      </c>
      <c r="Y66" s="50" t="str">
        <f t="shared" si="5"/>
        <v/>
      </c>
      <c r="Z66" s="50" t="str">
        <f t="shared" si="6"/>
        <v/>
      </c>
      <c r="AA66" s="50" t="str">
        <f t="shared" si="7"/>
        <v/>
      </c>
      <c r="AB66" s="50" t="str">
        <f t="shared" si="8"/>
        <v/>
      </c>
      <c r="AC66" s="50" t="str">
        <f>IF($A66="","",IF($F66="assignment",IF($AF66&gt;0,INDEX($AH$9:$AH$65,$AF66),0)*$AE66*$D66,IF($F66="buy_shares",$M66*$AL66,0)))</f>
        <v/>
      </c>
      <c r="AD66" s="50" t="str">
        <f>IF($A66="","",IF($F66="called_away",IF($AF66&gt;0,INDEX($AH$9:$AH$65,$AF66),0)*$AL66,IF($F66="sell_shares",$M66*$AL66,0)))</f>
        <v/>
      </c>
      <c r="AE66" s="51" t="str">
        <f>IF($A66="","",IF(OR($F66="sell_put",$F66="sell_call"),IF(AND($H66&gt;0,$I66&gt;0,$J66&gt;=0),$H66,0),IF(OR($F66="buy_to_close",$F66="expire",$F66="roll",$F66="assignment",$F66="called_away"),IF(AND($AF66&gt;0,$H66&gt;0,IF($F66="assignment",IF($AF66&gt;0,INDEX($AG$9:$AG$65,$AF66),"")="put",TRUE),IF($F66="called_away",IF($AF66&gt;0,INDEX($AG$9:$AG$65,$AF66),"")="call",TRUE)),MIN($H66,IF($AF66&gt;0,MAX(0,INDEX($AI$9:$AI$65,$AF66)-SUMIFS($AE$9:$AE$65,$G$9:$G$65,$G66,$B$9:$B$65,$B66)),0)),0),0)))</f>
        <v/>
      </c>
      <c r="AF66" t="str">
        <f>IF($A66="","",IFERROR(MATCH(LEN($B66)&amp;":"&amp;$B66&amp;$G66,$AY$9:$AY$65,0),0))</f>
        <v/>
      </c>
      <c r="AG66" t="str">
        <f>IF($A66="","",IF($F66="sell_put","put",IF($F66="sell_call","call",IF($F66="roll",IF($AF66&gt;0,IF($AF66&gt;0,INDEX($AG$9:$AG$65,$AF66),""),""),IF($AF66&gt;0,IF($AF66&gt;0,INDEX($AG$9:$AG$65,$AF66),""),"")))))</f>
        <v/>
      </c>
      <c r="AH66" t="str">
        <f>IF($A66="","",IF(OR($F66="sell_put",$F66="sell_call",$F66="roll"),$I66,IF($AF66&gt;0,IF($AF66&gt;0,INDEX($AH$9:$AH$65,$AF66),0),0)))</f>
        <v/>
      </c>
      <c r="AI66" s="51" t="str">
        <f t="shared" si="9"/>
        <v/>
      </c>
      <c r="AJ66" s="51" t="str">
        <f>IF($A66="","",IFERROR(LOOKUP(2,1/($B$9:$B$65=$B66),$AM$9:$AM65),0))</f>
        <v/>
      </c>
      <c r="AK66" t="str">
        <f>IF($A66="","",IFERROR(LOOKUP(2,1/($B$9:$B$65=$B66),$AN$9:$AN65),0))</f>
        <v/>
      </c>
      <c r="AL66" s="51" t="str">
        <f t="shared" si="10"/>
        <v/>
      </c>
      <c r="AM66" s="51" t="str">
        <f t="shared" si="11"/>
        <v/>
      </c>
      <c r="AN66" t="str">
        <f t="shared" si="12"/>
        <v/>
      </c>
      <c r="AO66" s="50" t="str">
        <f>IF($A66="","",IFERROR(LOOKUP(2,1/($B$9:$B$65=$B66),$AO$9:$AO65),0)+IF($F66="sell_put",$I66*$AE66*$D66,IF($F66="roll",IF($AG66="put",($I66-IF($AF66&gt;0,INDEX($AH$9:$AH$65,$AF66),0))*$AE66*$D66,0),IF(AND(OR($F66="buy_to_close",$F66="expire",$F66="roll",$F66="assignment",$F66="called_away"),$F66&lt;&gt;"roll",$AG66="put"),-IF($AF66&gt;0,INDEX($AH$9:$AH$65,$AF66),0)*$AE66*$D66,0))))</f>
        <v/>
      </c>
      <c r="AP66" s="51" t="str">
        <f>IF($A66="","",IFERROR(LOOKUP(2,1/($B$9:$B$65=$B66),$AP$9:$AP65),0)+IF($F66="sell_put",$AE66*$D66,IF(AND(OR($F66="buy_to_close",$F66="expire",$F66="roll",$F66="assignment",$F66="called_away"),$F66&lt;&gt;"roll",$AG66="put"),-$AE66*$D66,0)))</f>
        <v/>
      </c>
      <c r="AQ66" s="51" t="str">
        <f>IF($A66="","",IFERROR(LOOKUP(2,1/($B$9:$B$65=$B66),$AQ$9:$AQ65),0)+IF(OR($F66="sell_put",$F66="sell_call"),$AE66,0)-IF(AND(OR($F66="buy_to_close",$F66="expire",$F66="roll",$F66="assignment",$F66="called_away"),$F66&lt;&gt;"roll"),$AE66,0))</f>
        <v/>
      </c>
      <c r="AR66" t="str">
        <f t="shared" si="13"/>
        <v/>
      </c>
      <c r="AS66" s="50" t="str">
        <f t="shared" si="14"/>
        <v/>
      </c>
      <c r="AT66" s="50" t="str">
        <f>IF($A66="","",MAX(IF($T66=IFERROR(LOOKUP(2,1/($B$9:$B$65=$B66),$T$9:$T65),0),IFERROR(LOOKUP(2,1/($B$9:$B$65=$B66),$AT$9:$AT65),0),0),$AS66))</f>
        <v/>
      </c>
      <c r="AU66" t="str">
        <f t="shared" si="15"/>
        <v/>
      </c>
      <c r="AV66" s="51">
        <f>IF($AU66="",0,IF(AND(IFERROR(LOOKUP(2,1/($B$9:$B$65=$B66),$AR$9:$AR65),1),NOT(AND(OR($F66="dividend",$F66="fee"),IFERROR(LOOKUP(2,1/($B$9:$B$65=$B66),$T$9:$T65),0)&gt;0))),ROW(),0))</f>
        <v>0</v>
      </c>
      <c r="AW66">
        <f>IF($A66="",0,IF($AV66&gt;0,MAX($AW$9:$AW$65)+1,MAX($AW$9:$AW$65)))</f>
        <v>0</v>
      </c>
      <c r="AX66">
        <f>IF($AU66="",0,IF(AND($AR66,OR(NOT(IFERROR(LOOKUP(2,1/($B$9:$B$65=$B66),$AR$9:$AR65),1)),IFERROR(LOOKUP(2,1/($B$9:$B$65=$B66),$T$9:$T65),0)=0)),ROW(),0))</f>
        <v>0</v>
      </c>
      <c r="AY66" t="str">
        <f t="shared" si="16"/>
        <v/>
      </c>
    </row>
    <row r="67" spans="1:51" ht="15" x14ac:dyDescent="0.25">
      <c r="A67" s="41" t="str">
        <f>IF(Trades!$A67="","",Trades!O67)</f>
        <v/>
      </c>
      <c r="B67" s="41" t="str">
        <f>IF(Trades!$A67="","",Trades!B67)</f>
        <v/>
      </c>
      <c r="C67" s="41" t="str">
        <f>IF(Trades!$A67="","",Trades!C67)</f>
        <v/>
      </c>
      <c r="D67" s="42" t="str">
        <f>IF(Trades!$A67="","",IF(Trades!$L67&gt;0,Trades!$L67,Trades!$C$6))</f>
        <v/>
      </c>
      <c r="E67" s="43" t="str">
        <f>IF(Trades!$A67="","",Trades!A67)</f>
        <v/>
      </c>
      <c r="F67" s="41" t="str">
        <f>IF(Trades!$A67="","",IFERROR(INDEX(Trades!$V$2:$V$14,MATCH(Trades!$E67,Trades!$U$2:$U$14,0)),""))</f>
        <v/>
      </c>
      <c r="G67" s="41" t="str">
        <f>IF(Trades!$A67="","",Trades!N67)</f>
        <v/>
      </c>
      <c r="H67" s="42" t="str">
        <f>IF(Trades!$A67="","",Trades!F67)</f>
        <v/>
      </c>
      <c r="I67" s="44" t="str">
        <f>IF(Trades!$A67="","",Trades!G67)</f>
        <v/>
      </c>
      <c r="J67" s="44" t="str">
        <f>IF(Trades!$A67="","",Trades!I67)</f>
        <v/>
      </c>
      <c r="K67" s="44" t="str">
        <f>IF(Trades!$A67="","",Trades!Q67)</f>
        <v/>
      </c>
      <c r="L67" s="42" t="str">
        <f>IF(Trades!$A67="","",Trades!F67)</f>
        <v/>
      </c>
      <c r="M67" s="44" t="str">
        <f>IF(Trades!$A67="","",Trades!M67)</f>
        <v/>
      </c>
      <c r="N67" s="44" t="str">
        <f>IF(Trades!$A67="","",Trades!R67)</f>
        <v/>
      </c>
      <c r="O67" s="44" t="str">
        <f>IF(Trades!$A67="","",Trades!J67)</f>
        <v/>
      </c>
      <c r="P67" s="43" t="str">
        <f>IF(Trades!$A67="","",Trades!H67)</f>
        <v/>
      </c>
      <c r="Q67" s="41" t="str">
        <f>IF(Trades!$A67="","",Trades!P67)</f>
        <v/>
      </c>
      <c r="R67" s="45" t="str">
        <f t="shared" si="0"/>
        <v/>
      </c>
      <c r="S67" s="45" t="str">
        <f t="shared" si="1"/>
        <v/>
      </c>
      <c r="T67" s="46" t="str">
        <f>IF(OR($A67="",$B67=""),"",IF(AND(IFERROR(LOOKUP(2,1/($B$9:$B$66=$B67),$AR$9:$AR66),1),NOT(AND(OR($F67="dividend",$F67="fee"),IFERROR(LOOKUP(2,1/($B$9:$B$66=$B67),$T$9:$T66),0)&gt;0))),IFERROR(LOOKUP(2,1/($B$9:$B$66=$B67),$T$9:$T66),0)+1,IFERROR(LOOKUP(2,1/($B$9:$B$66=$B67),$T$9:$T66),0)))</f>
        <v/>
      </c>
      <c r="U67" s="47" t="str">
        <f t="shared" si="2"/>
        <v/>
      </c>
      <c r="V67" s="47" t="str">
        <f>IF($A67="","",IF(OR($B67="",$C67="",$D67="",$E67="",$F67=""),"Missing required field",IF(COUNTIFS($A$9:$A67,$A67,$B$9:$B67,$B67)&gt;1,"Duplicate event ID",IF(AND($E67&lt;&gt;IFERROR(LOOKUP(2,1/($B$9:$B$66=$B67),$E$9:$E66),0),IFERROR(LOOKUP(2,1/($B$9:$B$66=$B67),$E$9:$E66),0)&gt;$E67),"Date out of order",IF(AND(OR($F67="buy_to_close",$F67="expire",$F67="roll",$F67="assignment",$F67="called_away"),$AF67=0),"Unknown lot",IF(OR(AND($F67="assignment",$AF67&gt;0,IF($AF67&gt;0,INDEX($AG$9:$AG$66,$AF67),"")&lt;&gt;"put"),AND($F67="called_away",$AF67&gt;0,IF($AF67&gt;0,INDEX($AG$9:$AG$66,$AF67),"")&lt;&gt;"call")),"Wrong option leg",IF(OR(AND(OR($F67="sell_put",$F67="sell_call"),OR($H67&lt;=0,$I67&lt;=0,$J67&lt;0)),AND(OR($F67="buy_to_close",$F67="expire",$F67="assignment",$F67="called_away"),OR($H67&lt;=0,$J67&lt;0)),AND($F67="roll",OR($H67&lt;=0,$I67&lt;=0,$J67&lt;0,$K67&lt;0)),AND(OR($F67="buy_shares",$F67="sell_shares"),OR($L67&lt;=0,$M67&lt;0)),AND(OR($F67="dividend",$F67="fee"),$N67&lt;0)),"Invalid value",IF(AND(OR($F67="sell_shares",$F67="called_away"),$AL67&lt;IF($F67="called_away",$AE67*$D67,$L67)),"Insufficient shares (capped)",IF(AND(OR($F67="buy_to_close",$F67="expire",$F67="roll",$F67="assignment",$F67="called_away"),$AF67&gt;0,$H67&gt;IF($AF67&gt;0,MAX(0,INDEX($AI$9:$AI$66,$AF67)-SUMIFS($AE$9:$AE$66,$G$9:$G$66,$G67,$B$9:$B$66,$B67)),0)),"Close quantity capped","OK")))))))))</f>
        <v/>
      </c>
      <c r="W67" s="48" t="str">
        <f t="shared" si="3"/>
        <v/>
      </c>
      <c r="X67" s="49" t="str">
        <f t="shared" si="4"/>
        <v/>
      </c>
      <c r="Y67" s="50" t="str">
        <f t="shared" si="5"/>
        <v/>
      </c>
      <c r="Z67" s="50" t="str">
        <f t="shared" si="6"/>
        <v/>
      </c>
      <c r="AA67" s="50" t="str">
        <f t="shared" si="7"/>
        <v/>
      </c>
      <c r="AB67" s="50" t="str">
        <f t="shared" si="8"/>
        <v/>
      </c>
      <c r="AC67" s="50" t="str">
        <f>IF($A67="","",IF($F67="assignment",IF($AF67&gt;0,INDEX($AH$9:$AH$66,$AF67),0)*$AE67*$D67,IF($F67="buy_shares",$M67*$AL67,0)))</f>
        <v/>
      </c>
      <c r="AD67" s="50" t="str">
        <f>IF($A67="","",IF($F67="called_away",IF($AF67&gt;0,INDEX($AH$9:$AH$66,$AF67),0)*$AL67,IF($F67="sell_shares",$M67*$AL67,0)))</f>
        <v/>
      </c>
      <c r="AE67" s="51" t="str">
        <f>IF($A67="","",IF(OR($F67="sell_put",$F67="sell_call"),IF(AND($H67&gt;0,$I67&gt;0,$J67&gt;=0),$H67,0),IF(OR($F67="buy_to_close",$F67="expire",$F67="roll",$F67="assignment",$F67="called_away"),IF(AND($AF67&gt;0,$H67&gt;0,IF($F67="assignment",IF($AF67&gt;0,INDEX($AG$9:$AG$66,$AF67),"")="put",TRUE),IF($F67="called_away",IF($AF67&gt;0,INDEX($AG$9:$AG$66,$AF67),"")="call",TRUE)),MIN($H67,IF($AF67&gt;0,MAX(0,INDEX($AI$9:$AI$66,$AF67)-SUMIFS($AE$9:$AE$66,$G$9:$G$66,$G67,$B$9:$B$66,$B67)),0)),0),0)))</f>
        <v/>
      </c>
      <c r="AF67" t="str">
        <f>IF($A67="","",IFERROR(MATCH(LEN($B67)&amp;":"&amp;$B67&amp;$G67,$AY$9:$AY$66,0),0))</f>
        <v/>
      </c>
      <c r="AG67" t="str">
        <f>IF($A67="","",IF($F67="sell_put","put",IF($F67="sell_call","call",IF($F67="roll",IF($AF67&gt;0,IF($AF67&gt;0,INDEX($AG$9:$AG$66,$AF67),""),""),IF($AF67&gt;0,IF($AF67&gt;0,INDEX($AG$9:$AG$66,$AF67),""),"")))))</f>
        <v/>
      </c>
      <c r="AH67" t="str">
        <f>IF($A67="","",IF(OR($F67="sell_put",$F67="sell_call",$F67="roll"),$I67,IF($AF67&gt;0,IF($AF67&gt;0,INDEX($AH$9:$AH$66,$AF67),0),0)))</f>
        <v/>
      </c>
      <c r="AI67" s="51" t="str">
        <f t="shared" si="9"/>
        <v/>
      </c>
      <c r="AJ67" s="51" t="str">
        <f>IF($A67="","",IFERROR(LOOKUP(2,1/($B$9:$B$66=$B67),$AM$9:$AM66),0))</f>
        <v/>
      </c>
      <c r="AK67" t="str">
        <f>IF($A67="","",IFERROR(LOOKUP(2,1/($B$9:$B$66=$B67),$AN$9:$AN66),0))</f>
        <v/>
      </c>
      <c r="AL67" s="51" t="str">
        <f t="shared" si="10"/>
        <v/>
      </c>
      <c r="AM67" s="51" t="str">
        <f t="shared" si="11"/>
        <v/>
      </c>
      <c r="AN67" t="str">
        <f t="shared" si="12"/>
        <v/>
      </c>
      <c r="AO67" s="50" t="str">
        <f>IF($A67="","",IFERROR(LOOKUP(2,1/($B$9:$B$66=$B67),$AO$9:$AO66),0)+IF($F67="sell_put",$I67*$AE67*$D67,IF($F67="roll",IF($AG67="put",($I67-IF($AF67&gt;0,INDEX($AH$9:$AH$66,$AF67),0))*$AE67*$D67,0),IF(AND(OR($F67="buy_to_close",$F67="expire",$F67="roll",$F67="assignment",$F67="called_away"),$F67&lt;&gt;"roll",$AG67="put"),-IF($AF67&gt;0,INDEX($AH$9:$AH$66,$AF67),0)*$AE67*$D67,0))))</f>
        <v/>
      </c>
      <c r="AP67" s="51" t="str">
        <f>IF($A67="","",IFERROR(LOOKUP(2,1/($B$9:$B$66=$B67),$AP$9:$AP66),0)+IF($F67="sell_put",$AE67*$D67,IF(AND(OR($F67="buy_to_close",$F67="expire",$F67="roll",$F67="assignment",$F67="called_away"),$F67&lt;&gt;"roll",$AG67="put"),-$AE67*$D67,0)))</f>
        <v/>
      </c>
      <c r="AQ67" s="51" t="str">
        <f>IF($A67="","",IFERROR(LOOKUP(2,1/($B$9:$B$66=$B67),$AQ$9:$AQ66),0)+IF(OR($F67="sell_put",$F67="sell_call"),$AE67,0)-IF(AND(OR($F67="buy_to_close",$F67="expire",$F67="roll",$F67="assignment",$F67="called_away"),$F67&lt;&gt;"roll"),$AE67,0))</f>
        <v/>
      </c>
      <c r="AR67" t="str">
        <f t="shared" si="13"/>
        <v/>
      </c>
      <c r="AS67" s="50" t="str">
        <f t="shared" si="14"/>
        <v/>
      </c>
      <c r="AT67" s="50" t="str">
        <f>IF($A67="","",MAX(IF($T67=IFERROR(LOOKUP(2,1/($B$9:$B$66=$B67),$T$9:$T66),0),IFERROR(LOOKUP(2,1/($B$9:$B$66=$B67),$AT$9:$AT66),0),0),$AS67))</f>
        <v/>
      </c>
      <c r="AU67" t="str">
        <f t="shared" si="15"/>
        <v/>
      </c>
      <c r="AV67" s="51">
        <f>IF($AU67="",0,IF(AND(IFERROR(LOOKUP(2,1/($B$9:$B$66=$B67),$AR$9:$AR66),1),NOT(AND(OR($F67="dividend",$F67="fee"),IFERROR(LOOKUP(2,1/($B$9:$B$66=$B67),$T$9:$T66),0)&gt;0))),ROW(),0))</f>
        <v>0</v>
      </c>
      <c r="AW67">
        <f>IF($A67="",0,IF($AV67&gt;0,MAX($AW$9:$AW$66)+1,MAX($AW$9:$AW$66)))</f>
        <v>0</v>
      </c>
      <c r="AX67">
        <f>IF($AU67="",0,IF(AND($AR67,OR(NOT(IFERROR(LOOKUP(2,1/($B$9:$B$66=$B67),$AR$9:$AR66),1)),IFERROR(LOOKUP(2,1/($B$9:$B$66=$B67),$T$9:$T66),0)=0)),ROW(),0))</f>
        <v>0</v>
      </c>
      <c r="AY67" t="str">
        <f t="shared" si="16"/>
        <v/>
      </c>
    </row>
    <row r="68" spans="1:51" ht="15" x14ac:dyDescent="0.25">
      <c r="A68" s="52" t="str">
        <f>IF(Trades!$A68="","",Trades!O68)</f>
        <v/>
      </c>
      <c r="B68" s="52" t="str">
        <f>IF(Trades!$A68="","",Trades!B68)</f>
        <v/>
      </c>
      <c r="C68" s="52" t="str">
        <f>IF(Trades!$A68="","",Trades!C68)</f>
        <v/>
      </c>
      <c r="D68" s="53" t="str">
        <f>IF(Trades!$A68="","",IF(Trades!$L68&gt;0,Trades!$L68,Trades!$C$6))</f>
        <v/>
      </c>
      <c r="E68" s="54" t="str">
        <f>IF(Trades!$A68="","",Trades!A68)</f>
        <v/>
      </c>
      <c r="F68" s="52" t="str">
        <f>IF(Trades!$A68="","",IFERROR(INDEX(Trades!$V$2:$V$14,MATCH(Trades!$E68,Trades!$U$2:$U$14,0)),""))</f>
        <v/>
      </c>
      <c r="G68" s="52" t="str">
        <f>IF(Trades!$A68="","",Trades!N68)</f>
        <v/>
      </c>
      <c r="H68" s="53" t="str">
        <f>IF(Trades!$A68="","",Trades!F68)</f>
        <v/>
      </c>
      <c r="I68" s="55" t="str">
        <f>IF(Trades!$A68="","",Trades!G68)</f>
        <v/>
      </c>
      <c r="J68" s="55" t="str">
        <f>IF(Trades!$A68="","",Trades!I68)</f>
        <v/>
      </c>
      <c r="K68" s="55" t="str">
        <f>IF(Trades!$A68="","",Trades!Q68)</f>
        <v/>
      </c>
      <c r="L68" s="53" t="str">
        <f>IF(Trades!$A68="","",Trades!F68)</f>
        <v/>
      </c>
      <c r="M68" s="55" t="str">
        <f>IF(Trades!$A68="","",Trades!M68)</f>
        <v/>
      </c>
      <c r="N68" s="55" t="str">
        <f>IF(Trades!$A68="","",Trades!R68)</f>
        <v/>
      </c>
      <c r="O68" s="55" t="str">
        <f>IF(Trades!$A68="","",Trades!J68)</f>
        <v/>
      </c>
      <c r="P68" s="54" t="str">
        <f>IF(Trades!$A68="","",Trades!H68)</f>
        <v/>
      </c>
      <c r="Q68" s="52" t="str">
        <f>IF(Trades!$A68="","",Trades!P68)</f>
        <v/>
      </c>
      <c r="R68" s="56" t="str">
        <f t="shared" si="0"/>
        <v/>
      </c>
      <c r="S68" s="56" t="str">
        <f t="shared" si="1"/>
        <v/>
      </c>
      <c r="T68" s="57" t="str">
        <f>IF(OR($A68="",$B68=""),"",IF(AND(IFERROR(LOOKUP(2,1/($B$9:$B$67=$B68),$AR$9:$AR67),1),NOT(AND(OR($F68="dividend",$F68="fee"),IFERROR(LOOKUP(2,1/($B$9:$B$67=$B68),$T$9:$T67),0)&gt;0))),IFERROR(LOOKUP(2,1/($B$9:$B$67=$B68),$T$9:$T67),0)+1,IFERROR(LOOKUP(2,1/($B$9:$B$67=$B68),$T$9:$T67),0)))</f>
        <v/>
      </c>
      <c r="U68" s="58" t="str">
        <f t="shared" si="2"/>
        <v/>
      </c>
      <c r="V68" s="58" t="str">
        <f>IF($A68="","",IF(OR($B68="",$C68="",$D68="",$E68="",$F68=""),"Missing required field",IF(COUNTIFS($A$9:$A68,$A68,$B$9:$B68,$B68)&gt;1,"Duplicate event ID",IF(AND($E68&lt;&gt;IFERROR(LOOKUP(2,1/($B$9:$B$67=$B68),$E$9:$E67),0),IFERROR(LOOKUP(2,1/($B$9:$B$67=$B68),$E$9:$E67),0)&gt;$E68),"Date out of order",IF(AND(OR($F68="buy_to_close",$F68="expire",$F68="roll",$F68="assignment",$F68="called_away"),$AF68=0),"Unknown lot",IF(OR(AND($F68="assignment",$AF68&gt;0,IF($AF68&gt;0,INDEX($AG$9:$AG$67,$AF68),"")&lt;&gt;"put"),AND($F68="called_away",$AF68&gt;0,IF($AF68&gt;0,INDEX($AG$9:$AG$67,$AF68),"")&lt;&gt;"call")),"Wrong option leg",IF(OR(AND(OR($F68="sell_put",$F68="sell_call"),OR($H68&lt;=0,$I68&lt;=0,$J68&lt;0)),AND(OR($F68="buy_to_close",$F68="expire",$F68="assignment",$F68="called_away"),OR($H68&lt;=0,$J68&lt;0)),AND($F68="roll",OR($H68&lt;=0,$I68&lt;=0,$J68&lt;0,$K68&lt;0)),AND(OR($F68="buy_shares",$F68="sell_shares"),OR($L68&lt;=0,$M68&lt;0)),AND(OR($F68="dividend",$F68="fee"),$N68&lt;0)),"Invalid value",IF(AND(OR($F68="sell_shares",$F68="called_away"),$AL68&lt;IF($F68="called_away",$AE68*$D68,$L68)),"Insufficient shares (capped)",IF(AND(OR($F68="buy_to_close",$F68="expire",$F68="roll",$F68="assignment",$F68="called_away"),$AF68&gt;0,$H68&gt;IF($AF68&gt;0,MAX(0,INDEX($AI$9:$AI$67,$AF68)-SUMIFS($AE$9:$AE$67,$G$9:$G$67,$G68,$B$9:$B$67,$B68)),0)),"Close quantity capped","OK")))))))))</f>
        <v/>
      </c>
      <c r="W68" s="59" t="str">
        <f t="shared" si="3"/>
        <v/>
      </c>
      <c r="X68" s="60" t="str">
        <f t="shared" si="4"/>
        <v/>
      </c>
      <c r="Y68" s="50" t="str">
        <f t="shared" si="5"/>
        <v/>
      </c>
      <c r="Z68" s="50" t="str">
        <f t="shared" si="6"/>
        <v/>
      </c>
      <c r="AA68" s="50" t="str">
        <f t="shared" si="7"/>
        <v/>
      </c>
      <c r="AB68" s="50" t="str">
        <f t="shared" si="8"/>
        <v/>
      </c>
      <c r="AC68" s="50" t="str">
        <f>IF($A68="","",IF($F68="assignment",IF($AF68&gt;0,INDEX($AH$9:$AH$67,$AF68),0)*$AE68*$D68,IF($F68="buy_shares",$M68*$AL68,0)))</f>
        <v/>
      </c>
      <c r="AD68" s="50" t="str">
        <f>IF($A68="","",IF($F68="called_away",IF($AF68&gt;0,INDEX($AH$9:$AH$67,$AF68),0)*$AL68,IF($F68="sell_shares",$M68*$AL68,0)))</f>
        <v/>
      </c>
      <c r="AE68" s="51" t="str">
        <f>IF($A68="","",IF(OR($F68="sell_put",$F68="sell_call"),IF(AND($H68&gt;0,$I68&gt;0,$J68&gt;=0),$H68,0),IF(OR($F68="buy_to_close",$F68="expire",$F68="roll",$F68="assignment",$F68="called_away"),IF(AND($AF68&gt;0,$H68&gt;0,IF($F68="assignment",IF($AF68&gt;0,INDEX($AG$9:$AG$67,$AF68),"")="put",TRUE),IF($F68="called_away",IF($AF68&gt;0,INDEX($AG$9:$AG$67,$AF68),"")="call",TRUE)),MIN($H68,IF($AF68&gt;0,MAX(0,INDEX($AI$9:$AI$67,$AF68)-SUMIFS($AE$9:$AE$67,$G$9:$G$67,$G68,$B$9:$B$67,$B68)),0)),0),0)))</f>
        <v/>
      </c>
      <c r="AF68" t="str">
        <f>IF($A68="","",IFERROR(MATCH(LEN($B68)&amp;":"&amp;$B68&amp;$G68,$AY$9:$AY$67,0),0))</f>
        <v/>
      </c>
      <c r="AG68" t="str">
        <f>IF($A68="","",IF($F68="sell_put","put",IF($F68="sell_call","call",IF($F68="roll",IF($AF68&gt;0,IF($AF68&gt;0,INDEX($AG$9:$AG$67,$AF68),""),""),IF($AF68&gt;0,IF($AF68&gt;0,INDEX($AG$9:$AG$67,$AF68),""),"")))))</f>
        <v/>
      </c>
      <c r="AH68" t="str">
        <f>IF($A68="","",IF(OR($F68="sell_put",$F68="sell_call",$F68="roll"),$I68,IF($AF68&gt;0,IF($AF68&gt;0,INDEX($AH$9:$AH$67,$AF68),0),0)))</f>
        <v/>
      </c>
      <c r="AI68" s="51" t="str">
        <f t="shared" si="9"/>
        <v/>
      </c>
      <c r="AJ68" s="51" t="str">
        <f>IF($A68="","",IFERROR(LOOKUP(2,1/($B$9:$B$67=$B68),$AM$9:$AM67),0))</f>
        <v/>
      </c>
      <c r="AK68" t="str">
        <f>IF($A68="","",IFERROR(LOOKUP(2,1/($B$9:$B$67=$B68),$AN$9:$AN67),0))</f>
        <v/>
      </c>
      <c r="AL68" s="51" t="str">
        <f t="shared" si="10"/>
        <v/>
      </c>
      <c r="AM68" s="51" t="str">
        <f t="shared" si="11"/>
        <v/>
      </c>
      <c r="AN68" t="str">
        <f t="shared" si="12"/>
        <v/>
      </c>
      <c r="AO68" s="50" t="str">
        <f>IF($A68="","",IFERROR(LOOKUP(2,1/($B$9:$B$67=$B68),$AO$9:$AO67),0)+IF($F68="sell_put",$I68*$AE68*$D68,IF($F68="roll",IF($AG68="put",($I68-IF($AF68&gt;0,INDEX($AH$9:$AH$67,$AF68),0))*$AE68*$D68,0),IF(AND(OR($F68="buy_to_close",$F68="expire",$F68="roll",$F68="assignment",$F68="called_away"),$F68&lt;&gt;"roll",$AG68="put"),-IF($AF68&gt;0,INDEX($AH$9:$AH$67,$AF68),0)*$AE68*$D68,0))))</f>
        <v/>
      </c>
      <c r="AP68" s="51" t="str">
        <f>IF($A68="","",IFERROR(LOOKUP(2,1/($B$9:$B$67=$B68),$AP$9:$AP67),0)+IF($F68="sell_put",$AE68*$D68,IF(AND(OR($F68="buy_to_close",$F68="expire",$F68="roll",$F68="assignment",$F68="called_away"),$F68&lt;&gt;"roll",$AG68="put"),-$AE68*$D68,0)))</f>
        <v/>
      </c>
      <c r="AQ68" s="51" t="str">
        <f>IF($A68="","",IFERROR(LOOKUP(2,1/($B$9:$B$67=$B68),$AQ$9:$AQ67),0)+IF(OR($F68="sell_put",$F68="sell_call"),$AE68,0)-IF(AND(OR($F68="buy_to_close",$F68="expire",$F68="roll",$F68="assignment",$F68="called_away"),$F68&lt;&gt;"roll"),$AE68,0))</f>
        <v/>
      </c>
      <c r="AR68" t="str">
        <f t="shared" si="13"/>
        <v/>
      </c>
      <c r="AS68" s="50" t="str">
        <f t="shared" si="14"/>
        <v/>
      </c>
      <c r="AT68" s="50" t="str">
        <f>IF($A68="","",MAX(IF($T68=IFERROR(LOOKUP(2,1/($B$9:$B$67=$B68),$T$9:$T67),0),IFERROR(LOOKUP(2,1/($B$9:$B$67=$B68),$AT$9:$AT67),0),0),$AS68))</f>
        <v/>
      </c>
      <c r="AU68" t="str">
        <f t="shared" si="15"/>
        <v/>
      </c>
      <c r="AV68" s="51">
        <f>IF($AU68="",0,IF(AND(IFERROR(LOOKUP(2,1/($B$9:$B$67=$B68),$AR$9:$AR67),1),NOT(AND(OR($F68="dividend",$F68="fee"),IFERROR(LOOKUP(2,1/($B$9:$B$67=$B68),$T$9:$T67),0)&gt;0))),ROW(),0))</f>
        <v>0</v>
      </c>
      <c r="AW68">
        <f>IF($A68="",0,IF($AV68&gt;0,MAX($AW$9:$AW$67)+1,MAX($AW$9:$AW$67)))</f>
        <v>0</v>
      </c>
      <c r="AX68">
        <f>IF($AU68="",0,IF(AND($AR68,OR(NOT(IFERROR(LOOKUP(2,1/($B$9:$B$67=$B68),$AR$9:$AR67),1)),IFERROR(LOOKUP(2,1/($B$9:$B$67=$B68),$T$9:$T67),0)=0)),ROW(),0))</f>
        <v>0</v>
      </c>
      <c r="AY68" t="str">
        <f t="shared" si="16"/>
        <v/>
      </c>
    </row>
    <row r="69" spans="1:51" ht="15" x14ac:dyDescent="0.25">
      <c r="A69" s="41" t="str">
        <f>IF(Trades!$A69="","",Trades!O69)</f>
        <v/>
      </c>
      <c r="B69" s="41" t="str">
        <f>IF(Trades!$A69="","",Trades!B69)</f>
        <v/>
      </c>
      <c r="C69" s="41" t="str">
        <f>IF(Trades!$A69="","",Trades!C69)</f>
        <v/>
      </c>
      <c r="D69" s="42" t="str">
        <f>IF(Trades!$A69="","",IF(Trades!$L69&gt;0,Trades!$L69,Trades!$C$6))</f>
        <v/>
      </c>
      <c r="E69" s="43" t="str">
        <f>IF(Trades!$A69="","",Trades!A69)</f>
        <v/>
      </c>
      <c r="F69" s="41" t="str">
        <f>IF(Trades!$A69="","",IFERROR(INDEX(Trades!$V$2:$V$14,MATCH(Trades!$E69,Trades!$U$2:$U$14,0)),""))</f>
        <v/>
      </c>
      <c r="G69" s="41" t="str">
        <f>IF(Trades!$A69="","",Trades!N69)</f>
        <v/>
      </c>
      <c r="H69" s="42" t="str">
        <f>IF(Trades!$A69="","",Trades!F69)</f>
        <v/>
      </c>
      <c r="I69" s="44" t="str">
        <f>IF(Trades!$A69="","",Trades!G69)</f>
        <v/>
      </c>
      <c r="J69" s="44" t="str">
        <f>IF(Trades!$A69="","",Trades!I69)</f>
        <v/>
      </c>
      <c r="K69" s="44" t="str">
        <f>IF(Trades!$A69="","",Trades!Q69)</f>
        <v/>
      </c>
      <c r="L69" s="42" t="str">
        <f>IF(Trades!$A69="","",Trades!F69)</f>
        <v/>
      </c>
      <c r="M69" s="44" t="str">
        <f>IF(Trades!$A69="","",Trades!M69)</f>
        <v/>
      </c>
      <c r="N69" s="44" t="str">
        <f>IF(Trades!$A69="","",Trades!R69)</f>
        <v/>
      </c>
      <c r="O69" s="44" t="str">
        <f>IF(Trades!$A69="","",Trades!J69)</f>
        <v/>
      </c>
      <c r="P69" s="43" t="str">
        <f>IF(Trades!$A69="","",Trades!H69)</f>
        <v/>
      </c>
      <c r="Q69" s="41" t="str">
        <f>IF(Trades!$A69="","",Trades!P69)</f>
        <v/>
      </c>
      <c r="R69" s="45" t="str">
        <f t="shared" si="0"/>
        <v/>
      </c>
      <c r="S69" s="45" t="str">
        <f t="shared" si="1"/>
        <v/>
      </c>
      <c r="T69" s="46" t="str">
        <f>IF(OR($A69="",$B69=""),"",IF(AND(IFERROR(LOOKUP(2,1/($B$9:$B$68=$B69),$AR$9:$AR68),1),NOT(AND(OR($F69="dividend",$F69="fee"),IFERROR(LOOKUP(2,1/($B$9:$B$68=$B69),$T$9:$T68),0)&gt;0))),IFERROR(LOOKUP(2,1/($B$9:$B$68=$B69),$T$9:$T68),0)+1,IFERROR(LOOKUP(2,1/($B$9:$B$68=$B69),$T$9:$T68),0)))</f>
        <v/>
      </c>
      <c r="U69" s="47" t="str">
        <f t="shared" si="2"/>
        <v/>
      </c>
      <c r="V69" s="47" t="str">
        <f>IF($A69="","",IF(OR($B69="",$C69="",$D69="",$E69="",$F69=""),"Missing required field",IF(COUNTIFS($A$9:$A69,$A69,$B$9:$B69,$B69)&gt;1,"Duplicate event ID",IF(AND($E69&lt;&gt;IFERROR(LOOKUP(2,1/($B$9:$B$68=$B69),$E$9:$E68),0),IFERROR(LOOKUP(2,1/($B$9:$B$68=$B69),$E$9:$E68),0)&gt;$E69),"Date out of order",IF(AND(OR($F69="buy_to_close",$F69="expire",$F69="roll",$F69="assignment",$F69="called_away"),$AF69=0),"Unknown lot",IF(OR(AND($F69="assignment",$AF69&gt;0,IF($AF69&gt;0,INDEX($AG$9:$AG$68,$AF69),"")&lt;&gt;"put"),AND($F69="called_away",$AF69&gt;0,IF($AF69&gt;0,INDEX($AG$9:$AG$68,$AF69),"")&lt;&gt;"call")),"Wrong option leg",IF(OR(AND(OR($F69="sell_put",$F69="sell_call"),OR($H69&lt;=0,$I69&lt;=0,$J69&lt;0)),AND(OR($F69="buy_to_close",$F69="expire",$F69="assignment",$F69="called_away"),OR($H69&lt;=0,$J69&lt;0)),AND($F69="roll",OR($H69&lt;=0,$I69&lt;=0,$J69&lt;0,$K69&lt;0)),AND(OR($F69="buy_shares",$F69="sell_shares"),OR($L69&lt;=0,$M69&lt;0)),AND(OR($F69="dividend",$F69="fee"),$N69&lt;0)),"Invalid value",IF(AND(OR($F69="sell_shares",$F69="called_away"),$AL69&lt;IF($F69="called_away",$AE69*$D69,$L69)),"Insufficient shares (capped)",IF(AND(OR($F69="buy_to_close",$F69="expire",$F69="roll",$F69="assignment",$F69="called_away"),$AF69&gt;0,$H69&gt;IF($AF69&gt;0,MAX(0,INDEX($AI$9:$AI$68,$AF69)-SUMIFS($AE$9:$AE$68,$G$9:$G$68,$G69,$B$9:$B$68,$B69)),0)),"Close quantity capped","OK")))))))))</f>
        <v/>
      </c>
      <c r="W69" s="48" t="str">
        <f t="shared" si="3"/>
        <v/>
      </c>
      <c r="X69" s="49" t="str">
        <f t="shared" si="4"/>
        <v/>
      </c>
      <c r="Y69" s="50" t="str">
        <f t="shared" si="5"/>
        <v/>
      </c>
      <c r="Z69" s="50" t="str">
        <f t="shared" si="6"/>
        <v/>
      </c>
      <c r="AA69" s="50" t="str">
        <f t="shared" si="7"/>
        <v/>
      </c>
      <c r="AB69" s="50" t="str">
        <f t="shared" si="8"/>
        <v/>
      </c>
      <c r="AC69" s="50" t="str">
        <f>IF($A69="","",IF($F69="assignment",IF($AF69&gt;0,INDEX($AH$9:$AH$68,$AF69),0)*$AE69*$D69,IF($F69="buy_shares",$M69*$AL69,0)))</f>
        <v/>
      </c>
      <c r="AD69" s="50" t="str">
        <f>IF($A69="","",IF($F69="called_away",IF($AF69&gt;0,INDEX($AH$9:$AH$68,$AF69),0)*$AL69,IF($F69="sell_shares",$M69*$AL69,0)))</f>
        <v/>
      </c>
      <c r="AE69" s="51" t="str">
        <f>IF($A69="","",IF(OR($F69="sell_put",$F69="sell_call"),IF(AND($H69&gt;0,$I69&gt;0,$J69&gt;=0),$H69,0),IF(OR($F69="buy_to_close",$F69="expire",$F69="roll",$F69="assignment",$F69="called_away"),IF(AND($AF69&gt;0,$H69&gt;0,IF($F69="assignment",IF($AF69&gt;0,INDEX($AG$9:$AG$68,$AF69),"")="put",TRUE),IF($F69="called_away",IF($AF69&gt;0,INDEX($AG$9:$AG$68,$AF69),"")="call",TRUE)),MIN($H69,IF($AF69&gt;0,MAX(0,INDEX($AI$9:$AI$68,$AF69)-SUMIFS($AE$9:$AE$68,$G$9:$G$68,$G69,$B$9:$B$68,$B69)),0)),0),0)))</f>
        <v/>
      </c>
      <c r="AF69" t="str">
        <f>IF($A69="","",IFERROR(MATCH(LEN($B69)&amp;":"&amp;$B69&amp;$G69,$AY$9:$AY$68,0),0))</f>
        <v/>
      </c>
      <c r="AG69" t="str">
        <f>IF($A69="","",IF($F69="sell_put","put",IF($F69="sell_call","call",IF($F69="roll",IF($AF69&gt;0,IF($AF69&gt;0,INDEX($AG$9:$AG$68,$AF69),""),""),IF($AF69&gt;0,IF($AF69&gt;0,INDEX($AG$9:$AG$68,$AF69),""),"")))))</f>
        <v/>
      </c>
      <c r="AH69" t="str">
        <f>IF($A69="","",IF(OR($F69="sell_put",$F69="sell_call",$F69="roll"),$I69,IF($AF69&gt;0,IF($AF69&gt;0,INDEX($AH$9:$AH$68,$AF69),0),0)))</f>
        <v/>
      </c>
      <c r="AI69" s="51" t="str">
        <f t="shared" si="9"/>
        <v/>
      </c>
      <c r="AJ69" s="51" t="str">
        <f>IF($A69="","",IFERROR(LOOKUP(2,1/($B$9:$B$68=$B69),$AM$9:$AM68),0))</f>
        <v/>
      </c>
      <c r="AK69" t="str">
        <f>IF($A69="","",IFERROR(LOOKUP(2,1/($B$9:$B$68=$B69),$AN$9:$AN68),0))</f>
        <v/>
      </c>
      <c r="AL69" s="51" t="str">
        <f t="shared" si="10"/>
        <v/>
      </c>
      <c r="AM69" s="51" t="str">
        <f t="shared" si="11"/>
        <v/>
      </c>
      <c r="AN69" t="str">
        <f t="shared" si="12"/>
        <v/>
      </c>
      <c r="AO69" s="50" t="str">
        <f>IF($A69="","",IFERROR(LOOKUP(2,1/($B$9:$B$68=$B69),$AO$9:$AO68),0)+IF($F69="sell_put",$I69*$AE69*$D69,IF($F69="roll",IF($AG69="put",($I69-IF($AF69&gt;0,INDEX($AH$9:$AH$68,$AF69),0))*$AE69*$D69,0),IF(AND(OR($F69="buy_to_close",$F69="expire",$F69="roll",$F69="assignment",$F69="called_away"),$F69&lt;&gt;"roll",$AG69="put"),-IF($AF69&gt;0,INDEX($AH$9:$AH$68,$AF69),0)*$AE69*$D69,0))))</f>
        <v/>
      </c>
      <c r="AP69" s="51" t="str">
        <f>IF($A69="","",IFERROR(LOOKUP(2,1/($B$9:$B$68=$B69),$AP$9:$AP68),0)+IF($F69="sell_put",$AE69*$D69,IF(AND(OR($F69="buy_to_close",$F69="expire",$F69="roll",$F69="assignment",$F69="called_away"),$F69&lt;&gt;"roll",$AG69="put"),-$AE69*$D69,0)))</f>
        <v/>
      </c>
      <c r="AQ69" s="51" t="str">
        <f>IF($A69="","",IFERROR(LOOKUP(2,1/($B$9:$B$68=$B69),$AQ$9:$AQ68),0)+IF(OR($F69="sell_put",$F69="sell_call"),$AE69,0)-IF(AND(OR($F69="buy_to_close",$F69="expire",$F69="roll",$F69="assignment",$F69="called_away"),$F69&lt;&gt;"roll"),$AE69,0))</f>
        <v/>
      </c>
      <c r="AR69" t="str">
        <f t="shared" si="13"/>
        <v/>
      </c>
      <c r="AS69" s="50" t="str">
        <f t="shared" si="14"/>
        <v/>
      </c>
      <c r="AT69" s="50" t="str">
        <f>IF($A69="","",MAX(IF($T69=IFERROR(LOOKUP(2,1/($B$9:$B$68=$B69),$T$9:$T68),0),IFERROR(LOOKUP(2,1/($B$9:$B$68=$B69),$AT$9:$AT68),0),0),$AS69))</f>
        <v/>
      </c>
      <c r="AU69" t="str">
        <f t="shared" si="15"/>
        <v/>
      </c>
      <c r="AV69" s="51">
        <f>IF($AU69="",0,IF(AND(IFERROR(LOOKUP(2,1/($B$9:$B$68=$B69),$AR$9:$AR68),1),NOT(AND(OR($F69="dividend",$F69="fee"),IFERROR(LOOKUP(2,1/($B$9:$B$68=$B69),$T$9:$T68),0)&gt;0))),ROW(),0))</f>
        <v>0</v>
      </c>
      <c r="AW69">
        <f>IF($A69="",0,IF($AV69&gt;0,MAX($AW$9:$AW$68)+1,MAX($AW$9:$AW$68)))</f>
        <v>0</v>
      </c>
      <c r="AX69">
        <f>IF($AU69="",0,IF(AND($AR69,OR(NOT(IFERROR(LOOKUP(2,1/($B$9:$B$68=$B69),$AR$9:$AR68),1)),IFERROR(LOOKUP(2,1/($B$9:$B$68=$B69),$T$9:$T68),0)=0)),ROW(),0))</f>
        <v>0</v>
      </c>
      <c r="AY69" t="str">
        <f t="shared" si="16"/>
        <v/>
      </c>
    </row>
    <row r="70" spans="1:51" ht="15" x14ac:dyDescent="0.25">
      <c r="A70" s="52" t="str">
        <f>IF(Trades!$A70="","",Trades!O70)</f>
        <v/>
      </c>
      <c r="B70" s="52" t="str">
        <f>IF(Trades!$A70="","",Trades!B70)</f>
        <v/>
      </c>
      <c r="C70" s="52" t="str">
        <f>IF(Trades!$A70="","",Trades!C70)</f>
        <v/>
      </c>
      <c r="D70" s="53" t="str">
        <f>IF(Trades!$A70="","",IF(Trades!$L70&gt;0,Trades!$L70,Trades!$C$6))</f>
        <v/>
      </c>
      <c r="E70" s="54" t="str">
        <f>IF(Trades!$A70="","",Trades!A70)</f>
        <v/>
      </c>
      <c r="F70" s="52" t="str">
        <f>IF(Trades!$A70="","",IFERROR(INDEX(Trades!$V$2:$V$14,MATCH(Trades!$E70,Trades!$U$2:$U$14,0)),""))</f>
        <v/>
      </c>
      <c r="G70" s="52" t="str">
        <f>IF(Trades!$A70="","",Trades!N70)</f>
        <v/>
      </c>
      <c r="H70" s="53" t="str">
        <f>IF(Trades!$A70="","",Trades!F70)</f>
        <v/>
      </c>
      <c r="I70" s="55" t="str">
        <f>IF(Trades!$A70="","",Trades!G70)</f>
        <v/>
      </c>
      <c r="J70" s="55" t="str">
        <f>IF(Trades!$A70="","",Trades!I70)</f>
        <v/>
      </c>
      <c r="K70" s="55" t="str">
        <f>IF(Trades!$A70="","",Trades!Q70)</f>
        <v/>
      </c>
      <c r="L70" s="53" t="str">
        <f>IF(Trades!$A70="","",Trades!F70)</f>
        <v/>
      </c>
      <c r="M70" s="55" t="str">
        <f>IF(Trades!$A70="","",Trades!M70)</f>
        <v/>
      </c>
      <c r="N70" s="55" t="str">
        <f>IF(Trades!$A70="","",Trades!R70)</f>
        <v/>
      </c>
      <c r="O70" s="55" t="str">
        <f>IF(Trades!$A70="","",Trades!J70)</f>
        <v/>
      </c>
      <c r="P70" s="54" t="str">
        <f>IF(Trades!$A70="","",Trades!H70)</f>
        <v/>
      </c>
      <c r="Q70" s="52" t="str">
        <f>IF(Trades!$A70="","",Trades!P70)</f>
        <v/>
      </c>
      <c r="R70" s="56" t="str">
        <f t="shared" si="0"/>
        <v/>
      </c>
      <c r="S70" s="56" t="str">
        <f t="shared" si="1"/>
        <v/>
      </c>
      <c r="T70" s="57" t="str">
        <f>IF(OR($A70="",$B70=""),"",IF(AND(IFERROR(LOOKUP(2,1/($B$9:$B$69=$B70),$AR$9:$AR69),1),NOT(AND(OR($F70="dividend",$F70="fee"),IFERROR(LOOKUP(2,1/($B$9:$B$69=$B70),$T$9:$T69),0)&gt;0))),IFERROR(LOOKUP(2,1/($B$9:$B$69=$B70),$T$9:$T69),0)+1,IFERROR(LOOKUP(2,1/($B$9:$B$69=$B70),$T$9:$T69),0)))</f>
        <v/>
      </c>
      <c r="U70" s="58" t="str">
        <f t="shared" si="2"/>
        <v/>
      </c>
      <c r="V70" s="58" t="str">
        <f>IF($A70="","",IF(OR($B70="",$C70="",$D70="",$E70="",$F70=""),"Missing required field",IF(COUNTIFS($A$9:$A70,$A70,$B$9:$B70,$B70)&gt;1,"Duplicate event ID",IF(AND($E70&lt;&gt;IFERROR(LOOKUP(2,1/($B$9:$B$69=$B70),$E$9:$E69),0),IFERROR(LOOKUP(2,1/($B$9:$B$69=$B70),$E$9:$E69),0)&gt;$E70),"Date out of order",IF(AND(OR($F70="buy_to_close",$F70="expire",$F70="roll",$F70="assignment",$F70="called_away"),$AF70=0),"Unknown lot",IF(OR(AND($F70="assignment",$AF70&gt;0,IF($AF70&gt;0,INDEX($AG$9:$AG$69,$AF70),"")&lt;&gt;"put"),AND($F70="called_away",$AF70&gt;0,IF($AF70&gt;0,INDEX($AG$9:$AG$69,$AF70),"")&lt;&gt;"call")),"Wrong option leg",IF(OR(AND(OR($F70="sell_put",$F70="sell_call"),OR($H70&lt;=0,$I70&lt;=0,$J70&lt;0)),AND(OR($F70="buy_to_close",$F70="expire",$F70="assignment",$F70="called_away"),OR($H70&lt;=0,$J70&lt;0)),AND($F70="roll",OR($H70&lt;=0,$I70&lt;=0,$J70&lt;0,$K70&lt;0)),AND(OR($F70="buy_shares",$F70="sell_shares"),OR($L70&lt;=0,$M70&lt;0)),AND(OR($F70="dividend",$F70="fee"),$N70&lt;0)),"Invalid value",IF(AND(OR($F70="sell_shares",$F70="called_away"),$AL70&lt;IF($F70="called_away",$AE70*$D70,$L70)),"Insufficient shares (capped)",IF(AND(OR($F70="buy_to_close",$F70="expire",$F70="roll",$F70="assignment",$F70="called_away"),$AF70&gt;0,$H70&gt;IF($AF70&gt;0,MAX(0,INDEX($AI$9:$AI$69,$AF70)-SUMIFS($AE$9:$AE$69,$G$9:$G$69,$G70,$B$9:$B$69,$B70)),0)),"Close quantity capped","OK")))))))))</f>
        <v/>
      </c>
      <c r="W70" s="59" t="str">
        <f t="shared" si="3"/>
        <v/>
      </c>
      <c r="X70" s="60" t="str">
        <f t="shared" si="4"/>
        <v/>
      </c>
      <c r="Y70" s="50" t="str">
        <f t="shared" si="5"/>
        <v/>
      </c>
      <c r="Z70" s="50" t="str">
        <f t="shared" si="6"/>
        <v/>
      </c>
      <c r="AA70" s="50" t="str">
        <f t="shared" si="7"/>
        <v/>
      </c>
      <c r="AB70" s="50" t="str">
        <f t="shared" si="8"/>
        <v/>
      </c>
      <c r="AC70" s="50" t="str">
        <f>IF($A70="","",IF($F70="assignment",IF($AF70&gt;0,INDEX($AH$9:$AH$69,$AF70),0)*$AE70*$D70,IF($F70="buy_shares",$M70*$AL70,0)))</f>
        <v/>
      </c>
      <c r="AD70" s="50" t="str">
        <f>IF($A70="","",IF($F70="called_away",IF($AF70&gt;0,INDEX($AH$9:$AH$69,$AF70),0)*$AL70,IF($F70="sell_shares",$M70*$AL70,0)))</f>
        <v/>
      </c>
      <c r="AE70" s="51" t="str">
        <f>IF($A70="","",IF(OR($F70="sell_put",$F70="sell_call"),IF(AND($H70&gt;0,$I70&gt;0,$J70&gt;=0),$H70,0),IF(OR($F70="buy_to_close",$F70="expire",$F70="roll",$F70="assignment",$F70="called_away"),IF(AND($AF70&gt;0,$H70&gt;0,IF($F70="assignment",IF($AF70&gt;0,INDEX($AG$9:$AG$69,$AF70),"")="put",TRUE),IF($F70="called_away",IF($AF70&gt;0,INDEX($AG$9:$AG$69,$AF70),"")="call",TRUE)),MIN($H70,IF($AF70&gt;0,MAX(0,INDEX($AI$9:$AI$69,$AF70)-SUMIFS($AE$9:$AE$69,$G$9:$G$69,$G70,$B$9:$B$69,$B70)),0)),0),0)))</f>
        <v/>
      </c>
      <c r="AF70" t="str">
        <f>IF($A70="","",IFERROR(MATCH(LEN($B70)&amp;":"&amp;$B70&amp;$G70,$AY$9:$AY$69,0),0))</f>
        <v/>
      </c>
      <c r="AG70" t="str">
        <f>IF($A70="","",IF($F70="sell_put","put",IF($F70="sell_call","call",IF($F70="roll",IF($AF70&gt;0,IF($AF70&gt;0,INDEX($AG$9:$AG$69,$AF70),""),""),IF($AF70&gt;0,IF($AF70&gt;0,INDEX($AG$9:$AG$69,$AF70),""),"")))))</f>
        <v/>
      </c>
      <c r="AH70" t="str">
        <f>IF($A70="","",IF(OR($F70="sell_put",$F70="sell_call",$F70="roll"),$I70,IF($AF70&gt;0,IF($AF70&gt;0,INDEX($AH$9:$AH$69,$AF70),0),0)))</f>
        <v/>
      </c>
      <c r="AI70" s="51" t="str">
        <f t="shared" si="9"/>
        <v/>
      </c>
      <c r="AJ70" s="51" t="str">
        <f>IF($A70="","",IFERROR(LOOKUP(2,1/($B$9:$B$69=$B70),$AM$9:$AM69),0))</f>
        <v/>
      </c>
      <c r="AK70" t="str">
        <f>IF($A70="","",IFERROR(LOOKUP(2,1/($B$9:$B$69=$B70),$AN$9:$AN69),0))</f>
        <v/>
      </c>
      <c r="AL70" s="51" t="str">
        <f t="shared" si="10"/>
        <v/>
      </c>
      <c r="AM70" s="51" t="str">
        <f t="shared" si="11"/>
        <v/>
      </c>
      <c r="AN70" t="str">
        <f t="shared" si="12"/>
        <v/>
      </c>
      <c r="AO70" s="50" t="str">
        <f>IF($A70="","",IFERROR(LOOKUP(2,1/($B$9:$B$69=$B70),$AO$9:$AO69),0)+IF($F70="sell_put",$I70*$AE70*$D70,IF($F70="roll",IF($AG70="put",($I70-IF($AF70&gt;0,INDEX($AH$9:$AH$69,$AF70),0))*$AE70*$D70,0),IF(AND(OR($F70="buy_to_close",$F70="expire",$F70="roll",$F70="assignment",$F70="called_away"),$F70&lt;&gt;"roll",$AG70="put"),-IF($AF70&gt;0,INDEX($AH$9:$AH$69,$AF70),0)*$AE70*$D70,0))))</f>
        <v/>
      </c>
      <c r="AP70" s="51" t="str">
        <f>IF($A70="","",IFERROR(LOOKUP(2,1/($B$9:$B$69=$B70),$AP$9:$AP69),0)+IF($F70="sell_put",$AE70*$D70,IF(AND(OR($F70="buy_to_close",$F70="expire",$F70="roll",$F70="assignment",$F70="called_away"),$F70&lt;&gt;"roll",$AG70="put"),-$AE70*$D70,0)))</f>
        <v/>
      </c>
      <c r="AQ70" s="51" t="str">
        <f>IF($A70="","",IFERROR(LOOKUP(2,1/($B$9:$B$69=$B70),$AQ$9:$AQ69),0)+IF(OR($F70="sell_put",$F70="sell_call"),$AE70,0)-IF(AND(OR($F70="buy_to_close",$F70="expire",$F70="roll",$F70="assignment",$F70="called_away"),$F70&lt;&gt;"roll"),$AE70,0))</f>
        <v/>
      </c>
      <c r="AR70" t="str">
        <f t="shared" si="13"/>
        <v/>
      </c>
      <c r="AS70" s="50" t="str">
        <f t="shared" si="14"/>
        <v/>
      </c>
      <c r="AT70" s="50" t="str">
        <f>IF($A70="","",MAX(IF($T70=IFERROR(LOOKUP(2,1/($B$9:$B$69=$B70),$T$9:$T69),0),IFERROR(LOOKUP(2,1/($B$9:$B$69=$B70),$AT$9:$AT69),0),0),$AS70))</f>
        <v/>
      </c>
      <c r="AU70" t="str">
        <f t="shared" si="15"/>
        <v/>
      </c>
      <c r="AV70" s="51">
        <f>IF($AU70="",0,IF(AND(IFERROR(LOOKUP(2,1/($B$9:$B$69=$B70),$AR$9:$AR69),1),NOT(AND(OR($F70="dividend",$F70="fee"),IFERROR(LOOKUP(2,1/($B$9:$B$69=$B70),$T$9:$T69),0)&gt;0))),ROW(),0))</f>
        <v>0</v>
      </c>
      <c r="AW70">
        <f>IF($A70="",0,IF($AV70&gt;0,MAX($AW$9:$AW$69)+1,MAX($AW$9:$AW$69)))</f>
        <v>0</v>
      </c>
      <c r="AX70">
        <f>IF($AU70="",0,IF(AND($AR70,OR(NOT(IFERROR(LOOKUP(2,1/($B$9:$B$69=$B70),$AR$9:$AR69),1)),IFERROR(LOOKUP(2,1/($B$9:$B$69=$B70),$T$9:$T69),0)=0)),ROW(),0))</f>
        <v>0</v>
      </c>
      <c r="AY70" t="str">
        <f t="shared" si="16"/>
        <v/>
      </c>
    </row>
    <row r="71" spans="1:51" ht="15" x14ac:dyDescent="0.25">
      <c r="A71" s="41" t="str">
        <f>IF(Trades!$A71="","",Trades!O71)</f>
        <v/>
      </c>
      <c r="B71" s="41" t="str">
        <f>IF(Trades!$A71="","",Trades!B71)</f>
        <v/>
      </c>
      <c r="C71" s="41" t="str">
        <f>IF(Trades!$A71="","",Trades!C71)</f>
        <v/>
      </c>
      <c r="D71" s="42" t="str">
        <f>IF(Trades!$A71="","",IF(Trades!$L71&gt;0,Trades!$L71,Trades!$C$6))</f>
        <v/>
      </c>
      <c r="E71" s="43" t="str">
        <f>IF(Trades!$A71="","",Trades!A71)</f>
        <v/>
      </c>
      <c r="F71" s="41" t="str">
        <f>IF(Trades!$A71="","",IFERROR(INDEX(Trades!$V$2:$V$14,MATCH(Trades!$E71,Trades!$U$2:$U$14,0)),""))</f>
        <v/>
      </c>
      <c r="G71" s="41" t="str">
        <f>IF(Trades!$A71="","",Trades!N71)</f>
        <v/>
      </c>
      <c r="H71" s="42" t="str">
        <f>IF(Trades!$A71="","",Trades!F71)</f>
        <v/>
      </c>
      <c r="I71" s="44" t="str">
        <f>IF(Trades!$A71="","",Trades!G71)</f>
        <v/>
      </c>
      <c r="J71" s="44" t="str">
        <f>IF(Trades!$A71="","",Trades!I71)</f>
        <v/>
      </c>
      <c r="K71" s="44" t="str">
        <f>IF(Trades!$A71="","",Trades!Q71)</f>
        <v/>
      </c>
      <c r="L71" s="42" t="str">
        <f>IF(Trades!$A71="","",Trades!F71)</f>
        <v/>
      </c>
      <c r="M71" s="44" t="str">
        <f>IF(Trades!$A71="","",Trades!M71)</f>
        <v/>
      </c>
      <c r="N71" s="44" t="str">
        <f>IF(Trades!$A71="","",Trades!R71)</f>
        <v/>
      </c>
      <c r="O71" s="44" t="str">
        <f>IF(Trades!$A71="","",Trades!J71)</f>
        <v/>
      </c>
      <c r="P71" s="43" t="str">
        <f>IF(Trades!$A71="","",Trades!H71)</f>
        <v/>
      </c>
      <c r="Q71" s="41" t="str">
        <f>IF(Trades!$A71="","",Trades!P71)</f>
        <v/>
      </c>
      <c r="R71" s="45" t="str">
        <f t="shared" si="0"/>
        <v/>
      </c>
      <c r="S71" s="45" t="str">
        <f t="shared" si="1"/>
        <v/>
      </c>
      <c r="T71" s="46" t="str">
        <f>IF(OR($A71="",$B71=""),"",IF(AND(IFERROR(LOOKUP(2,1/($B$9:$B$70=$B71),$AR$9:$AR70),1),NOT(AND(OR($F71="dividend",$F71="fee"),IFERROR(LOOKUP(2,1/($B$9:$B$70=$B71),$T$9:$T70),0)&gt;0))),IFERROR(LOOKUP(2,1/($B$9:$B$70=$B71),$T$9:$T70),0)+1,IFERROR(LOOKUP(2,1/($B$9:$B$70=$B71),$T$9:$T70),0)))</f>
        <v/>
      </c>
      <c r="U71" s="47" t="str">
        <f t="shared" si="2"/>
        <v/>
      </c>
      <c r="V71" s="47" t="str">
        <f>IF($A71="","",IF(OR($B71="",$C71="",$D71="",$E71="",$F71=""),"Missing required field",IF(COUNTIFS($A$9:$A71,$A71,$B$9:$B71,$B71)&gt;1,"Duplicate event ID",IF(AND($E71&lt;&gt;IFERROR(LOOKUP(2,1/($B$9:$B$70=$B71),$E$9:$E70),0),IFERROR(LOOKUP(2,1/($B$9:$B$70=$B71),$E$9:$E70),0)&gt;$E71),"Date out of order",IF(AND(OR($F71="buy_to_close",$F71="expire",$F71="roll",$F71="assignment",$F71="called_away"),$AF71=0),"Unknown lot",IF(OR(AND($F71="assignment",$AF71&gt;0,IF($AF71&gt;0,INDEX($AG$9:$AG$70,$AF71),"")&lt;&gt;"put"),AND($F71="called_away",$AF71&gt;0,IF($AF71&gt;0,INDEX($AG$9:$AG$70,$AF71),"")&lt;&gt;"call")),"Wrong option leg",IF(OR(AND(OR($F71="sell_put",$F71="sell_call"),OR($H71&lt;=0,$I71&lt;=0,$J71&lt;0)),AND(OR($F71="buy_to_close",$F71="expire",$F71="assignment",$F71="called_away"),OR($H71&lt;=0,$J71&lt;0)),AND($F71="roll",OR($H71&lt;=0,$I71&lt;=0,$J71&lt;0,$K71&lt;0)),AND(OR($F71="buy_shares",$F71="sell_shares"),OR($L71&lt;=0,$M71&lt;0)),AND(OR($F71="dividend",$F71="fee"),$N71&lt;0)),"Invalid value",IF(AND(OR($F71="sell_shares",$F71="called_away"),$AL71&lt;IF($F71="called_away",$AE71*$D71,$L71)),"Insufficient shares (capped)",IF(AND(OR($F71="buy_to_close",$F71="expire",$F71="roll",$F71="assignment",$F71="called_away"),$AF71&gt;0,$H71&gt;IF($AF71&gt;0,MAX(0,INDEX($AI$9:$AI$70,$AF71)-SUMIFS($AE$9:$AE$70,$G$9:$G$70,$G71,$B$9:$B$70,$B71)),0)),"Close quantity capped","OK")))))))))</f>
        <v/>
      </c>
      <c r="W71" s="48" t="str">
        <f t="shared" si="3"/>
        <v/>
      </c>
      <c r="X71" s="49" t="str">
        <f t="shared" si="4"/>
        <v/>
      </c>
      <c r="Y71" s="50" t="str">
        <f t="shared" si="5"/>
        <v/>
      </c>
      <c r="Z71" s="50" t="str">
        <f t="shared" si="6"/>
        <v/>
      </c>
      <c r="AA71" s="50" t="str">
        <f t="shared" si="7"/>
        <v/>
      </c>
      <c r="AB71" s="50" t="str">
        <f t="shared" si="8"/>
        <v/>
      </c>
      <c r="AC71" s="50" t="str">
        <f>IF($A71="","",IF($F71="assignment",IF($AF71&gt;0,INDEX($AH$9:$AH$70,$AF71),0)*$AE71*$D71,IF($F71="buy_shares",$M71*$AL71,0)))</f>
        <v/>
      </c>
      <c r="AD71" s="50" t="str">
        <f>IF($A71="","",IF($F71="called_away",IF($AF71&gt;0,INDEX($AH$9:$AH$70,$AF71),0)*$AL71,IF($F71="sell_shares",$M71*$AL71,0)))</f>
        <v/>
      </c>
      <c r="AE71" s="51" t="str">
        <f>IF($A71="","",IF(OR($F71="sell_put",$F71="sell_call"),IF(AND($H71&gt;0,$I71&gt;0,$J71&gt;=0),$H71,0),IF(OR($F71="buy_to_close",$F71="expire",$F71="roll",$F71="assignment",$F71="called_away"),IF(AND($AF71&gt;0,$H71&gt;0,IF($F71="assignment",IF($AF71&gt;0,INDEX($AG$9:$AG$70,$AF71),"")="put",TRUE),IF($F71="called_away",IF($AF71&gt;0,INDEX($AG$9:$AG$70,$AF71),"")="call",TRUE)),MIN($H71,IF($AF71&gt;0,MAX(0,INDEX($AI$9:$AI$70,$AF71)-SUMIFS($AE$9:$AE$70,$G$9:$G$70,$G71,$B$9:$B$70,$B71)),0)),0),0)))</f>
        <v/>
      </c>
      <c r="AF71" t="str">
        <f>IF($A71="","",IFERROR(MATCH(LEN($B71)&amp;":"&amp;$B71&amp;$G71,$AY$9:$AY$70,0),0))</f>
        <v/>
      </c>
      <c r="AG71" t="str">
        <f>IF($A71="","",IF($F71="sell_put","put",IF($F71="sell_call","call",IF($F71="roll",IF($AF71&gt;0,IF($AF71&gt;0,INDEX($AG$9:$AG$70,$AF71),""),""),IF($AF71&gt;0,IF($AF71&gt;0,INDEX($AG$9:$AG$70,$AF71),""),"")))))</f>
        <v/>
      </c>
      <c r="AH71" t="str">
        <f>IF($A71="","",IF(OR($F71="sell_put",$F71="sell_call",$F71="roll"),$I71,IF($AF71&gt;0,IF($AF71&gt;0,INDEX($AH$9:$AH$70,$AF71),0),0)))</f>
        <v/>
      </c>
      <c r="AI71" s="51" t="str">
        <f t="shared" si="9"/>
        <v/>
      </c>
      <c r="AJ71" s="51" t="str">
        <f>IF($A71="","",IFERROR(LOOKUP(2,1/($B$9:$B$70=$B71),$AM$9:$AM70),0))</f>
        <v/>
      </c>
      <c r="AK71" t="str">
        <f>IF($A71="","",IFERROR(LOOKUP(2,1/($B$9:$B$70=$B71),$AN$9:$AN70),0))</f>
        <v/>
      </c>
      <c r="AL71" s="51" t="str">
        <f t="shared" si="10"/>
        <v/>
      </c>
      <c r="AM71" s="51" t="str">
        <f t="shared" si="11"/>
        <v/>
      </c>
      <c r="AN71" t="str">
        <f t="shared" si="12"/>
        <v/>
      </c>
      <c r="AO71" s="50" t="str">
        <f>IF($A71="","",IFERROR(LOOKUP(2,1/($B$9:$B$70=$B71),$AO$9:$AO70),0)+IF($F71="sell_put",$I71*$AE71*$D71,IF($F71="roll",IF($AG71="put",($I71-IF($AF71&gt;0,INDEX($AH$9:$AH$70,$AF71),0))*$AE71*$D71,0),IF(AND(OR($F71="buy_to_close",$F71="expire",$F71="roll",$F71="assignment",$F71="called_away"),$F71&lt;&gt;"roll",$AG71="put"),-IF($AF71&gt;0,INDEX($AH$9:$AH$70,$AF71),0)*$AE71*$D71,0))))</f>
        <v/>
      </c>
      <c r="AP71" s="51" t="str">
        <f>IF($A71="","",IFERROR(LOOKUP(2,1/($B$9:$B$70=$B71),$AP$9:$AP70),0)+IF($F71="sell_put",$AE71*$D71,IF(AND(OR($F71="buy_to_close",$F71="expire",$F71="roll",$F71="assignment",$F71="called_away"),$F71&lt;&gt;"roll",$AG71="put"),-$AE71*$D71,0)))</f>
        <v/>
      </c>
      <c r="AQ71" s="51" t="str">
        <f>IF($A71="","",IFERROR(LOOKUP(2,1/($B$9:$B$70=$B71),$AQ$9:$AQ70),0)+IF(OR($F71="sell_put",$F71="sell_call"),$AE71,0)-IF(AND(OR($F71="buy_to_close",$F71="expire",$F71="roll",$F71="assignment",$F71="called_away"),$F71&lt;&gt;"roll"),$AE71,0))</f>
        <v/>
      </c>
      <c r="AR71" t="str">
        <f t="shared" si="13"/>
        <v/>
      </c>
      <c r="AS71" s="50" t="str">
        <f t="shared" si="14"/>
        <v/>
      </c>
      <c r="AT71" s="50" t="str">
        <f>IF($A71="","",MAX(IF($T71=IFERROR(LOOKUP(2,1/($B$9:$B$70=$B71),$T$9:$T70),0),IFERROR(LOOKUP(2,1/($B$9:$B$70=$B71),$AT$9:$AT70),0),0),$AS71))</f>
        <v/>
      </c>
      <c r="AU71" t="str">
        <f t="shared" si="15"/>
        <v/>
      </c>
      <c r="AV71" s="51">
        <f>IF($AU71="",0,IF(AND(IFERROR(LOOKUP(2,1/($B$9:$B$70=$B71),$AR$9:$AR70),1),NOT(AND(OR($F71="dividend",$F71="fee"),IFERROR(LOOKUP(2,1/($B$9:$B$70=$B71),$T$9:$T70),0)&gt;0))),ROW(),0))</f>
        <v>0</v>
      </c>
      <c r="AW71">
        <f>IF($A71="",0,IF($AV71&gt;0,MAX($AW$9:$AW$70)+1,MAX($AW$9:$AW$70)))</f>
        <v>0</v>
      </c>
      <c r="AX71">
        <f>IF($AU71="",0,IF(AND($AR71,OR(NOT(IFERROR(LOOKUP(2,1/($B$9:$B$70=$B71),$AR$9:$AR70),1)),IFERROR(LOOKUP(2,1/($B$9:$B$70=$B71),$T$9:$T70),0)=0)),ROW(),0))</f>
        <v>0</v>
      </c>
      <c r="AY71" t="str">
        <f t="shared" si="16"/>
        <v/>
      </c>
    </row>
    <row r="72" spans="1:51" ht="15" x14ac:dyDescent="0.25">
      <c r="A72" s="52" t="str">
        <f>IF(Trades!$A72="","",Trades!O72)</f>
        <v/>
      </c>
      <c r="B72" s="52" t="str">
        <f>IF(Trades!$A72="","",Trades!B72)</f>
        <v/>
      </c>
      <c r="C72" s="52" t="str">
        <f>IF(Trades!$A72="","",Trades!C72)</f>
        <v/>
      </c>
      <c r="D72" s="53" t="str">
        <f>IF(Trades!$A72="","",IF(Trades!$L72&gt;0,Trades!$L72,Trades!$C$6))</f>
        <v/>
      </c>
      <c r="E72" s="54" t="str">
        <f>IF(Trades!$A72="","",Trades!A72)</f>
        <v/>
      </c>
      <c r="F72" s="52" t="str">
        <f>IF(Trades!$A72="","",IFERROR(INDEX(Trades!$V$2:$V$14,MATCH(Trades!$E72,Trades!$U$2:$U$14,0)),""))</f>
        <v/>
      </c>
      <c r="G72" s="52" t="str">
        <f>IF(Trades!$A72="","",Trades!N72)</f>
        <v/>
      </c>
      <c r="H72" s="53" t="str">
        <f>IF(Trades!$A72="","",Trades!F72)</f>
        <v/>
      </c>
      <c r="I72" s="55" t="str">
        <f>IF(Trades!$A72="","",Trades!G72)</f>
        <v/>
      </c>
      <c r="J72" s="55" t="str">
        <f>IF(Trades!$A72="","",Trades!I72)</f>
        <v/>
      </c>
      <c r="K72" s="55" t="str">
        <f>IF(Trades!$A72="","",Trades!Q72)</f>
        <v/>
      </c>
      <c r="L72" s="53" t="str">
        <f>IF(Trades!$A72="","",Trades!F72)</f>
        <v/>
      </c>
      <c r="M72" s="55" t="str">
        <f>IF(Trades!$A72="","",Trades!M72)</f>
        <v/>
      </c>
      <c r="N72" s="55" t="str">
        <f>IF(Trades!$A72="","",Trades!R72)</f>
        <v/>
      </c>
      <c r="O72" s="55" t="str">
        <f>IF(Trades!$A72="","",Trades!J72)</f>
        <v/>
      </c>
      <c r="P72" s="54" t="str">
        <f>IF(Trades!$A72="","",Trades!H72)</f>
        <v/>
      </c>
      <c r="Q72" s="52" t="str">
        <f>IF(Trades!$A72="","",Trades!P72)</f>
        <v/>
      </c>
      <c r="R72" s="56" t="str">
        <f t="shared" si="0"/>
        <v/>
      </c>
      <c r="S72" s="56" t="str">
        <f t="shared" si="1"/>
        <v/>
      </c>
      <c r="T72" s="57" t="str">
        <f>IF(OR($A72="",$B72=""),"",IF(AND(IFERROR(LOOKUP(2,1/($B$9:$B$71=$B72),$AR$9:$AR71),1),NOT(AND(OR($F72="dividend",$F72="fee"),IFERROR(LOOKUP(2,1/($B$9:$B$71=$B72),$T$9:$T71),0)&gt;0))),IFERROR(LOOKUP(2,1/($B$9:$B$71=$B72),$T$9:$T71),0)+1,IFERROR(LOOKUP(2,1/($B$9:$B$71=$B72),$T$9:$T71),0)))</f>
        <v/>
      </c>
      <c r="U72" s="58" t="str">
        <f t="shared" si="2"/>
        <v/>
      </c>
      <c r="V72" s="58" t="str">
        <f>IF($A72="","",IF(OR($B72="",$C72="",$D72="",$E72="",$F72=""),"Missing required field",IF(COUNTIFS($A$9:$A72,$A72,$B$9:$B72,$B72)&gt;1,"Duplicate event ID",IF(AND($E72&lt;&gt;IFERROR(LOOKUP(2,1/($B$9:$B$71=$B72),$E$9:$E71),0),IFERROR(LOOKUP(2,1/($B$9:$B$71=$B72),$E$9:$E71),0)&gt;$E72),"Date out of order",IF(AND(OR($F72="buy_to_close",$F72="expire",$F72="roll",$F72="assignment",$F72="called_away"),$AF72=0),"Unknown lot",IF(OR(AND($F72="assignment",$AF72&gt;0,IF($AF72&gt;0,INDEX($AG$9:$AG$71,$AF72),"")&lt;&gt;"put"),AND($F72="called_away",$AF72&gt;0,IF($AF72&gt;0,INDEX($AG$9:$AG$71,$AF72),"")&lt;&gt;"call")),"Wrong option leg",IF(OR(AND(OR($F72="sell_put",$F72="sell_call"),OR($H72&lt;=0,$I72&lt;=0,$J72&lt;0)),AND(OR($F72="buy_to_close",$F72="expire",$F72="assignment",$F72="called_away"),OR($H72&lt;=0,$J72&lt;0)),AND($F72="roll",OR($H72&lt;=0,$I72&lt;=0,$J72&lt;0,$K72&lt;0)),AND(OR($F72="buy_shares",$F72="sell_shares"),OR($L72&lt;=0,$M72&lt;0)),AND(OR($F72="dividend",$F72="fee"),$N72&lt;0)),"Invalid value",IF(AND(OR($F72="sell_shares",$F72="called_away"),$AL72&lt;IF($F72="called_away",$AE72*$D72,$L72)),"Insufficient shares (capped)",IF(AND(OR($F72="buy_to_close",$F72="expire",$F72="roll",$F72="assignment",$F72="called_away"),$AF72&gt;0,$H72&gt;IF($AF72&gt;0,MAX(0,INDEX($AI$9:$AI$71,$AF72)-SUMIFS($AE$9:$AE$71,$G$9:$G$71,$G72,$B$9:$B$71,$B72)),0)),"Close quantity capped","OK")))))))))</f>
        <v/>
      </c>
      <c r="W72" s="59" t="str">
        <f t="shared" si="3"/>
        <v/>
      </c>
      <c r="X72" s="60" t="str">
        <f t="shared" si="4"/>
        <v/>
      </c>
      <c r="Y72" s="50" t="str">
        <f t="shared" si="5"/>
        <v/>
      </c>
      <c r="Z72" s="50" t="str">
        <f t="shared" si="6"/>
        <v/>
      </c>
      <c r="AA72" s="50" t="str">
        <f t="shared" si="7"/>
        <v/>
      </c>
      <c r="AB72" s="50" t="str">
        <f t="shared" si="8"/>
        <v/>
      </c>
      <c r="AC72" s="50" t="str">
        <f>IF($A72="","",IF($F72="assignment",IF($AF72&gt;0,INDEX($AH$9:$AH$71,$AF72),0)*$AE72*$D72,IF($F72="buy_shares",$M72*$AL72,0)))</f>
        <v/>
      </c>
      <c r="AD72" s="50" t="str">
        <f>IF($A72="","",IF($F72="called_away",IF($AF72&gt;0,INDEX($AH$9:$AH$71,$AF72),0)*$AL72,IF($F72="sell_shares",$M72*$AL72,0)))</f>
        <v/>
      </c>
      <c r="AE72" s="51" t="str">
        <f>IF($A72="","",IF(OR($F72="sell_put",$F72="sell_call"),IF(AND($H72&gt;0,$I72&gt;0,$J72&gt;=0),$H72,0),IF(OR($F72="buy_to_close",$F72="expire",$F72="roll",$F72="assignment",$F72="called_away"),IF(AND($AF72&gt;0,$H72&gt;0,IF($F72="assignment",IF($AF72&gt;0,INDEX($AG$9:$AG$71,$AF72),"")="put",TRUE),IF($F72="called_away",IF($AF72&gt;0,INDEX($AG$9:$AG$71,$AF72),"")="call",TRUE)),MIN($H72,IF($AF72&gt;0,MAX(0,INDEX($AI$9:$AI$71,$AF72)-SUMIFS($AE$9:$AE$71,$G$9:$G$71,$G72,$B$9:$B$71,$B72)),0)),0),0)))</f>
        <v/>
      </c>
      <c r="AF72" t="str">
        <f>IF($A72="","",IFERROR(MATCH(LEN($B72)&amp;":"&amp;$B72&amp;$G72,$AY$9:$AY$71,0),0))</f>
        <v/>
      </c>
      <c r="AG72" t="str">
        <f>IF($A72="","",IF($F72="sell_put","put",IF($F72="sell_call","call",IF($F72="roll",IF($AF72&gt;0,IF($AF72&gt;0,INDEX($AG$9:$AG$71,$AF72),""),""),IF($AF72&gt;0,IF($AF72&gt;0,INDEX($AG$9:$AG$71,$AF72),""),"")))))</f>
        <v/>
      </c>
      <c r="AH72" t="str">
        <f>IF($A72="","",IF(OR($F72="sell_put",$F72="sell_call",$F72="roll"),$I72,IF($AF72&gt;0,IF($AF72&gt;0,INDEX($AH$9:$AH$71,$AF72),0),0)))</f>
        <v/>
      </c>
      <c r="AI72" s="51" t="str">
        <f t="shared" si="9"/>
        <v/>
      </c>
      <c r="AJ72" s="51" t="str">
        <f>IF($A72="","",IFERROR(LOOKUP(2,1/($B$9:$B$71=$B72),$AM$9:$AM71),0))</f>
        <v/>
      </c>
      <c r="AK72" t="str">
        <f>IF($A72="","",IFERROR(LOOKUP(2,1/($B$9:$B$71=$B72),$AN$9:$AN71),0))</f>
        <v/>
      </c>
      <c r="AL72" s="51" t="str">
        <f t="shared" si="10"/>
        <v/>
      </c>
      <c r="AM72" s="51" t="str">
        <f t="shared" si="11"/>
        <v/>
      </c>
      <c r="AN72" t="str">
        <f t="shared" si="12"/>
        <v/>
      </c>
      <c r="AO72" s="50" t="str">
        <f>IF($A72="","",IFERROR(LOOKUP(2,1/($B$9:$B$71=$B72),$AO$9:$AO71),0)+IF($F72="sell_put",$I72*$AE72*$D72,IF($F72="roll",IF($AG72="put",($I72-IF($AF72&gt;0,INDEX($AH$9:$AH$71,$AF72),0))*$AE72*$D72,0),IF(AND(OR($F72="buy_to_close",$F72="expire",$F72="roll",$F72="assignment",$F72="called_away"),$F72&lt;&gt;"roll",$AG72="put"),-IF($AF72&gt;0,INDEX($AH$9:$AH$71,$AF72),0)*$AE72*$D72,0))))</f>
        <v/>
      </c>
      <c r="AP72" s="51" t="str">
        <f>IF($A72="","",IFERROR(LOOKUP(2,1/($B$9:$B$71=$B72),$AP$9:$AP71),0)+IF($F72="sell_put",$AE72*$D72,IF(AND(OR($F72="buy_to_close",$F72="expire",$F72="roll",$F72="assignment",$F72="called_away"),$F72&lt;&gt;"roll",$AG72="put"),-$AE72*$D72,0)))</f>
        <v/>
      </c>
      <c r="AQ72" s="51" t="str">
        <f>IF($A72="","",IFERROR(LOOKUP(2,1/($B$9:$B$71=$B72),$AQ$9:$AQ71),0)+IF(OR($F72="sell_put",$F72="sell_call"),$AE72,0)-IF(AND(OR($F72="buy_to_close",$F72="expire",$F72="roll",$F72="assignment",$F72="called_away"),$F72&lt;&gt;"roll"),$AE72,0))</f>
        <v/>
      </c>
      <c r="AR72" t="str">
        <f t="shared" si="13"/>
        <v/>
      </c>
      <c r="AS72" s="50" t="str">
        <f t="shared" si="14"/>
        <v/>
      </c>
      <c r="AT72" s="50" t="str">
        <f>IF($A72="","",MAX(IF($T72=IFERROR(LOOKUP(2,1/($B$9:$B$71=$B72),$T$9:$T71),0),IFERROR(LOOKUP(2,1/($B$9:$B$71=$B72),$AT$9:$AT71),0),0),$AS72))</f>
        <v/>
      </c>
      <c r="AU72" t="str">
        <f t="shared" si="15"/>
        <v/>
      </c>
      <c r="AV72" s="51">
        <f>IF($AU72="",0,IF(AND(IFERROR(LOOKUP(2,1/($B$9:$B$71=$B72),$AR$9:$AR71),1),NOT(AND(OR($F72="dividend",$F72="fee"),IFERROR(LOOKUP(2,1/($B$9:$B$71=$B72),$T$9:$T71),0)&gt;0))),ROW(),0))</f>
        <v>0</v>
      </c>
      <c r="AW72">
        <f>IF($A72="",0,IF($AV72&gt;0,MAX($AW$9:$AW$71)+1,MAX($AW$9:$AW$71)))</f>
        <v>0</v>
      </c>
      <c r="AX72">
        <f>IF($AU72="",0,IF(AND($AR72,OR(NOT(IFERROR(LOOKUP(2,1/($B$9:$B$71=$B72),$AR$9:$AR71),1)),IFERROR(LOOKUP(2,1/($B$9:$B$71=$B72),$T$9:$T71),0)=0)),ROW(),0))</f>
        <v>0</v>
      </c>
      <c r="AY72" t="str">
        <f t="shared" si="16"/>
        <v/>
      </c>
    </row>
    <row r="73" spans="1:51" ht="15" x14ac:dyDescent="0.25">
      <c r="A73" s="41" t="str">
        <f>IF(Trades!$A73="","",Trades!O73)</f>
        <v/>
      </c>
      <c r="B73" s="41" t="str">
        <f>IF(Trades!$A73="","",Trades!B73)</f>
        <v/>
      </c>
      <c r="C73" s="41" t="str">
        <f>IF(Trades!$A73="","",Trades!C73)</f>
        <v/>
      </c>
      <c r="D73" s="42" t="str">
        <f>IF(Trades!$A73="","",IF(Trades!$L73&gt;0,Trades!$L73,Trades!$C$6))</f>
        <v/>
      </c>
      <c r="E73" s="43" t="str">
        <f>IF(Trades!$A73="","",Trades!A73)</f>
        <v/>
      </c>
      <c r="F73" s="41" t="str">
        <f>IF(Trades!$A73="","",IFERROR(INDEX(Trades!$V$2:$V$14,MATCH(Trades!$E73,Trades!$U$2:$U$14,0)),""))</f>
        <v/>
      </c>
      <c r="G73" s="41" t="str">
        <f>IF(Trades!$A73="","",Trades!N73)</f>
        <v/>
      </c>
      <c r="H73" s="42" t="str">
        <f>IF(Trades!$A73="","",Trades!F73)</f>
        <v/>
      </c>
      <c r="I73" s="44" t="str">
        <f>IF(Trades!$A73="","",Trades!G73)</f>
        <v/>
      </c>
      <c r="J73" s="44" t="str">
        <f>IF(Trades!$A73="","",Trades!I73)</f>
        <v/>
      </c>
      <c r="K73" s="44" t="str">
        <f>IF(Trades!$A73="","",Trades!Q73)</f>
        <v/>
      </c>
      <c r="L73" s="42" t="str">
        <f>IF(Trades!$A73="","",Trades!F73)</f>
        <v/>
      </c>
      <c r="M73" s="44" t="str">
        <f>IF(Trades!$A73="","",Trades!M73)</f>
        <v/>
      </c>
      <c r="N73" s="44" t="str">
        <f>IF(Trades!$A73="","",Trades!R73)</f>
        <v/>
      </c>
      <c r="O73" s="44" t="str">
        <f>IF(Trades!$A73="","",Trades!J73)</f>
        <v/>
      </c>
      <c r="P73" s="43" t="str">
        <f>IF(Trades!$A73="","",Trades!H73)</f>
        <v/>
      </c>
      <c r="Q73" s="41" t="str">
        <f>IF(Trades!$A73="","",Trades!P73)</f>
        <v/>
      </c>
      <c r="R73" s="45" t="str">
        <f t="shared" ref="R73:R136" si="17">IF($A73="","",$Y73-$Z73)</f>
        <v/>
      </c>
      <c r="S73" s="45" t="str">
        <f t="shared" ref="S73:S136" si="18">IF($A73="","",$R73+$AA73-$AB73-$AC73+$AD73)</f>
        <v/>
      </c>
      <c r="T73" s="46" t="str">
        <f>IF(OR($A73="",$B73=""),"",IF(AND(IFERROR(LOOKUP(2,1/($B$9:$B$72=$B73),$AR$9:$AR72),1),NOT(AND(OR($F73="dividend",$F73="fee"),IFERROR(LOOKUP(2,1/($B$9:$B$72=$B73),$T$9:$T72),0)&gt;0))),IFERROR(LOOKUP(2,1/($B$9:$B$72=$B73),$T$9:$T72),0)+1,IFERROR(LOOKUP(2,1/($B$9:$B$72=$B73),$T$9:$T72),0)))</f>
        <v/>
      </c>
      <c r="U73" s="47" t="str">
        <f t="shared" ref="U73:U136" si="19">IF($A73="","",IF($AR73,"Flat / cycle closed",IF($AM73&gt;0,"Shares held","Short option open")))</f>
        <v/>
      </c>
      <c r="V73" s="47" t="str">
        <f>IF($A73="","",IF(OR($B73="",$C73="",$D73="",$E73="",$F73=""),"Missing required field",IF(COUNTIFS($A$9:$A73,$A73,$B$9:$B73,$B73)&gt;1,"Duplicate event ID",IF(AND($E73&lt;&gt;IFERROR(LOOKUP(2,1/($B$9:$B$72=$B73),$E$9:$E72),0),IFERROR(LOOKUP(2,1/($B$9:$B$72=$B73),$E$9:$E72),0)&gt;$E73),"Date out of order",IF(AND(OR($F73="buy_to_close",$F73="expire",$F73="roll",$F73="assignment",$F73="called_away"),$AF73=0),"Unknown lot",IF(OR(AND($F73="assignment",$AF73&gt;0,IF($AF73&gt;0,INDEX($AG$9:$AG$72,$AF73),"")&lt;&gt;"put"),AND($F73="called_away",$AF73&gt;0,IF($AF73&gt;0,INDEX($AG$9:$AG$72,$AF73),"")&lt;&gt;"call")),"Wrong option leg",IF(OR(AND(OR($F73="sell_put",$F73="sell_call"),OR($H73&lt;=0,$I73&lt;=0,$J73&lt;0)),AND(OR($F73="buy_to_close",$F73="expire",$F73="assignment",$F73="called_away"),OR($H73&lt;=0,$J73&lt;0)),AND($F73="roll",OR($H73&lt;=0,$I73&lt;=0,$J73&lt;0,$K73&lt;0)),AND(OR($F73="buy_shares",$F73="sell_shares"),OR($L73&lt;=0,$M73&lt;0)),AND(OR($F73="dividend",$F73="fee"),$N73&lt;0)),"Invalid value",IF(AND(OR($F73="sell_shares",$F73="called_away"),$AL73&lt;IF($F73="called_away",$AE73*$D73,$L73)),"Insufficient shares (capped)",IF(AND(OR($F73="buy_to_close",$F73="expire",$F73="roll",$F73="assignment",$F73="called_away"),$AF73&gt;0,$H73&gt;IF($AF73&gt;0,MAX(0,INDEX($AI$9:$AI$72,$AF73)-SUMIFS($AE$9:$AE$72,$G$9:$G$72,$G73,$B$9:$B$72,$B73)),0)),"Close quantity capped","OK")))))))))</f>
        <v/>
      </c>
      <c r="W73" s="48" t="str">
        <f t="shared" ref="W73:W136" si="20">IF($A73="","",$AM73)</f>
        <v/>
      </c>
      <c r="X73" s="49" t="str">
        <f t="shared" ref="X73:X136" si="21">IF($A73="","",$AS73)</f>
        <v/>
      </c>
      <c r="Y73" s="50" t="str">
        <f t="shared" ref="Y73:Y136" si="22">IF($A73="","",IF(OR($F73="sell_put",$F73="sell_call"),$J73*$AE73*$D73,IF($F73="roll",$J73*$AE73*$D73,0)))</f>
        <v/>
      </c>
      <c r="Z73" s="50" t="str">
        <f t="shared" ref="Z73:Z136" si="23">IF($A73="","",IF($F73="buy_to_close",$J73*$AE73*$D73,IF($F73="roll",$K73*$AE73*$D73,0)))</f>
        <v/>
      </c>
      <c r="AA73" s="50" t="str">
        <f t="shared" ref="AA73:AA136" si="24">IF($A73="","",IF(AND($F73="dividend",$N73&gt;=0),$N73,0))</f>
        <v/>
      </c>
      <c r="AB73" s="50" t="str">
        <f t="shared" ref="AB73:AB136" si="25">IF($A73="","",IF($O73&gt;=0,$O73,0)+IF(AND($F73="fee",$N73&gt;=0),$N73,0))</f>
        <v/>
      </c>
      <c r="AC73" s="50" t="str">
        <f>IF($A73="","",IF($F73="assignment",IF($AF73&gt;0,INDEX($AH$9:$AH$72,$AF73),0)*$AE73*$D73,IF($F73="buy_shares",$M73*$AL73,0)))</f>
        <v/>
      </c>
      <c r="AD73" s="50" t="str">
        <f>IF($A73="","",IF($F73="called_away",IF($AF73&gt;0,INDEX($AH$9:$AH$72,$AF73),0)*$AL73,IF($F73="sell_shares",$M73*$AL73,0)))</f>
        <v/>
      </c>
      <c r="AE73" s="51" t="str">
        <f>IF($A73="","",IF(OR($F73="sell_put",$F73="sell_call"),IF(AND($H73&gt;0,$I73&gt;0,$J73&gt;=0),$H73,0),IF(OR($F73="buy_to_close",$F73="expire",$F73="roll",$F73="assignment",$F73="called_away"),IF(AND($AF73&gt;0,$H73&gt;0,IF($F73="assignment",IF($AF73&gt;0,INDEX($AG$9:$AG$72,$AF73),"")="put",TRUE),IF($F73="called_away",IF($AF73&gt;0,INDEX($AG$9:$AG$72,$AF73),"")="call",TRUE)),MIN($H73,IF($AF73&gt;0,MAX(0,INDEX($AI$9:$AI$72,$AF73)-SUMIFS($AE$9:$AE$72,$G$9:$G$72,$G73,$B$9:$B$72,$B73)),0)),0),0)))</f>
        <v/>
      </c>
      <c r="AF73" t="str">
        <f>IF($A73="","",IFERROR(MATCH(LEN($B73)&amp;":"&amp;$B73&amp;$G73,$AY$9:$AY$72,0),0))</f>
        <v/>
      </c>
      <c r="AG73" t="str">
        <f>IF($A73="","",IF($F73="sell_put","put",IF($F73="sell_call","call",IF($F73="roll",IF($AF73&gt;0,IF($AF73&gt;0,INDEX($AG$9:$AG$72,$AF73),""),""),IF($AF73&gt;0,IF($AF73&gt;0,INDEX($AG$9:$AG$72,$AF73),""),"")))))</f>
        <v/>
      </c>
      <c r="AH73" t="str">
        <f>IF($A73="","",IF(OR($F73="sell_put",$F73="sell_call",$F73="roll"),$I73,IF($AF73&gt;0,IF($AF73&gt;0,INDEX($AH$9:$AH$72,$AF73),0),0)))</f>
        <v/>
      </c>
      <c r="AI73" s="51" t="str">
        <f t="shared" ref="AI73:AI136" si="26">IF($A73="","",IF(OR($F73="sell_put",$F73="sell_call"),IF(AND($H73&gt;0,$I73&gt;0,$J73&gt;=0),$H73,0),IF($F73="roll",$AE73,0)))</f>
        <v/>
      </c>
      <c r="AJ73" s="51" t="str">
        <f>IF($A73="","",IFERROR(LOOKUP(2,1/($B$9:$B$72=$B73),$AM$9:$AM72),0))</f>
        <v/>
      </c>
      <c r="AK73" t="str">
        <f>IF($A73="","",IFERROR(LOOKUP(2,1/($B$9:$B$72=$B73),$AN$9:$AN72),0))</f>
        <v/>
      </c>
      <c r="AL73" s="51" t="str">
        <f t="shared" ref="AL73:AL136" si="27">IF($A73="","",IF($F73="assignment",$AE73*$D73,IF($F73="called_away",MIN(MAX(0,$AE73*$D73),MAX(0,$AJ73)),IF($F73="buy_shares",IF(AND($L73&gt;0,$M73&gt;=0),$L73,0),IF($F73="sell_shares",IF(AND($L73&gt;0,$M73&gt;=0),MIN($L73,MAX(0,$AJ73)),0),0)))))</f>
        <v/>
      </c>
      <c r="AM73" s="51" t="str">
        <f t="shared" ref="AM73:AM136" si="28">IF($A73="","",MAX(0,$AJ73+IF(OR($F73="assignment",$F73="buy_shares"),$AL73,-$AL73)))</f>
        <v/>
      </c>
      <c r="AN73" t="str">
        <f t="shared" ref="AN73:AN136" si="29">IF($A73="","",IF($AM73&lt;=0.000000001,0,MAX(0,$AK73+$AC73-IF(OR($F73="called_away",$F73="sell_shares"),IF($AJ73&gt;0,$AK73/$AJ73*$AL73,0),0))))</f>
        <v/>
      </c>
      <c r="AO73" s="50" t="str">
        <f>IF($A73="","",IFERROR(LOOKUP(2,1/($B$9:$B$72=$B73),$AO$9:$AO72),0)+IF($F73="sell_put",$I73*$AE73*$D73,IF($F73="roll",IF($AG73="put",($I73-IF($AF73&gt;0,INDEX($AH$9:$AH$72,$AF73),0))*$AE73*$D73,0),IF(AND(OR($F73="buy_to_close",$F73="expire",$F73="roll",$F73="assignment",$F73="called_away"),$F73&lt;&gt;"roll",$AG73="put"),-IF($AF73&gt;0,INDEX($AH$9:$AH$72,$AF73),0)*$AE73*$D73,0))))</f>
        <v/>
      </c>
      <c r="AP73" s="51" t="str">
        <f>IF($A73="","",IFERROR(LOOKUP(2,1/($B$9:$B$72=$B73),$AP$9:$AP72),0)+IF($F73="sell_put",$AE73*$D73,IF(AND(OR($F73="buy_to_close",$F73="expire",$F73="roll",$F73="assignment",$F73="called_away"),$F73&lt;&gt;"roll",$AG73="put"),-$AE73*$D73,0)))</f>
        <v/>
      </c>
      <c r="AQ73" s="51" t="str">
        <f>IF($A73="","",IFERROR(LOOKUP(2,1/($B$9:$B$72=$B73),$AQ$9:$AQ72),0)+IF(OR($F73="sell_put",$F73="sell_call"),$AE73,0)-IF(AND(OR($F73="buy_to_close",$F73="expire",$F73="roll",$F73="assignment",$F73="called_away"),$F73&lt;&gt;"roll"),$AE73,0))</f>
        <v/>
      </c>
      <c r="AR73" t="str">
        <f t="shared" ref="AR73:AR136" si="30">IF($A73="","",AND($AM73&lt;=0.000000001,$AQ73&lt;=0.000000001))</f>
        <v/>
      </c>
      <c r="AS73" s="50" t="str">
        <f t="shared" ref="AS73:AS136" si="31">IF($A73="","",$AO73+$AN73)</f>
        <v/>
      </c>
      <c r="AT73" s="50" t="str">
        <f>IF($A73="","",MAX(IF($T73=IFERROR(LOOKUP(2,1/($B$9:$B$72=$B73),$T$9:$T72),0),IFERROR(LOOKUP(2,1/($B$9:$B$72=$B73),$AT$9:$AT72),0),0),$AS73))</f>
        <v/>
      </c>
      <c r="AU73" t="str">
        <f t="shared" ref="AU73:AU136" si="32">IF(OR($A73="",$B73="",$T73=""),"",$B73&amp;"¦"&amp;$T73)</f>
        <v/>
      </c>
      <c r="AV73" s="51">
        <f>IF($AU73="",0,IF(AND(IFERROR(LOOKUP(2,1/($B$9:$B$72=$B73),$AR$9:$AR72),1),NOT(AND(OR($F73="dividend",$F73="fee"),IFERROR(LOOKUP(2,1/($B$9:$B$72=$B73),$T$9:$T72),0)&gt;0))),ROW(),0))</f>
        <v>0</v>
      </c>
      <c r="AW73">
        <f>IF($A73="",0,IF($AV73&gt;0,MAX($AW$9:$AW$72)+1,MAX($AW$9:$AW$72)))</f>
        <v>0</v>
      </c>
      <c r="AX73">
        <f>IF($AU73="",0,IF(AND($AR73,OR(NOT(IFERROR(LOOKUP(2,1/($B$9:$B$72=$B73),$AR$9:$AR72),1)),IFERROR(LOOKUP(2,1/($B$9:$B$72=$B73),$T$9:$T72),0)=0)),ROW(),0))</f>
        <v>0</v>
      </c>
      <c r="AY73" t="str">
        <f t="shared" ref="AY73:AY136" si="33">IF(OR($A73="",$B73=""),"",LEN($B73)&amp;":"&amp;$B73&amp;$A73)</f>
        <v/>
      </c>
    </row>
    <row r="74" spans="1:51" ht="15" x14ac:dyDescent="0.25">
      <c r="A74" s="52" t="str">
        <f>IF(Trades!$A74="","",Trades!O74)</f>
        <v/>
      </c>
      <c r="B74" s="52" t="str">
        <f>IF(Trades!$A74="","",Trades!B74)</f>
        <v/>
      </c>
      <c r="C74" s="52" t="str">
        <f>IF(Trades!$A74="","",Trades!C74)</f>
        <v/>
      </c>
      <c r="D74" s="53" t="str">
        <f>IF(Trades!$A74="","",IF(Trades!$L74&gt;0,Trades!$L74,Trades!$C$6))</f>
        <v/>
      </c>
      <c r="E74" s="54" t="str">
        <f>IF(Trades!$A74="","",Trades!A74)</f>
        <v/>
      </c>
      <c r="F74" s="52" t="str">
        <f>IF(Trades!$A74="","",IFERROR(INDEX(Trades!$V$2:$V$14,MATCH(Trades!$E74,Trades!$U$2:$U$14,0)),""))</f>
        <v/>
      </c>
      <c r="G74" s="52" t="str">
        <f>IF(Trades!$A74="","",Trades!N74)</f>
        <v/>
      </c>
      <c r="H74" s="53" t="str">
        <f>IF(Trades!$A74="","",Trades!F74)</f>
        <v/>
      </c>
      <c r="I74" s="55" t="str">
        <f>IF(Trades!$A74="","",Trades!G74)</f>
        <v/>
      </c>
      <c r="J74" s="55" t="str">
        <f>IF(Trades!$A74="","",Trades!I74)</f>
        <v/>
      </c>
      <c r="K74" s="55" t="str">
        <f>IF(Trades!$A74="","",Trades!Q74)</f>
        <v/>
      </c>
      <c r="L74" s="53" t="str">
        <f>IF(Trades!$A74="","",Trades!F74)</f>
        <v/>
      </c>
      <c r="M74" s="55" t="str">
        <f>IF(Trades!$A74="","",Trades!M74)</f>
        <v/>
      </c>
      <c r="N74" s="55" t="str">
        <f>IF(Trades!$A74="","",Trades!R74)</f>
        <v/>
      </c>
      <c r="O74" s="55" t="str">
        <f>IF(Trades!$A74="","",Trades!J74)</f>
        <v/>
      </c>
      <c r="P74" s="54" t="str">
        <f>IF(Trades!$A74="","",Trades!H74)</f>
        <v/>
      </c>
      <c r="Q74" s="52" t="str">
        <f>IF(Trades!$A74="","",Trades!P74)</f>
        <v/>
      </c>
      <c r="R74" s="56" t="str">
        <f t="shared" si="17"/>
        <v/>
      </c>
      <c r="S74" s="56" t="str">
        <f t="shared" si="18"/>
        <v/>
      </c>
      <c r="T74" s="57" t="str">
        <f>IF(OR($A74="",$B74=""),"",IF(AND(IFERROR(LOOKUP(2,1/($B$9:$B$73=$B74),$AR$9:$AR73),1),NOT(AND(OR($F74="dividend",$F74="fee"),IFERROR(LOOKUP(2,1/($B$9:$B$73=$B74),$T$9:$T73),0)&gt;0))),IFERROR(LOOKUP(2,1/($B$9:$B$73=$B74),$T$9:$T73),0)+1,IFERROR(LOOKUP(2,1/($B$9:$B$73=$B74),$T$9:$T73),0)))</f>
        <v/>
      </c>
      <c r="U74" s="58" t="str">
        <f t="shared" si="19"/>
        <v/>
      </c>
      <c r="V74" s="58" t="str">
        <f>IF($A74="","",IF(OR($B74="",$C74="",$D74="",$E74="",$F74=""),"Missing required field",IF(COUNTIFS($A$9:$A74,$A74,$B$9:$B74,$B74)&gt;1,"Duplicate event ID",IF(AND($E74&lt;&gt;IFERROR(LOOKUP(2,1/($B$9:$B$73=$B74),$E$9:$E73),0),IFERROR(LOOKUP(2,1/($B$9:$B$73=$B74),$E$9:$E73),0)&gt;$E74),"Date out of order",IF(AND(OR($F74="buy_to_close",$F74="expire",$F74="roll",$F74="assignment",$F74="called_away"),$AF74=0),"Unknown lot",IF(OR(AND($F74="assignment",$AF74&gt;0,IF($AF74&gt;0,INDEX($AG$9:$AG$73,$AF74),"")&lt;&gt;"put"),AND($F74="called_away",$AF74&gt;0,IF($AF74&gt;0,INDEX($AG$9:$AG$73,$AF74),"")&lt;&gt;"call")),"Wrong option leg",IF(OR(AND(OR($F74="sell_put",$F74="sell_call"),OR($H74&lt;=0,$I74&lt;=0,$J74&lt;0)),AND(OR($F74="buy_to_close",$F74="expire",$F74="assignment",$F74="called_away"),OR($H74&lt;=0,$J74&lt;0)),AND($F74="roll",OR($H74&lt;=0,$I74&lt;=0,$J74&lt;0,$K74&lt;0)),AND(OR($F74="buy_shares",$F74="sell_shares"),OR($L74&lt;=0,$M74&lt;0)),AND(OR($F74="dividend",$F74="fee"),$N74&lt;0)),"Invalid value",IF(AND(OR($F74="sell_shares",$F74="called_away"),$AL74&lt;IF($F74="called_away",$AE74*$D74,$L74)),"Insufficient shares (capped)",IF(AND(OR($F74="buy_to_close",$F74="expire",$F74="roll",$F74="assignment",$F74="called_away"),$AF74&gt;0,$H74&gt;IF($AF74&gt;0,MAX(0,INDEX($AI$9:$AI$73,$AF74)-SUMIFS($AE$9:$AE$73,$G$9:$G$73,$G74,$B$9:$B$73,$B74)),0)),"Close quantity capped","OK")))))))))</f>
        <v/>
      </c>
      <c r="W74" s="59" t="str">
        <f t="shared" si="20"/>
        <v/>
      </c>
      <c r="X74" s="60" t="str">
        <f t="shared" si="21"/>
        <v/>
      </c>
      <c r="Y74" s="50" t="str">
        <f t="shared" si="22"/>
        <v/>
      </c>
      <c r="Z74" s="50" t="str">
        <f t="shared" si="23"/>
        <v/>
      </c>
      <c r="AA74" s="50" t="str">
        <f t="shared" si="24"/>
        <v/>
      </c>
      <c r="AB74" s="50" t="str">
        <f t="shared" si="25"/>
        <v/>
      </c>
      <c r="AC74" s="50" t="str">
        <f>IF($A74="","",IF($F74="assignment",IF($AF74&gt;0,INDEX($AH$9:$AH$73,$AF74),0)*$AE74*$D74,IF($F74="buy_shares",$M74*$AL74,0)))</f>
        <v/>
      </c>
      <c r="AD74" s="50" t="str">
        <f>IF($A74="","",IF($F74="called_away",IF($AF74&gt;0,INDEX($AH$9:$AH$73,$AF74),0)*$AL74,IF($F74="sell_shares",$M74*$AL74,0)))</f>
        <v/>
      </c>
      <c r="AE74" s="51" t="str">
        <f>IF($A74="","",IF(OR($F74="sell_put",$F74="sell_call"),IF(AND($H74&gt;0,$I74&gt;0,$J74&gt;=0),$H74,0),IF(OR($F74="buy_to_close",$F74="expire",$F74="roll",$F74="assignment",$F74="called_away"),IF(AND($AF74&gt;0,$H74&gt;0,IF($F74="assignment",IF($AF74&gt;0,INDEX($AG$9:$AG$73,$AF74),"")="put",TRUE),IF($F74="called_away",IF($AF74&gt;0,INDEX($AG$9:$AG$73,$AF74),"")="call",TRUE)),MIN($H74,IF($AF74&gt;0,MAX(0,INDEX($AI$9:$AI$73,$AF74)-SUMIFS($AE$9:$AE$73,$G$9:$G$73,$G74,$B$9:$B$73,$B74)),0)),0),0)))</f>
        <v/>
      </c>
      <c r="AF74" t="str">
        <f>IF($A74="","",IFERROR(MATCH(LEN($B74)&amp;":"&amp;$B74&amp;$G74,$AY$9:$AY$73,0),0))</f>
        <v/>
      </c>
      <c r="AG74" t="str">
        <f>IF($A74="","",IF($F74="sell_put","put",IF($F74="sell_call","call",IF($F74="roll",IF($AF74&gt;0,IF($AF74&gt;0,INDEX($AG$9:$AG$73,$AF74),""),""),IF($AF74&gt;0,IF($AF74&gt;0,INDEX($AG$9:$AG$73,$AF74),""),"")))))</f>
        <v/>
      </c>
      <c r="AH74" t="str">
        <f>IF($A74="","",IF(OR($F74="sell_put",$F74="sell_call",$F74="roll"),$I74,IF($AF74&gt;0,IF($AF74&gt;0,INDEX($AH$9:$AH$73,$AF74),0),0)))</f>
        <v/>
      </c>
      <c r="AI74" s="51" t="str">
        <f t="shared" si="26"/>
        <v/>
      </c>
      <c r="AJ74" s="51" t="str">
        <f>IF($A74="","",IFERROR(LOOKUP(2,1/($B$9:$B$73=$B74),$AM$9:$AM73),0))</f>
        <v/>
      </c>
      <c r="AK74" t="str">
        <f>IF($A74="","",IFERROR(LOOKUP(2,1/($B$9:$B$73=$B74),$AN$9:$AN73),0))</f>
        <v/>
      </c>
      <c r="AL74" s="51" t="str">
        <f t="shared" si="27"/>
        <v/>
      </c>
      <c r="AM74" s="51" t="str">
        <f t="shared" si="28"/>
        <v/>
      </c>
      <c r="AN74" t="str">
        <f t="shared" si="29"/>
        <v/>
      </c>
      <c r="AO74" s="50" t="str">
        <f>IF($A74="","",IFERROR(LOOKUP(2,1/($B$9:$B$73=$B74),$AO$9:$AO73),0)+IF($F74="sell_put",$I74*$AE74*$D74,IF($F74="roll",IF($AG74="put",($I74-IF($AF74&gt;0,INDEX($AH$9:$AH$73,$AF74),0))*$AE74*$D74,0),IF(AND(OR($F74="buy_to_close",$F74="expire",$F74="roll",$F74="assignment",$F74="called_away"),$F74&lt;&gt;"roll",$AG74="put"),-IF($AF74&gt;0,INDEX($AH$9:$AH$73,$AF74),0)*$AE74*$D74,0))))</f>
        <v/>
      </c>
      <c r="AP74" s="51" t="str">
        <f>IF($A74="","",IFERROR(LOOKUP(2,1/($B$9:$B$73=$B74),$AP$9:$AP73),0)+IF($F74="sell_put",$AE74*$D74,IF(AND(OR($F74="buy_to_close",$F74="expire",$F74="roll",$F74="assignment",$F74="called_away"),$F74&lt;&gt;"roll",$AG74="put"),-$AE74*$D74,0)))</f>
        <v/>
      </c>
      <c r="AQ74" s="51" t="str">
        <f>IF($A74="","",IFERROR(LOOKUP(2,1/($B$9:$B$73=$B74),$AQ$9:$AQ73),0)+IF(OR($F74="sell_put",$F74="sell_call"),$AE74,0)-IF(AND(OR($F74="buy_to_close",$F74="expire",$F74="roll",$F74="assignment",$F74="called_away"),$F74&lt;&gt;"roll"),$AE74,0))</f>
        <v/>
      </c>
      <c r="AR74" t="str">
        <f t="shared" si="30"/>
        <v/>
      </c>
      <c r="AS74" s="50" t="str">
        <f t="shared" si="31"/>
        <v/>
      </c>
      <c r="AT74" s="50" t="str">
        <f>IF($A74="","",MAX(IF($T74=IFERROR(LOOKUP(2,1/($B$9:$B$73=$B74),$T$9:$T73),0),IFERROR(LOOKUP(2,1/($B$9:$B$73=$B74),$AT$9:$AT73),0),0),$AS74))</f>
        <v/>
      </c>
      <c r="AU74" t="str">
        <f t="shared" si="32"/>
        <v/>
      </c>
      <c r="AV74" s="51">
        <f>IF($AU74="",0,IF(AND(IFERROR(LOOKUP(2,1/($B$9:$B$73=$B74),$AR$9:$AR73),1),NOT(AND(OR($F74="dividend",$F74="fee"),IFERROR(LOOKUP(2,1/($B$9:$B$73=$B74),$T$9:$T73),0)&gt;0))),ROW(),0))</f>
        <v>0</v>
      </c>
      <c r="AW74">
        <f>IF($A74="",0,IF($AV74&gt;0,MAX($AW$9:$AW$73)+1,MAX($AW$9:$AW$73)))</f>
        <v>0</v>
      </c>
      <c r="AX74">
        <f>IF($AU74="",0,IF(AND($AR74,OR(NOT(IFERROR(LOOKUP(2,1/($B$9:$B$73=$B74),$AR$9:$AR73),1)),IFERROR(LOOKUP(2,1/($B$9:$B$73=$B74),$T$9:$T73),0)=0)),ROW(),0))</f>
        <v>0</v>
      </c>
      <c r="AY74" t="str">
        <f t="shared" si="33"/>
        <v/>
      </c>
    </row>
    <row r="75" spans="1:51" ht="15" x14ac:dyDescent="0.25">
      <c r="A75" s="41" t="str">
        <f>IF(Trades!$A75="","",Trades!O75)</f>
        <v/>
      </c>
      <c r="B75" s="41" t="str">
        <f>IF(Trades!$A75="","",Trades!B75)</f>
        <v/>
      </c>
      <c r="C75" s="41" t="str">
        <f>IF(Trades!$A75="","",Trades!C75)</f>
        <v/>
      </c>
      <c r="D75" s="42" t="str">
        <f>IF(Trades!$A75="","",IF(Trades!$L75&gt;0,Trades!$L75,Trades!$C$6))</f>
        <v/>
      </c>
      <c r="E75" s="43" t="str">
        <f>IF(Trades!$A75="","",Trades!A75)</f>
        <v/>
      </c>
      <c r="F75" s="41" t="str">
        <f>IF(Trades!$A75="","",IFERROR(INDEX(Trades!$V$2:$V$14,MATCH(Trades!$E75,Trades!$U$2:$U$14,0)),""))</f>
        <v/>
      </c>
      <c r="G75" s="41" t="str">
        <f>IF(Trades!$A75="","",Trades!N75)</f>
        <v/>
      </c>
      <c r="H75" s="42" t="str">
        <f>IF(Trades!$A75="","",Trades!F75)</f>
        <v/>
      </c>
      <c r="I75" s="44" t="str">
        <f>IF(Trades!$A75="","",Trades!G75)</f>
        <v/>
      </c>
      <c r="J75" s="44" t="str">
        <f>IF(Trades!$A75="","",Trades!I75)</f>
        <v/>
      </c>
      <c r="K75" s="44" t="str">
        <f>IF(Trades!$A75="","",Trades!Q75)</f>
        <v/>
      </c>
      <c r="L75" s="42" t="str">
        <f>IF(Trades!$A75="","",Trades!F75)</f>
        <v/>
      </c>
      <c r="M75" s="44" t="str">
        <f>IF(Trades!$A75="","",Trades!M75)</f>
        <v/>
      </c>
      <c r="N75" s="44" t="str">
        <f>IF(Trades!$A75="","",Trades!R75)</f>
        <v/>
      </c>
      <c r="O75" s="44" t="str">
        <f>IF(Trades!$A75="","",Trades!J75)</f>
        <v/>
      </c>
      <c r="P75" s="43" t="str">
        <f>IF(Trades!$A75="","",Trades!H75)</f>
        <v/>
      </c>
      <c r="Q75" s="41" t="str">
        <f>IF(Trades!$A75="","",Trades!P75)</f>
        <v/>
      </c>
      <c r="R75" s="45" t="str">
        <f t="shared" si="17"/>
        <v/>
      </c>
      <c r="S75" s="45" t="str">
        <f t="shared" si="18"/>
        <v/>
      </c>
      <c r="T75" s="46" t="str">
        <f>IF(OR($A75="",$B75=""),"",IF(AND(IFERROR(LOOKUP(2,1/($B$9:$B$74=$B75),$AR$9:$AR74),1),NOT(AND(OR($F75="dividend",$F75="fee"),IFERROR(LOOKUP(2,1/($B$9:$B$74=$B75),$T$9:$T74),0)&gt;0))),IFERROR(LOOKUP(2,1/($B$9:$B$74=$B75),$T$9:$T74),0)+1,IFERROR(LOOKUP(2,1/($B$9:$B$74=$B75),$T$9:$T74),0)))</f>
        <v/>
      </c>
      <c r="U75" s="47" t="str">
        <f t="shared" si="19"/>
        <v/>
      </c>
      <c r="V75" s="47" t="str">
        <f>IF($A75="","",IF(OR($B75="",$C75="",$D75="",$E75="",$F75=""),"Missing required field",IF(COUNTIFS($A$9:$A75,$A75,$B$9:$B75,$B75)&gt;1,"Duplicate event ID",IF(AND($E75&lt;&gt;IFERROR(LOOKUP(2,1/($B$9:$B$74=$B75),$E$9:$E74),0),IFERROR(LOOKUP(2,1/($B$9:$B$74=$B75),$E$9:$E74),0)&gt;$E75),"Date out of order",IF(AND(OR($F75="buy_to_close",$F75="expire",$F75="roll",$F75="assignment",$F75="called_away"),$AF75=0),"Unknown lot",IF(OR(AND($F75="assignment",$AF75&gt;0,IF($AF75&gt;0,INDEX($AG$9:$AG$74,$AF75),"")&lt;&gt;"put"),AND($F75="called_away",$AF75&gt;0,IF($AF75&gt;0,INDEX($AG$9:$AG$74,$AF75),"")&lt;&gt;"call")),"Wrong option leg",IF(OR(AND(OR($F75="sell_put",$F75="sell_call"),OR($H75&lt;=0,$I75&lt;=0,$J75&lt;0)),AND(OR($F75="buy_to_close",$F75="expire",$F75="assignment",$F75="called_away"),OR($H75&lt;=0,$J75&lt;0)),AND($F75="roll",OR($H75&lt;=0,$I75&lt;=0,$J75&lt;0,$K75&lt;0)),AND(OR($F75="buy_shares",$F75="sell_shares"),OR($L75&lt;=0,$M75&lt;0)),AND(OR($F75="dividend",$F75="fee"),$N75&lt;0)),"Invalid value",IF(AND(OR($F75="sell_shares",$F75="called_away"),$AL75&lt;IF($F75="called_away",$AE75*$D75,$L75)),"Insufficient shares (capped)",IF(AND(OR($F75="buy_to_close",$F75="expire",$F75="roll",$F75="assignment",$F75="called_away"),$AF75&gt;0,$H75&gt;IF($AF75&gt;0,MAX(0,INDEX($AI$9:$AI$74,$AF75)-SUMIFS($AE$9:$AE$74,$G$9:$G$74,$G75,$B$9:$B$74,$B75)),0)),"Close quantity capped","OK")))))))))</f>
        <v/>
      </c>
      <c r="W75" s="48" t="str">
        <f t="shared" si="20"/>
        <v/>
      </c>
      <c r="X75" s="49" t="str">
        <f t="shared" si="21"/>
        <v/>
      </c>
      <c r="Y75" s="50" t="str">
        <f t="shared" si="22"/>
        <v/>
      </c>
      <c r="Z75" s="50" t="str">
        <f t="shared" si="23"/>
        <v/>
      </c>
      <c r="AA75" s="50" t="str">
        <f t="shared" si="24"/>
        <v/>
      </c>
      <c r="AB75" s="50" t="str">
        <f t="shared" si="25"/>
        <v/>
      </c>
      <c r="AC75" s="50" t="str">
        <f>IF($A75="","",IF($F75="assignment",IF($AF75&gt;0,INDEX($AH$9:$AH$74,$AF75),0)*$AE75*$D75,IF($F75="buy_shares",$M75*$AL75,0)))</f>
        <v/>
      </c>
      <c r="AD75" s="50" t="str">
        <f>IF($A75="","",IF($F75="called_away",IF($AF75&gt;0,INDEX($AH$9:$AH$74,$AF75),0)*$AL75,IF($F75="sell_shares",$M75*$AL75,0)))</f>
        <v/>
      </c>
      <c r="AE75" s="51" t="str">
        <f>IF($A75="","",IF(OR($F75="sell_put",$F75="sell_call"),IF(AND($H75&gt;0,$I75&gt;0,$J75&gt;=0),$H75,0),IF(OR($F75="buy_to_close",$F75="expire",$F75="roll",$F75="assignment",$F75="called_away"),IF(AND($AF75&gt;0,$H75&gt;0,IF($F75="assignment",IF($AF75&gt;0,INDEX($AG$9:$AG$74,$AF75),"")="put",TRUE),IF($F75="called_away",IF($AF75&gt;0,INDEX($AG$9:$AG$74,$AF75),"")="call",TRUE)),MIN($H75,IF($AF75&gt;0,MAX(0,INDEX($AI$9:$AI$74,$AF75)-SUMIFS($AE$9:$AE$74,$G$9:$G$74,$G75,$B$9:$B$74,$B75)),0)),0),0)))</f>
        <v/>
      </c>
      <c r="AF75" t="str">
        <f>IF($A75="","",IFERROR(MATCH(LEN($B75)&amp;":"&amp;$B75&amp;$G75,$AY$9:$AY$74,0),0))</f>
        <v/>
      </c>
      <c r="AG75" t="str">
        <f>IF($A75="","",IF($F75="sell_put","put",IF($F75="sell_call","call",IF($F75="roll",IF($AF75&gt;0,IF($AF75&gt;0,INDEX($AG$9:$AG$74,$AF75),""),""),IF($AF75&gt;0,IF($AF75&gt;0,INDEX($AG$9:$AG$74,$AF75),""),"")))))</f>
        <v/>
      </c>
      <c r="AH75" t="str">
        <f>IF($A75="","",IF(OR($F75="sell_put",$F75="sell_call",$F75="roll"),$I75,IF($AF75&gt;0,IF($AF75&gt;0,INDEX($AH$9:$AH$74,$AF75),0),0)))</f>
        <v/>
      </c>
      <c r="AI75" s="51" t="str">
        <f t="shared" si="26"/>
        <v/>
      </c>
      <c r="AJ75" s="51" t="str">
        <f>IF($A75="","",IFERROR(LOOKUP(2,1/($B$9:$B$74=$B75),$AM$9:$AM74),0))</f>
        <v/>
      </c>
      <c r="AK75" t="str">
        <f>IF($A75="","",IFERROR(LOOKUP(2,1/($B$9:$B$74=$B75),$AN$9:$AN74),0))</f>
        <v/>
      </c>
      <c r="AL75" s="51" t="str">
        <f t="shared" si="27"/>
        <v/>
      </c>
      <c r="AM75" s="51" t="str">
        <f t="shared" si="28"/>
        <v/>
      </c>
      <c r="AN75" t="str">
        <f t="shared" si="29"/>
        <v/>
      </c>
      <c r="AO75" s="50" t="str">
        <f>IF($A75="","",IFERROR(LOOKUP(2,1/($B$9:$B$74=$B75),$AO$9:$AO74),0)+IF($F75="sell_put",$I75*$AE75*$D75,IF($F75="roll",IF($AG75="put",($I75-IF($AF75&gt;0,INDEX($AH$9:$AH$74,$AF75),0))*$AE75*$D75,0),IF(AND(OR($F75="buy_to_close",$F75="expire",$F75="roll",$F75="assignment",$F75="called_away"),$F75&lt;&gt;"roll",$AG75="put"),-IF($AF75&gt;0,INDEX($AH$9:$AH$74,$AF75),0)*$AE75*$D75,0))))</f>
        <v/>
      </c>
      <c r="AP75" s="51" t="str">
        <f>IF($A75="","",IFERROR(LOOKUP(2,1/($B$9:$B$74=$B75),$AP$9:$AP74),0)+IF($F75="sell_put",$AE75*$D75,IF(AND(OR($F75="buy_to_close",$F75="expire",$F75="roll",$F75="assignment",$F75="called_away"),$F75&lt;&gt;"roll",$AG75="put"),-$AE75*$D75,0)))</f>
        <v/>
      </c>
      <c r="AQ75" s="51" t="str">
        <f>IF($A75="","",IFERROR(LOOKUP(2,1/($B$9:$B$74=$B75),$AQ$9:$AQ74),0)+IF(OR($F75="sell_put",$F75="sell_call"),$AE75,0)-IF(AND(OR($F75="buy_to_close",$F75="expire",$F75="roll",$F75="assignment",$F75="called_away"),$F75&lt;&gt;"roll"),$AE75,0))</f>
        <v/>
      </c>
      <c r="AR75" t="str">
        <f t="shared" si="30"/>
        <v/>
      </c>
      <c r="AS75" s="50" t="str">
        <f t="shared" si="31"/>
        <v/>
      </c>
      <c r="AT75" s="50" t="str">
        <f>IF($A75="","",MAX(IF($T75=IFERROR(LOOKUP(2,1/($B$9:$B$74=$B75),$T$9:$T74),0),IFERROR(LOOKUP(2,1/($B$9:$B$74=$B75),$AT$9:$AT74),0),0),$AS75))</f>
        <v/>
      </c>
      <c r="AU75" t="str">
        <f t="shared" si="32"/>
        <v/>
      </c>
      <c r="AV75" s="51">
        <f>IF($AU75="",0,IF(AND(IFERROR(LOOKUP(2,1/($B$9:$B$74=$B75),$AR$9:$AR74),1),NOT(AND(OR($F75="dividend",$F75="fee"),IFERROR(LOOKUP(2,1/($B$9:$B$74=$B75),$T$9:$T74),0)&gt;0))),ROW(),0))</f>
        <v>0</v>
      </c>
      <c r="AW75">
        <f>IF($A75="",0,IF($AV75&gt;0,MAX($AW$9:$AW$74)+1,MAX($AW$9:$AW$74)))</f>
        <v>0</v>
      </c>
      <c r="AX75">
        <f>IF($AU75="",0,IF(AND($AR75,OR(NOT(IFERROR(LOOKUP(2,1/($B$9:$B$74=$B75),$AR$9:$AR74),1)),IFERROR(LOOKUP(2,1/($B$9:$B$74=$B75),$T$9:$T74),0)=0)),ROW(),0))</f>
        <v>0</v>
      </c>
      <c r="AY75" t="str">
        <f t="shared" si="33"/>
        <v/>
      </c>
    </row>
    <row r="76" spans="1:51" ht="15" x14ac:dyDescent="0.25">
      <c r="A76" s="52" t="str">
        <f>IF(Trades!$A76="","",Trades!O76)</f>
        <v/>
      </c>
      <c r="B76" s="52" t="str">
        <f>IF(Trades!$A76="","",Trades!B76)</f>
        <v/>
      </c>
      <c r="C76" s="52" t="str">
        <f>IF(Trades!$A76="","",Trades!C76)</f>
        <v/>
      </c>
      <c r="D76" s="53" t="str">
        <f>IF(Trades!$A76="","",IF(Trades!$L76&gt;0,Trades!$L76,Trades!$C$6))</f>
        <v/>
      </c>
      <c r="E76" s="54" t="str">
        <f>IF(Trades!$A76="","",Trades!A76)</f>
        <v/>
      </c>
      <c r="F76" s="52" t="str">
        <f>IF(Trades!$A76="","",IFERROR(INDEX(Trades!$V$2:$V$14,MATCH(Trades!$E76,Trades!$U$2:$U$14,0)),""))</f>
        <v/>
      </c>
      <c r="G76" s="52" t="str">
        <f>IF(Trades!$A76="","",Trades!N76)</f>
        <v/>
      </c>
      <c r="H76" s="53" t="str">
        <f>IF(Trades!$A76="","",Trades!F76)</f>
        <v/>
      </c>
      <c r="I76" s="55" t="str">
        <f>IF(Trades!$A76="","",Trades!G76)</f>
        <v/>
      </c>
      <c r="J76" s="55" t="str">
        <f>IF(Trades!$A76="","",Trades!I76)</f>
        <v/>
      </c>
      <c r="K76" s="55" t="str">
        <f>IF(Trades!$A76="","",Trades!Q76)</f>
        <v/>
      </c>
      <c r="L76" s="53" t="str">
        <f>IF(Trades!$A76="","",Trades!F76)</f>
        <v/>
      </c>
      <c r="M76" s="55" t="str">
        <f>IF(Trades!$A76="","",Trades!M76)</f>
        <v/>
      </c>
      <c r="N76" s="55" t="str">
        <f>IF(Trades!$A76="","",Trades!R76)</f>
        <v/>
      </c>
      <c r="O76" s="55" t="str">
        <f>IF(Trades!$A76="","",Trades!J76)</f>
        <v/>
      </c>
      <c r="P76" s="54" t="str">
        <f>IF(Trades!$A76="","",Trades!H76)</f>
        <v/>
      </c>
      <c r="Q76" s="52" t="str">
        <f>IF(Trades!$A76="","",Trades!P76)</f>
        <v/>
      </c>
      <c r="R76" s="56" t="str">
        <f t="shared" si="17"/>
        <v/>
      </c>
      <c r="S76" s="56" t="str">
        <f t="shared" si="18"/>
        <v/>
      </c>
      <c r="T76" s="57" t="str">
        <f>IF(OR($A76="",$B76=""),"",IF(AND(IFERROR(LOOKUP(2,1/($B$9:$B$75=$B76),$AR$9:$AR75),1),NOT(AND(OR($F76="dividend",$F76="fee"),IFERROR(LOOKUP(2,1/($B$9:$B$75=$B76),$T$9:$T75),0)&gt;0))),IFERROR(LOOKUP(2,1/($B$9:$B$75=$B76),$T$9:$T75),0)+1,IFERROR(LOOKUP(2,1/($B$9:$B$75=$B76),$T$9:$T75),0)))</f>
        <v/>
      </c>
      <c r="U76" s="58" t="str">
        <f t="shared" si="19"/>
        <v/>
      </c>
      <c r="V76" s="58" t="str">
        <f>IF($A76="","",IF(OR($B76="",$C76="",$D76="",$E76="",$F76=""),"Missing required field",IF(COUNTIFS($A$9:$A76,$A76,$B$9:$B76,$B76)&gt;1,"Duplicate event ID",IF(AND($E76&lt;&gt;IFERROR(LOOKUP(2,1/($B$9:$B$75=$B76),$E$9:$E75),0),IFERROR(LOOKUP(2,1/($B$9:$B$75=$B76),$E$9:$E75),0)&gt;$E76),"Date out of order",IF(AND(OR($F76="buy_to_close",$F76="expire",$F76="roll",$F76="assignment",$F76="called_away"),$AF76=0),"Unknown lot",IF(OR(AND($F76="assignment",$AF76&gt;0,IF($AF76&gt;0,INDEX($AG$9:$AG$75,$AF76),"")&lt;&gt;"put"),AND($F76="called_away",$AF76&gt;0,IF($AF76&gt;0,INDEX($AG$9:$AG$75,$AF76),"")&lt;&gt;"call")),"Wrong option leg",IF(OR(AND(OR($F76="sell_put",$F76="sell_call"),OR($H76&lt;=0,$I76&lt;=0,$J76&lt;0)),AND(OR($F76="buy_to_close",$F76="expire",$F76="assignment",$F76="called_away"),OR($H76&lt;=0,$J76&lt;0)),AND($F76="roll",OR($H76&lt;=0,$I76&lt;=0,$J76&lt;0,$K76&lt;0)),AND(OR($F76="buy_shares",$F76="sell_shares"),OR($L76&lt;=0,$M76&lt;0)),AND(OR($F76="dividend",$F76="fee"),$N76&lt;0)),"Invalid value",IF(AND(OR($F76="sell_shares",$F76="called_away"),$AL76&lt;IF($F76="called_away",$AE76*$D76,$L76)),"Insufficient shares (capped)",IF(AND(OR($F76="buy_to_close",$F76="expire",$F76="roll",$F76="assignment",$F76="called_away"),$AF76&gt;0,$H76&gt;IF($AF76&gt;0,MAX(0,INDEX($AI$9:$AI$75,$AF76)-SUMIFS($AE$9:$AE$75,$G$9:$G$75,$G76,$B$9:$B$75,$B76)),0)),"Close quantity capped","OK")))))))))</f>
        <v/>
      </c>
      <c r="W76" s="59" t="str">
        <f t="shared" si="20"/>
        <v/>
      </c>
      <c r="X76" s="60" t="str">
        <f t="shared" si="21"/>
        <v/>
      </c>
      <c r="Y76" s="50" t="str">
        <f t="shared" si="22"/>
        <v/>
      </c>
      <c r="Z76" s="50" t="str">
        <f t="shared" si="23"/>
        <v/>
      </c>
      <c r="AA76" s="50" t="str">
        <f t="shared" si="24"/>
        <v/>
      </c>
      <c r="AB76" s="50" t="str">
        <f t="shared" si="25"/>
        <v/>
      </c>
      <c r="AC76" s="50" t="str">
        <f>IF($A76="","",IF($F76="assignment",IF($AF76&gt;0,INDEX($AH$9:$AH$75,$AF76),0)*$AE76*$D76,IF($F76="buy_shares",$M76*$AL76,0)))</f>
        <v/>
      </c>
      <c r="AD76" s="50" t="str">
        <f>IF($A76="","",IF($F76="called_away",IF($AF76&gt;0,INDEX($AH$9:$AH$75,$AF76),0)*$AL76,IF($F76="sell_shares",$M76*$AL76,0)))</f>
        <v/>
      </c>
      <c r="AE76" s="51" t="str">
        <f>IF($A76="","",IF(OR($F76="sell_put",$F76="sell_call"),IF(AND($H76&gt;0,$I76&gt;0,$J76&gt;=0),$H76,0),IF(OR($F76="buy_to_close",$F76="expire",$F76="roll",$F76="assignment",$F76="called_away"),IF(AND($AF76&gt;0,$H76&gt;0,IF($F76="assignment",IF($AF76&gt;0,INDEX($AG$9:$AG$75,$AF76),"")="put",TRUE),IF($F76="called_away",IF($AF76&gt;0,INDEX($AG$9:$AG$75,$AF76),"")="call",TRUE)),MIN($H76,IF($AF76&gt;0,MAX(0,INDEX($AI$9:$AI$75,$AF76)-SUMIFS($AE$9:$AE$75,$G$9:$G$75,$G76,$B$9:$B$75,$B76)),0)),0),0)))</f>
        <v/>
      </c>
      <c r="AF76" t="str">
        <f>IF($A76="","",IFERROR(MATCH(LEN($B76)&amp;":"&amp;$B76&amp;$G76,$AY$9:$AY$75,0),0))</f>
        <v/>
      </c>
      <c r="AG76" t="str">
        <f>IF($A76="","",IF($F76="sell_put","put",IF($F76="sell_call","call",IF($F76="roll",IF($AF76&gt;0,IF($AF76&gt;0,INDEX($AG$9:$AG$75,$AF76),""),""),IF($AF76&gt;0,IF($AF76&gt;0,INDEX($AG$9:$AG$75,$AF76),""),"")))))</f>
        <v/>
      </c>
      <c r="AH76" t="str">
        <f>IF($A76="","",IF(OR($F76="sell_put",$F76="sell_call",$F76="roll"),$I76,IF($AF76&gt;0,IF($AF76&gt;0,INDEX($AH$9:$AH$75,$AF76),0),0)))</f>
        <v/>
      </c>
      <c r="AI76" s="51" t="str">
        <f t="shared" si="26"/>
        <v/>
      </c>
      <c r="AJ76" s="51" t="str">
        <f>IF($A76="","",IFERROR(LOOKUP(2,1/($B$9:$B$75=$B76),$AM$9:$AM75),0))</f>
        <v/>
      </c>
      <c r="AK76" t="str">
        <f>IF($A76="","",IFERROR(LOOKUP(2,1/($B$9:$B$75=$B76),$AN$9:$AN75),0))</f>
        <v/>
      </c>
      <c r="AL76" s="51" t="str">
        <f t="shared" si="27"/>
        <v/>
      </c>
      <c r="AM76" s="51" t="str">
        <f t="shared" si="28"/>
        <v/>
      </c>
      <c r="AN76" t="str">
        <f t="shared" si="29"/>
        <v/>
      </c>
      <c r="AO76" s="50" t="str">
        <f>IF($A76="","",IFERROR(LOOKUP(2,1/($B$9:$B$75=$B76),$AO$9:$AO75),0)+IF($F76="sell_put",$I76*$AE76*$D76,IF($F76="roll",IF($AG76="put",($I76-IF($AF76&gt;0,INDEX($AH$9:$AH$75,$AF76),0))*$AE76*$D76,0),IF(AND(OR($F76="buy_to_close",$F76="expire",$F76="roll",$F76="assignment",$F76="called_away"),$F76&lt;&gt;"roll",$AG76="put"),-IF($AF76&gt;0,INDEX($AH$9:$AH$75,$AF76),0)*$AE76*$D76,0))))</f>
        <v/>
      </c>
      <c r="AP76" s="51" t="str">
        <f>IF($A76="","",IFERROR(LOOKUP(2,1/($B$9:$B$75=$B76),$AP$9:$AP75),0)+IF($F76="sell_put",$AE76*$D76,IF(AND(OR($F76="buy_to_close",$F76="expire",$F76="roll",$F76="assignment",$F76="called_away"),$F76&lt;&gt;"roll",$AG76="put"),-$AE76*$D76,0)))</f>
        <v/>
      </c>
      <c r="AQ76" s="51" t="str">
        <f>IF($A76="","",IFERROR(LOOKUP(2,1/($B$9:$B$75=$B76),$AQ$9:$AQ75),0)+IF(OR($F76="sell_put",$F76="sell_call"),$AE76,0)-IF(AND(OR($F76="buy_to_close",$F76="expire",$F76="roll",$F76="assignment",$F76="called_away"),$F76&lt;&gt;"roll"),$AE76,0))</f>
        <v/>
      </c>
      <c r="AR76" t="str">
        <f t="shared" si="30"/>
        <v/>
      </c>
      <c r="AS76" s="50" t="str">
        <f t="shared" si="31"/>
        <v/>
      </c>
      <c r="AT76" s="50" t="str">
        <f>IF($A76="","",MAX(IF($T76=IFERROR(LOOKUP(2,1/($B$9:$B$75=$B76),$T$9:$T75),0),IFERROR(LOOKUP(2,1/($B$9:$B$75=$B76),$AT$9:$AT75),0),0),$AS76))</f>
        <v/>
      </c>
      <c r="AU76" t="str">
        <f t="shared" si="32"/>
        <v/>
      </c>
      <c r="AV76" s="51">
        <f>IF($AU76="",0,IF(AND(IFERROR(LOOKUP(2,1/($B$9:$B$75=$B76),$AR$9:$AR75),1),NOT(AND(OR($F76="dividend",$F76="fee"),IFERROR(LOOKUP(2,1/($B$9:$B$75=$B76),$T$9:$T75),0)&gt;0))),ROW(),0))</f>
        <v>0</v>
      </c>
      <c r="AW76">
        <f>IF($A76="",0,IF($AV76&gt;0,MAX($AW$9:$AW$75)+1,MAX($AW$9:$AW$75)))</f>
        <v>0</v>
      </c>
      <c r="AX76">
        <f>IF($AU76="",0,IF(AND($AR76,OR(NOT(IFERROR(LOOKUP(2,1/($B$9:$B$75=$B76),$AR$9:$AR75),1)),IFERROR(LOOKUP(2,1/($B$9:$B$75=$B76),$T$9:$T75),0)=0)),ROW(),0))</f>
        <v>0</v>
      </c>
      <c r="AY76" t="str">
        <f t="shared" si="33"/>
        <v/>
      </c>
    </row>
    <row r="77" spans="1:51" ht="15" x14ac:dyDescent="0.25">
      <c r="A77" s="41" t="str">
        <f>IF(Trades!$A77="","",Trades!O77)</f>
        <v/>
      </c>
      <c r="B77" s="41" t="str">
        <f>IF(Trades!$A77="","",Trades!B77)</f>
        <v/>
      </c>
      <c r="C77" s="41" t="str">
        <f>IF(Trades!$A77="","",Trades!C77)</f>
        <v/>
      </c>
      <c r="D77" s="42" t="str">
        <f>IF(Trades!$A77="","",IF(Trades!$L77&gt;0,Trades!$L77,Trades!$C$6))</f>
        <v/>
      </c>
      <c r="E77" s="43" t="str">
        <f>IF(Trades!$A77="","",Trades!A77)</f>
        <v/>
      </c>
      <c r="F77" s="41" t="str">
        <f>IF(Trades!$A77="","",IFERROR(INDEX(Trades!$V$2:$V$14,MATCH(Trades!$E77,Trades!$U$2:$U$14,0)),""))</f>
        <v/>
      </c>
      <c r="G77" s="41" t="str">
        <f>IF(Trades!$A77="","",Trades!N77)</f>
        <v/>
      </c>
      <c r="H77" s="42" t="str">
        <f>IF(Trades!$A77="","",Trades!F77)</f>
        <v/>
      </c>
      <c r="I77" s="44" t="str">
        <f>IF(Trades!$A77="","",Trades!G77)</f>
        <v/>
      </c>
      <c r="J77" s="44" t="str">
        <f>IF(Trades!$A77="","",Trades!I77)</f>
        <v/>
      </c>
      <c r="K77" s="44" t="str">
        <f>IF(Trades!$A77="","",Trades!Q77)</f>
        <v/>
      </c>
      <c r="L77" s="42" t="str">
        <f>IF(Trades!$A77="","",Trades!F77)</f>
        <v/>
      </c>
      <c r="M77" s="44" t="str">
        <f>IF(Trades!$A77="","",Trades!M77)</f>
        <v/>
      </c>
      <c r="N77" s="44" t="str">
        <f>IF(Trades!$A77="","",Trades!R77)</f>
        <v/>
      </c>
      <c r="O77" s="44" t="str">
        <f>IF(Trades!$A77="","",Trades!J77)</f>
        <v/>
      </c>
      <c r="P77" s="43" t="str">
        <f>IF(Trades!$A77="","",Trades!H77)</f>
        <v/>
      </c>
      <c r="Q77" s="41" t="str">
        <f>IF(Trades!$A77="","",Trades!P77)</f>
        <v/>
      </c>
      <c r="R77" s="45" t="str">
        <f t="shared" si="17"/>
        <v/>
      </c>
      <c r="S77" s="45" t="str">
        <f t="shared" si="18"/>
        <v/>
      </c>
      <c r="T77" s="46" t="str">
        <f>IF(OR($A77="",$B77=""),"",IF(AND(IFERROR(LOOKUP(2,1/($B$9:$B$76=$B77),$AR$9:$AR76),1),NOT(AND(OR($F77="dividend",$F77="fee"),IFERROR(LOOKUP(2,1/($B$9:$B$76=$B77),$T$9:$T76),0)&gt;0))),IFERROR(LOOKUP(2,1/($B$9:$B$76=$B77),$T$9:$T76),0)+1,IFERROR(LOOKUP(2,1/($B$9:$B$76=$B77),$T$9:$T76),0)))</f>
        <v/>
      </c>
      <c r="U77" s="47" t="str">
        <f t="shared" si="19"/>
        <v/>
      </c>
      <c r="V77" s="47" t="str">
        <f>IF($A77="","",IF(OR($B77="",$C77="",$D77="",$E77="",$F77=""),"Missing required field",IF(COUNTIFS($A$9:$A77,$A77,$B$9:$B77,$B77)&gt;1,"Duplicate event ID",IF(AND($E77&lt;&gt;IFERROR(LOOKUP(2,1/($B$9:$B$76=$B77),$E$9:$E76),0),IFERROR(LOOKUP(2,1/($B$9:$B$76=$B77),$E$9:$E76),0)&gt;$E77),"Date out of order",IF(AND(OR($F77="buy_to_close",$F77="expire",$F77="roll",$F77="assignment",$F77="called_away"),$AF77=0),"Unknown lot",IF(OR(AND($F77="assignment",$AF77&gt;0,IF($AF77&gt;0,INDEX($AG$9:$AG$76,$AF77),"")&lt;&gt;"put"),AND($F77="called_away",$AF77&gt;0,IF($AF77&gt;0,INDEX($AG$9:$AG$76,$AF77),"")&lt;&gt;"call")),"Wrong option leg",IF(OR(AND(OR($F77="sell_put",$F77="sell_call"),OR($H77&lt;=0,$I77&lt;=0,$J77&lt;0)),AND(OR($F77="buy_to_close",$F77="expire",$F77="assignment",$F77="called_away"),OR($H77&lt;=0,$J77&lt;0)),AND($F77="roll",OR($H77&lt;=0,$I77&lt;=0,$J77&lt;0,$K77&lt;0)),AND(OR($F77="buy_shares",$F77="sell_shares"),OR($L77&lt;=0,$M77&lt;0)),AND(OR($F77="dividend",$F77="fee"),$N77&lt;0)),"Invalid value",IF(AND(OR($F77="sell_shares",$F77="called_away"),$AL77&lt;IF($F77="called_away",$AE77*$D77,$L77)),"Insufficient shares (capped)",IF(AND(OR($F77="buy_to_close",$F77="expire",$F77="roll",$F77="assignment",$F77="called_away"),$AF77&gt;0,$H77&gt;IF($AF77&gt;0,MAX(0,INDEX($AI$9:$AI$76,$AF77)-SUMIFS($AE$9:$AE$76,$G$9:$G$76,$G77,$B$9:$B$76,$B77)),0)),"Close quantity capped","OK")))))))))</f>
        <v/>
      </c>
      <c r="W77" s="48" t="str">
        <f t="shared" si="20"/>
        <v/>
      </c>
      <c r="X77" s="49" t="str">
        <f t="shared" si="21"/>
        <v/>
      </c>
      <c r="Y77" s="50" t="str">
        <f t="shared" si="22"/>
        <v/>
      </c>
      <c r="Z77" s="50" t="str">
        <f t="shared" si="23"/>
        <v/>
      </c>
      <c r="AA77" s="50" t="str">
        <f t="shared" si="24"/>
        <v/>
      </c>
      <c r="AB77" s="50" t="str">
        <f t="shared" si="25"/>
        <v/>
      </c>
      <c r="AC77" s="50" t="str">
        <f>IF($A77="","",IF($F77="assignment",IF($AF77&gt;0,INDEX($AH$9:$AH$76,$AF77),0)*$AE77*$D77,IF($F77="buy_shares",$M77*$AL77,0)))</f>
        <v/>
      </c>
      <c r="AD77" s="50" t="str">
        <f>IF($A77="","",IF($F77="called_away",IF($AF77&gt;0,INDEX($AH$9:$AH$76,$AF77),0)*$AL77,IF($F77="sell_shares",$M77*$AL77,0)))</f>
        <v/>
      </c>
      <c r="AE77" s="51" t="str">
        <f>IF($A77="","",IF(OR($F77="sell_put",$F77="sell_call"),IF(AND($H77&gt;0,$I77&gt;0,$J77&gt;=0),$H77,0),IF(OR($F77="buy_to_close",$F77="expire",$F77="roll",$F77="assignment",$F77="called_away"),IF(AND($AF77&gt;0,$H77&gt;0,IF($F77="assignment",IF($AF77&gt;0,INDEX($AG$9:$AG$76,$AF77),"")="put",TRUE),IF($F77="called_away",IF($AF77&gt;0,INDEX($AG$9:$AG$76,$AF77),"")="call",TRUE)),MIN($H77,IF($AF77&gt;0,MAX(0,INDEX($AI$9:$AI$76,$AF77)-SUMIFS($AE$9:$AE$76,$G$9:$G$76,$G77,$B$9:$B$76,$B77)),0)),0),0)))</f>
        <v/>
      </c>
      <c r="AF77" t="str">
        <f>IF($A77="","",IFERROR(MATCH(LEN($B77)&amp;":"&amp;$B77&amp;$G77,$AY$9:$AY$76,0),0))</f>
        <v/>
      </c>
      <c r="AG77" t="str">
        <f>IF($A77="","",IF($F77="sell_put","put",IF($F77="sell_call","call",IF($F77="roll",IF($AF77&gt;0,IF($AF77&gt;0,INDEX($AG$9:$AG$76,$AF77),""),""),IF($AF77&gt;0,IF($AF77&gt;0,INDEX($AG$9:$AG$76,$AF77),""),"")))))</f>
        <v/>
      </c>
      <c r="AH77" t="str">
        <f>IF($A77="","",IF(OR($F77="sell_put",$F77="sell_call",$F77="roll"),$I77,IF($AF77&gt;0,IF($AF77&gt;0,INDEX($AH$9:$AH$76,$AF77),0),0)))</f>
        <v/>
      </c>
      <c r="AI77" s="51" t="str">
        <f t="shared" si="26"/>
        <v/>
      </c>
      <c r="AJ77" s="51" t="str">
        <f>IF($A77="","",IFERROR(LOOKUP(2,1/($B$9:$B$76=$B77),$AM$9:$AM76),0))</f>
        <v/>
      </c>
      <c r="AK77" t="str">
        <f>IF($A77="","",IFERROR(LOOKUP(2,1/($B$9:$B$76=$B77),$AN$9:$AN76),0))</f>
        <v/>
      </c>
      <c r="AL77" s="51" t="str">
        <f t="shared" si="27"/>
        <v/>
      </c>
      <c r="AM77" s="51" t="str">
        <f t="shared" si="28"/>
        <v/>
      </c>
      <c r="AN77" t="str">
        <f t="shared" si="29"/>
        <v/>
      </c>
      <c r="AO77" s="50" t="str">
        <f>IF($A77="","",IFERROR(LOOKUP(2,1/($B$9:$B$76=$B77),$AO$9:$AO76),0)+IF($F77="sell_put",$I77*$AE77*$D77,IF($F77="roll",IF($AG77="put",($I77-IF($AF77&gt;0,INDEX($AH$9:$AH$76,$AF77),0))*$AE77*$D77,0),IF(AND(OR($F77="buy_to_close",$F77="expire",$F77="roll",$F77="assignment",$F77="called_away"),$F77&lt;&gt;"roll",$AG77="put"),-IF($AF77&gt;0,INDEX($AH$9:$AH$76,$AF77),0)*$AE77*$D77,0))))</f>
        <v/>
      </c>
      <c r="AP77" s="51" t="str">
        <f>IF($A77="","",IFERROR(LOOKUP(2,1/($B$9:$B$76=$B77),$AP$9:$AP76),0)+IF($F77="sell_put",$AE77*$D77,IF(AND(OR($F77="buy_to_close",$F77="expire",$F77="roll",$F77="assignment",$F77="called_away"),$F77&lt;&gt;"roll",$AG77="put"),-$AE77*$D77,0)))</f>
        <v/>
      </c>
      <c r="AQ77" s="51" t="str">
        <f>IF($A77="","",IFERROR(LOOKUP(2,1/($B$9:$B$76=$B77),$AQ$9:$AQ76),0)+IF(OR($F77="sell_put",$F77="sell_call"),$AE77,0)-IF(AND(OR($F77="buy_to_close",$F77="expire",$F77="roll",$F77="assignment",$F77="called_away"),$F77&lt;&gt;"roll"),$AE77,0))</f>
        <v/>
      </c>
      <c r="AR77" t="str">
        <f t="shared" si="30"/>
        <v/>
      </c>
      <c r="AS77" s="50" t="str">
        <f t="shared" si="31"/>
        <v/>
      </c>
      <c r="AT77" s="50" t="str">
        <f>IF($A77="","",MAX(IF($T77=IFERROR(LOOKUP(2,1/($B$9:$B$76=$B77),$T$9:$T76),0),IFERROR(LOOKUP(2,1/($B$9:$B$76=$B77),$AT$9:$AT76),0),0),$AS77))</f>
        <v/>
      </c>
      <c r="AU77" t="str">
        <f t="shared" si="32"/>
        <v/>
      </c>
      <c r="AV77" s="51">
        <f>IF($AU77="",0,IF(AND(IFERROR(LOOKUP(2,1/($B$9:$B$76=$B77),$AR$9:$AR76),1),NOT(AND(OR($F77="dividend",$F77="fee"),IFERROR(LOOKUP(2,1/($B$9:$B$76=$B77),$T$9:$T76),0)&gt;0))),ROW(),0))</f>
        <v>0</v>
      </c>
      <c r="AW77">
        <f>IF($A77="",0,IF($AV77&gt;0,MAX($AW$9:$AW$76)+1,MAX($AW$9:$AW$76)))</f>
        <v>0</v>
      </c>
      <c r="AX77">
        <f>IF($AU77="",0,IF(AND($AR77,OR(NOT(IFERROR(LOOKUP(2,1/($B$9:$B$76=$B77),$AR$9:$AR76),1)),IFERROR(LOOKUP(2,1/($B$9:$B$76=$B77),$T$9:$T76),0)=0)),ROW(),0))</f>
        <v>0</v>
      </c>
      <c r="AY77" t="str">
        <f t="shared" si="33"/>
        <v/>
      </c>
    </row>
    <row r="78" spans="1:51" ht="15" x14ac:dyDescent="0.25">
      <c r="A78" s="52" t="str">
        <f>IF(Trades!$A78="","",Trades!O78)</f>
        <v/>
      </c>
      <c r="B78" s="52" t="str">
        <f>IF(Trades!$A78="","",Trades!B78)</f>
        <v/>
      </c>
      <c r="C78" s="52" t="str">
        <f>IF(Trades!$A78="","",Trades!C78)</f>
        <v/>
      </c>
      <c r="D78" s="53" t="str">
        <f>IF(Trades!$A78="","",IF(Trades!$L78&gt;0,Trades!$L78,Trades!$C$6))</f>
        <v/>
      </c>
      <c r="E78" s="54" t="str">
        <f>IF(Trades!$A78="","",Trades!A78)</f>
        <v/>
      </c>
      <c r="F78" s="52" t="str">
        <f>IF(Trades!$A78="","",IFERROR(INDEX(Trades!$V$2:$V$14,MATCH(Trades!$E78,Trades!$U$2:$U$14,0)),""))</f>
        <v/>
      </c>
      <c r="G78" s="52" t="str">
        <f>IF(Trades!$A78="","",Trades!N78)</f>
        <v/>
      </c>
      <c r="H78" s="53" t="str">
        <f>IF(Trades!$A78="","",Trades!F78)</f>
        <v/>
      </c>
      <c r="I78" s="55" t="str">
        <f>IF(Trades!$A78="","",Trades!G78)</f>
        <v/>
      </c>
      <c r="J78" s="55" t="str">
        <f>IF(Trades!$A78="","",Trades!I78)</f>
        <v/>
      </c>
      <c r="K78" s="55" t="str">
        <f>IF(Trades!$A78="","",Trades!Q78)</f>
        <v/>
      </c>
      <c r="L78" s="53" t="str">
        <f>IF(Trades!$A78="","",Trades!F78)</f>
        <v/>
      </c>
      <c r="M78" s="55" t="str">
        <f>IF(Trades!$A78="","",Trades!M78)</f>
        <v/>
      </c>
      <c r="N78" s="55" t="str">
        <f>IF(Trades!$A78="","",Trades!R78)</f>
        <v/>
      </c>
      <c r="O78" s="55" t="str">
        <f>IF(Trades!$A78="","",Trades!J78)</f>
        <v/>
      </c>
      <c r="P78" s="54" t="str">
        <f>IF(Trades!$A78="","",Trades!H78)</f>
        <v/>
      </c>
      <c r="Q78" s="52" t="str">
        <f>IF(Trades!$A78="","",Trades!P78)</f>
        <v/>
      </c>
      <c r="R78" s="56" t="str">
        <f t="shared" si="17"/>
        <v/>
      </c>
      <c r="S78" s="56" t="str">
        <f t="shared" si="18"/>
        <v/>
      </c>
      <c r="T78" s="57" t="str">
        <f>IF(OR($A78="",$B78=""),"",IF(AND(IFERROR(LOOKUP(2,1/($B$9:$B$77=$B78),$AR$9:$AR77),1),NOT(AND(OR($F78="dividend",$F78="fee"),IFERROR(LOOKUP(2,1/($B$9:$B$77=$B78),$T$9:$T77),0)&gt;0))),IFERROR(LOOKUP(2,1/($B$9:$B$77=$B78),$T$9:$T77),0)+1,IFERROR(LOOKUP(2,1/($B$9:$B$77=$B78),$T$9:$T77),0)))</f>
        <v/>
      </c>
      <c r="U78" s="58" t="str">
        <f t="shared" si="19"/>
        <v/>
      </c>
      <c r="V78" s="58" t="str">
        <f>IF($A78="","",IF(OR($B78="",$C78="",$D78="",$E78="",$F78=""),"Missing required field",IF(COUNTIFS($A$9:$A78,$A78,$B$9:$B78,$B78)&gt;1,"Duplicate event ID",IF(AND($E78&lt;&gt;IFERROR(LOOKUP(2,1/($B$9:$B$77=$B78),$E$9:$E77),0),IFERROR(LOOKUP(2,1/($B$9:$B$77=$B78),$E$9:$E77),0)&gt;$E78),"Date out of order",IF(AND(OR($F78="buy_to_close",$F78="expire",$F78="roll",$F78="assignment",$F78="called_away"),$AF78=0),"Unknown lot",IF(OR(AND($F78="assignment",$AF78&gt;0,IF($AF78&gt;0,INDEX($AG$9:$AG$77,$AF78),"")&lt;&gt;"put"),AND($F78="called_away",$AF78&gt;0,IF($AF78&gt;0,INDEX($AG$9:$AG$77,$AF78),"")&lt;&gt;"call")),"Wrong option leg",IF(OR(AND(OR($F78="sell_put",$F78="sell_call"),OR($H78&lt;=0,$I78&lt;=0,$J78&lt;0)),AND(OR($F78="buy_to_close",$F78="expire",$F78="assignment",$F78="called_away"),OR($H78&lt;=0,$J78&lt;0)),AND($F78="roll",OR($H78&lt;=0,$I78&lt;=0,$J78&lt;0,$K78&lt;0)),AND(OR($F78="buy_shares",$F78="sell_shares"),OR($L78&lt;=0,$M78&lt;0)),AND(OR($F78="dividend",$F78="fee"),$N78&lt;0)),"Invalid value",IF(AND(OR($F78="sell_shares",$F78="called_away"),$AL78&lt;IF($F78="called_away",$AE78*$D78,$L78)),"Insufficient shares (capped)",IF(AND(OR($F78="buy_to_close",$F78="expire",$F78="roll",$F78="assignment",$F78="called_away"),$AF78&gt;0,$H78&gt;IF($AF78&gt;0,MAX(0,INDEX($AI$9:$AI$77,$AF78)-SUMIFS($AE$9:$AE$77,$G$9:$G$77,$G78,$B$9:$B$77,$B78)),0)),"Close quantity capped","OK")))))))))</f>
        <v/>
      </c>
      <c r="W78" s="59" t="str">
        <f t="shared" si="20"/>
        <v/>
      </c>
      <c r="X78" s="60" t="str">
        <f t="shared" si="21"/>
        <v/>
      </c>
      <c r="Y78" s="50" t="str">
        <f t="shared" si="22"/>
        <v/>
      </c>
      <c r="Z78" s="50" t="str">
        <f t="shared" si="23"/>
        <v/>
      </c>
      <c r="AA78" s="50" t="str">
        <f t="shared" si="24"/>
        <v/>
      </c>
      <c r="AB78" s="50" t="str">
        <f t="shared" si="25"/>
        <v/>
      </c>
      <c r="AC78" s="50" t="str">
        <f>IF($A78="","",IF($F78="assignment",IF($AF78&gt;0,INDEX($AH$9:$AH$77,$AF78),0)*$AE78*$D78,IF($F78="buy_shares",$M78*$AL78,0)))</f>
        <v/>
      </c>
      <c r="AD78" s="50" t="str">
        <f>IF($A78="","",IF($F78="called_away",IF($AF78&gt;0,INDEX($AH$9:$AH$77,$AF78),0)*$AL78,IF($F78="sell_shares",$M78*$AL78,0)))</f>
        <v/>
      </c>
      <c r="AE78" s="51" t="str">
        <f>IF($A78="","",IF(OR($F78="sell_put",$F78="sell_call"),IF(AND($H78&gt;0,$I78&gt;0,$J78&gt;=0),$H78,0),IF(OR($F78="buy_to_close",$F78="expire",$F78="roll",$F78="assignment",$F78="called_away"),IF(AND($AF78&gt;0,$H78&gt;0,IF($F78="assignment",IF($AF78&gt;0,INDEX($AG$9:$AG$77,$AF78),"")="put",TRUE),IF($F78="called_away",IF($AF78&gt;0,INDEX($AG$9:$AG$77,$AF78),"")="call",TRUE)),MIN($H78,IF($AF78&gt;0,MAX(0,INDEX($AI$9:$AI$77,$AF78)-SUMIFS($AE$9:$AE$77,$G$9:$G$77,$G78,$B$9:$B$77,$B78)),0)),0),0)))</f>
        <v/>
      </c>
      <c r="AF78" t="str">
        <f>IF($A78="","",IFERROR(MATCH(LEN($B78)&amp;":"&amp;$B78&amp;$G78,$AY$9:$AY$77,0),0))</f>
        <v/>
      </c>
      <c r="AG78" t="str">
        <f>IF($A78="","",IF($F78="sell_put","put",IF($F78="sell_call","call",IF($F78="roll",IF($AF78&gt;0,IF($AF78&gt;0,INDEX($AG$9:$AG$77,$AF78),""),""),IF($AF78&gt;0,IF($AF78&gt;0,INDEX($AG$9:$AG$77,$AF78),""),"")))))</f>
        <v/>
      </c>
      <c r="AH78" t="str">
        <f>IF($A78="","",IF(OR($F78="sell_put",$F78="sell_call",$F78="roll"),$I78,IF($AF78&gt;0,IF($AF78&gt;0,INDEX($AH$9:$AH$77,$AF78),0),0)))</f>
        <v/>
      </c>
      <c r="AI78" s="51" t="str">
        <f t="shared" si="26"/>
        <v/>
      </c>
      <c r="AJ78" s="51" t="str">
        <f>IF($A78="","",IFERROR(LOOKUP(2,1/($B$9:$B$77=$B78),$AM$9:$AM77),0))</f>
        <v/>
      </c>
      <c r="AK78" t="str">
        <f>IF($A78="","",IFERROR(LOOKUP(2,1/($B$9:$B$77=$B78),$AN$9:$AN77),0))</f>
        <v/>
      </c>
      <c r="AL78" s="51" t="str">
        <f t="shared" si="27"/>
        <v/>
      </c>
      <c r="AM78" s="51" t="str">
        <f t="shared" si="28"/>
        <v/>
      </c>
      <c r="AN78" t="str">
        <f t="shared" si="29"/>
        <v/>
      </c>
      <c r="AO78" s="50" t="str">
        <f>IF($A78="","",IFERROR(LOOKUP(2,1/($B$9:$B$77=$B78),$AO$9:$AO77),0)+IF($F78="sell_put",$I78*$AE78*$D78,IF($F78="roll",IF($AG78="put",($I78-IF($AF78&gt;0,INDEX($AH$9:$AH$77,$AF78),0))*$AE78*$D78,0),IF(AND(OR($F78="buy_to_close",$F78="expire",$F78="roll",$F78="assignment",$F78="called_away"),$F78&lt;&gt;"roll",$AG78="put"),-IF($AF78&gt;0,INDEX($AH$9:$AH$77,$AF78),0)*$AE78*$D78,0))))</f>
        <v/>
      </c>
      <c r="AP78" s="51" t="str">
        <f>IF($A78="","",IFERROR(LOOKUP(2,1/($B$9:$B$77=$B78),$AP$9:$AP77),0)+IF($F78="sell_put",$AE78*$D78,IF(AND(OR($F78="buy_to_close",$F78="expire",$F78="roll",$F78="assignment",$F78="called_away"),$F78&lt;&gt;"roll",$AG78="put"),-$AE78*$D78,0)))</f>
        <v/>
      </c>
      <c r="AQ78" s="51" t="str">
        <f>IF($A78="","",IFERROR(LOOKUP(2,1/($B$9:$B$77=$B78),$AQ$9:$AQ77),0)+IF(OR($F78="sell_put",$F78="sell_call"),$AE78,0)-IF(AND(OR($F78="buy_to_close",$F78="expire",$F78="roll",$F78="assignment",$F78="called_away"),$F78&lt;&gt;"roll"),$AE78,0))</f>
        <v/>
      </c>
      <c r="AR78" t="str">
        <f t="shared" si="30"/>
        <v/>
      </c>
      <c r="AS78" s="50" t="str">
        <f t="shared" si="31"/>
        <v/>
      </c>
      <c r="AT78" s="50" t="str">
        <f>IF($A78="","",MAX(IF($T78=IFERROR(LOOKUP(2,1/($B$9:$B$77=$B78),$T$9:$T77),0),IFERROR(LOOKUP(2,1/($B$9:$B$77=$B78),$AT$9:$AT77),0),0),$AS78))</f>
        <v/>
      </c>
      <c r="AU78" t="str">
        <f t="shared" si="32"/>
        <v/>
      </c>
      <c r="AV78" s="51">
        <f>IF($AU78="",0,IF(AND(IFERROR(LOOKUP(2,1/($B$9:$B$77=$B78),$AR$9:$AR77),1),NOT(AND(OR($F78="dividend",$F78="fee"),IFERROR(LOOKUP(2,1/($B$9:$B$77=$B78),$T$9:$T77),0)&gt;0))),ROW(),0))</f>
        <v>0</v>
      </c>
      <c r="AW78">
        <f>IF($A78="",0,IF($AV78&gt;0,MAX($AW$9:$AW$77)+1,MAX($AW$9:$AW$77)))</f>
        <v>0</v>
      </c>
      <c r="AX78">
        <f>IF($AU78="",0,IF(AND($AR78,OR(NOT(IFERROR(LOOKUP(2,1/($B$9:$B$77=$B78),$AR$9:$AR77),1)),IFERROR(LOOKUP(2,1/($B$9:$B$77=$B78),$T$9:$T77),0)=0)),ROW(),0))</f>
        <v>0</v>
      </c>
      <c r="AY78" t="str">
        <f t="shared" si="33"/>
        <v/>
      </c>
    </row>
    <row r="79" spans="1:51" ht="15" x14ac:dyDescent="0.25">
      <c r="A79" s="41" t="str">
        <f>IF(Trades!$A79="","",Trades!O79)</f>
        <v/>
      </c>
      <c r="B79" s="41" t="str">
        <f>IF(Trades!$A79="","",Trades!B79)</f>
        <v/>
      </c>
      <c r="C79" s="41" t="str">
        <f>IF(Trades!$A79="","",Trades!C79)</f>
        <v/>
      </c>
      <c r="D79" s="42" t="str">
        <f>IF(Trades!$A79="","",IF(Trades!$L79&gt;0,Trades!$L79,Trades!$C$6))</f>
        <v/>
      </c>
      <c r="E79" s="43" t="str">
        <f>IF(Trades!$A79="","",Trades!A79)</f>
        <v/>
      </c>
      <c r="F79" s="41" t="str">
        <f>IF(Trades!$A79="","",IFERROR(INDEX(Trades!$V$2:$V$14,MATCH(Trades!$E79,Trades!$U$2:$U$14,0)),""))</f>
        <v/>
      </c>
      <c r="G79" s="41" t="str">
        <f>IF(Trades!$A79="","",Trades!N79)</f>
        <v/>
      </c>
      <c r="H79" s="42" t="str">
        <f>IF(Trades!$A79="","",Trades!F79)</f>
        <v/>
      </c>
      <c r="I79" s="44" t="str">
        <f>IF(Trades!$A79="","",Trades!G79)</f>
        <v/>
      </c>
      <c r="J79" s="44" t="str">
        <f>IF(Trades!$A79="","",Trades!I79)</f>
        <v/>
      </c>
      <c r="K79" s="44" t="str">
        <f>IF(Trades!$A79="","",Trades!Q79)</f>
        <v/>
      </c>
      <c r="L79" s="42" t="str">
        <f>IF(Trades!$A79="","",Trades!F79)</f>
        <v/>
      </c>
      <c r="M79" s="44" t="str">
        <f>IF(Trades!$A79="","",Trades!M79)</f>
        <v/>
      </c>
      <c r="N79" s="44" t="str">
        <f>IF(Trades!$A79="","",Trades!R79)</f>
        <v/>
      </c>
      <c r="O79" s="44" t="str">
        <f>IF(Trades!$A79="","",Trades!J79)</f>
        <v/>
      </c>
      <c r="P79" s="43" t="str">
        <f>IF(Trades!$A79="","",Trades!H79)</f>
        <v/>
      </c>
      <c r="Q79" s="41" t="str">
        <f>IF(Trades!$A79="","",Trades!P79)</f>
        <v/>
      </c>
      <c r="R79" s="45" t="str">
        <f t="shared" si="17"/>
        <v/>
      </c>
      <c r="S79" s="45" t="str">
        <f t="shared" si="18"/>
        <v/>
      </c>
      <c r="T79" s="46" t="str">
        <f>IF(OR($A79="",$B79=""),"",IF(AND(IFERROR(LOOKUP(2,1/($B$9:$B$78=$B79),$AR$9:$AR78),1),NOT(AND(OR($F79="dividend",$F79="fee"),IFERROR(LOOKUP(2,1/($B$9:$B$78=$B79),$T$9:$T78),0)&gt;0))),IFERROR(LOOKUP(2,1/($B$9:$B$78=$B79),$T$9:$T78),0)+1,IFERROR(LOOKUP(2,1/($B$9:$B$78=$B79),$T$9:$T78),0)))</f>
        <v/>
      </c>
      <c r="U79" s="47" t="str">
        <f t="shared" si="19"/>
        <v/>
      </c>
      <c r="V79" s="47" t="str">
        <f>IF($A79="","",IF(OR($B79="",$C79="",$D79="",$E79="",$F79=""),"Missing required field",IF(COUNTIFS($A$9:$A79,$A79,$B$9:$B79,$B79)&gt;1,"Duplicate event ID",IF(AND($E79&lt;&gt;IFERROR(LOOKUP(2,1/($B$9:$B$78=$B79),$E$9:$E78),0),IFERROR(LOOKUP(2,1/($B$9:$B$78=$B79),$E$9:$E78),0)&gt;$E79),"Date out of order",IF(AND(OR($F79="buy_to_close",$F79="expire",$F79="roll",$F79="assignment",$F79="called_away"),$AF79=0),"Unknown lot",IF(OR(AND($F79="assignment",$AF79&gt;0,IF($AF79&gt;0,INDEX($AG$9:$AG$78,$AF79),"")&lt;&gt;"put"),AND($F79="called_away",$AF79&gt;0,IF($AF79&gt;0,INDEX($AG$9:$AG$78,$AF79),"")&lt;&gt;"call")),"Wrong option leg",IF(OR(AND(OR($F79="sell_put",$F79="sell_call"),OR($H79&lt;=0,$I79&lt;=0,$J79&lt;0)),AND(OR($F79="buy_to_close",$F79="expire",$F79="assignment",$F79="called_away"),OR($H79&lt;=0,$J79&lt;0)),AND($F79="roll",OR($H79&lt;=0,$I79&lt;=0,$J79&lt;0,$K79&lt;0)),AND(OR($F79="buy_shares",$F79="sell_shares"),OR($L79&lt;=0,$M79&lt;0)),AND(OR($F79="dividend",$F79="fee"),$N79&lt;0)),"Invalid value",IF(AND(OR($F79="sell_shares",$F79="called_away"),$AL79&lt;IF($F79="called_away",$AE79*$D79,$L79)),"Insufficient shares (capped)",IF(AND(OR($F79="buy_to_close",$F79="expire",$F79="roll",$F79="assignment",$F79="called_away"),$AF79&gt;0,$H79&gt;IF($AF79&gt;0,MAX(0,INDEX($AI$9:$AI$78,$AF79)-SUMIFS($AE$9:$AE$78,$G$9:$G$78,$G79,$B$9:$B$78,$B79)),0)),"Close quantity capped","OK")))))))))</f>
        <v/>
      </c>
      <c r="W79" s="48" t="str">
        <f t="shared" si="20"/>
        <v/>
      </c>
      <c r="X79" s="49" t="str">
        <f t="shared" si="21"/>
        <v/>
      </c>
      <c r="Y79" s="50" t="str">
        <f t="shared" si="22"/>
        <v/>
      </c>
      <c r="Z79" s="50" t="str">
        <f t="shared" si="23"/>
        <v/>
      </c>
      <c r="AA79" s="50" t="str">
        <f t="shared" si="24"/>
        <v/>
      </c>
      <c r="AB79" s="50" t="str">
        <f t="shared" si="25"/>
        <v/>
      </c>
      <c r="AC79" s="50" t="str">
        <f>IF($A79="","",IF($F79="assignment",IF($AF79&gt;0,INDEX($AH$9:$AH$78,$AF79),0)*$AE79*$D79,IF($F79="buy_shares",$M79*$AL79,0)))</f>
        <v/>
      </c>
      <c r="AD79" s="50" t="str">
        <f>IF($A79="","",IF($F79="called_away",IF($AF79&gt;0,INDEX($AH$9:$AH$78,$AF79),0)*$AL79,IF($F79="sell_shares",$M79*$AL79,0)))</f>
        <v/>
      </c>
      <c r="AE79" s="51" t="str">
        <f>IF($A79="","",IF(OR($F79="sell_put",$F79="sell_call"),IF(AND($H79&gt;0,$I79&gt;0,$J79&gt;=0),$H79,0),IF(OR($F79="buy_to_close",$F79="expire",$F79="roll",$F79="assignment",$F79="called_away"),IF(AND($AF79&gt;0,$H79&gt;0,IF($F79="assignment",IF($AF79&gt;0,INDEX($AG$9:$AG$78,$AF79),"")="put",TRUE),IF($F79="called_away",IF($AF79&gt;0,INDEX($AG$9:$AG$78,$AF79),"")="call",TRUE)),MIN($H79,IF($AF79&gt;0,MAX(0,INDEX($AI$9:$AI$78,$AF79)-SUMIFS($AE$9:$AE$78,$G$9:$G$78,$G79,$B$9:$B$78,$B79)),0)),0),0)))</f>
        <v/>
      </c>
      <c r="AF79" t="str">
        <f>IF($A79="","",IFERROR(MATCH(LEN($B79)&amp;":"&amp;$B79&amp;$G79,$AY$9:$AY$78,0),0))</f>
        <v/>
      </c>
      <c r="AG79" t="str">
        <f>IF($A79="","",IF($F79="sell_put","put",IF($F79="sell_call","call",IF($F79="roll",IF($AF79&gt;0,IF($AF79&gt;0,INDEX($AG$9:$AG$78,$AF79),""),""),IF($AF79&gt;0,IF($AF79&gt;0,INDEX($AG$9:$AG$78,$AF79),""),"")))))</f>
        <v/>
      </c>
      <c r="AH79" t="str">
        <f>IF($A79="","",IF(OR($F79="sell_put",$F79="sell_call",$F79="roll"),$I79,IF($AF79&gt;0,IF($AF79&gt;0,INDEX($AH$9:$AH$78,$AF79),0),0)))</f>
        <v/>
      </c>
      <c r="AI79" s="51" t="str">
        <f t="shared" si="26"/>
        <v/>
      </c>
      <c r="AJ79" s="51" t="str">
        <f>IF($A79="","",IFERROR(LOOKUP(2,1/($B$9:$B$78=$B79),$AM$9:$AM78),0))</f>
        <v/>
      </c>
      <c r="AK79" t="str">
        <f>IF($A79="","",IFERROR(LOOKUP(2,1/($B$9:$B$78=$B79),$AN$9:$AN78),0))</f>
        <v/>
      </c>
      <c r="AL79" s="51" t="str">
        <f t="shared" si="27"/>
        <v/>
      </c>
      <c r="AM79" s="51" t="str">
        <f t="shared" si="28"/>
        <v/>
      </c>
      <c r="AN79" t="str">
        <f t="shared" si="29"/>
        <v/>
      </c>
      <c r="AO79" s="50" t="str">
        <f>IF($A79="","",IFERROR(LOOKUP(2,1/($B$9:$B$78=$B79),$AO$9:$AO78),0)+IF($F79="sell_put",$I79*$AE79*$D79,IF($F79="roll",IF($AG79="put",($I79-IF($AF79&gt;0,INDEX($AH$9:$AH$78,$AF79),0))*$AE79*$D79,0),IF(AND(OR($F79="buy_to_close",$F79="expire",$F79="roll",$F79="assignment",$F79="called_away"),$F79&lt;&gt;"roll",$AG79="put"),-IF($AF79&gt;0,INDEX($AH$9:$AH$78,$AF79),0)*$AE79*$D79,0))))</f>
        <v/>
      </c>
      <c r="AP79" s="51" t="str">
        <f>IF($A79="","",IFERROR(LOOKUP(2,1/($B$9:$B$78=$B79),$AP$9:$AP78),0)+IF($F79="sell_put",$AE79*$D79,IF(AND(OR($F79="buy_to_close",$F79="expire",$F79="roll",$F79="assignment",$F79="called_away"),$F79&lt;&gt;"roll",$AG79="put"),-$AE79*$D79,0)))</f>
        <v/>
      </c>
      <c r="AQ79" s="51" t="str">
        <f>IF($A79="","",IFERROR(LOOKUP(2,1/($B$9:$B$78=$B79),$AQ$9:$AQ78),0)+IF(OR($F79="sell_put",$F79="sell_call"),$AE79,0)-IF(AND(OR($F79="buy_to_close",$F79="expire",$F79="roll",$F79="assignment",$F79="called_away"),$F79&lt;&gt;"roll"),$AE79,0))</f>
        <v/>
      </c>
      <c r="AR79" t="str">
        <f t="shared" si="30"/>
        <v/>
      </c>
      <c r="AS79" s="50" t="str">
        <f t="shared" si="31"/>
        <v/>
      </c>
      <c r="AT79" s="50" t="str">
        <f>IF($A79="","",MAX(IF($T79=IFERROR(LOOKUP(2,1/($B$9:$B$78=$B79),$T$9:$T78),0),IFERROR(LOOKUP(2,1/($B$9:$B$78=$B79),$AT$9:$AT78),0),0),$AS79))</f>
        <v/>
      </c>
      <c r="AU79" t="str">
        <f t="shared" si="32"/>
        <v/>
      </c>
      <c r="AV79" s="51">
        <f>IF($AU79="",0,IF(AND(IFERROR(LOOKUP(2,1/($B$9:$B$78=$B79),$AR$9:$AR78),1),NOT(AND(OR($F79="dividend",$F79="fee"),IFERROR(LOOKUP(2,1/($B$9:$B$78=$B79),$T$9:$T78),0)&gt;0))),ROW(),0))</f>
        <v>0</v>
      </c>
      <c r="AW79">
        <f>IF($A79="",0,IF($AV79&gt;0,MAX($AW$9:$AW$78)+1,MAX($AW$9:$AW$78)))</f>
        <v>0</v>
      </c>
      <c r="AX79">
        <f>IF($AU79="",0,IF(AND($AR79,OR(NOT(IFERROR(LOOKUP(2,1/($B$9:$B$78=$B79),$AR$9:$AR78),1)),IFERROR(LOOKUP(2,1/($B$9:$B$78=$B79),$T$9:$T78),0)=0)),ROW(),0))</f>
        <v>0</v>
      </c>
      <c r="AY79" t="str">
        <f t="shared" si="33"/>
        <v/>
      </c>
    </row>
    <row r="80" spans="1:51" ht="15" x14ac:dyDescent="0.25">
      <c r="A80" s="52" t="str">
        <f>IF(Trades!$A80="","",Trades!O80)</f>
        <v/>
      </c>
      <c r="B80" s="52" t="str">
        <f>IF(Trades!$A80="","",Trades!B80)</f>
        <v/>
      </c>
      <c r="C80" s="52" t="str">
        <f>IF(Trades!$A80="","",Trades!C80)</f>
        <v/>
      </c>
      <c r="D80" s="53" t="str">
        <f>IF(Trades!$A80="","",IF(Trades!$L80&gt;0,Trades!$L80,Trades!$C$6))</f>
        <v/>
      </c>
      <c r="E80" s="54" t="str">
        <f>IF(Trades!$A80="","",Trades!A80)</f>
        <v/>
      </c>
      <c r="F80" s="52" t="str">
        <f>IF(Trades!$A80="","",IFERROR(INDEX(Trades!$V$2:$V$14,MATCH(Trades!$E80,Trades!$U$2:$U$14,0)),""))</f>
        <v/>
      </c>
      <c r="G80" s="52" t="str">
        <f>IF(Trades!$A80="","",Trades!N80)</f>
        <v/>
      </c>
      <c r="H80" s="53" t="str">
        <f>IF(Trades!$A80="","",Trades!F80)</f>
        <v/>
      </c>
      <c r="I80" s="55" t="str">
        <f>IF(Trades!$A80="","",Trades!G80)</f>
        <v/>
      </c>
      <c r="J80" s="55" t="str">
        <f>IF(Trades!$A80="","",Trades!I80)</f>
        <v/>
      </c>
      <c r="K80" s="55" t="str">
        <f>IF(Trades!$A80="","",Trades!Q80)</f>
        <v/>
      </c>
      <c r="L80" s="53" t="str">
        <f>IF(Trades!$A80="","",Trades!F80)</f>
        <v/>
      </c>
      <c r="M80" s="55" t="str">
        <f>IF(Trades!$A80="","",Trades!M80)</f>
        <v/>
      </c>
      <c r="N80" s="55" t="str">
        <f>IF(Trades!$A80="","",Trades!R80)</f>
        <v/>
      </c>
      <c r="O80" s="55" t="str">
        <f>IF(Trades!$A80="","",Trades!J80)</f>
        <v/>
      </c>
      <c r="P80" s="54" t="str">
        <f>IF(Trades!$A80="","",Trades!H80)</f>
        <v/>
      </c>
      <c r="Q80" s="52" t="str">
        <f>IF(Trades!$A80="","",Trades!P80)</f>
        <v/>
      </c>
      <c r="R80" s="56" t="str">
        <f t="shared" si="17"/>
        <v/>
      </c>
      <c r="S80" s="56" t="str">
        <f t="shared" si="18"/>
        <v/>
      </c>
      <c r="T80" s="57" t="str">
        <f>IF(OR($A80="",$B80=""),"",IF(AND(IFERROR(LOOKUP(2,1/($B$9:$B$79=$B80),$AR$9:$AR79),1),NOT(AND(OR($F80="dividend",$F80="fee"),IFERROR(LOOKUP(2,1/($B$9:$B$79=$B80),$T$9:$T79),0)&gt;0))),IFERROR(LOOKUP(2,1/($B$9:$B$79=$B80),$T$9:$T79),0)+1,IFERROR(LOOKUP(2,1/($B$9:$B$79=$B80),$T$9:$T79),0)))</f>
        <v/>
      </c>
      <c r="U80" s="58" t="str">
        <f t="shared" si="19"/>
        <v/>
      </c>
      <c r="V80" s="58" t="str">
        <f>IF($A80="","",IF(OR($B80="",$C80="",$D80="",$E80="",$F80=""),"Missing required field",IF(COUNTIFS($A$9:$A80,$A80,$B$9:$B80,$B80)&gt;1,"Duplicate event ID",IF(AND($E80&lt;&gt;IFERROR(LOOKUP(2,1/($B$9:$B$79=$B80),$E$9:$E79),0),IFERROR(LOOKUP(2,1/($B$9:$B$79=$B80),$E$9:$E79),0)&gt;$E80),"Date out of order",IF(AND(OR($F80="buy_to_close",$F80="expire",$F80="roll",$F80="assignment",$F80="called_away"),$AF80=0),"Unknown lot",IF(OR(AND($F80="assignment",$AF80&gt;0,IF($AF80&gt;0,INDEX($AG$9:$AG$79,$AF80),"")&lt;&gt;"put"),AND($F80="called_away",$AF80&gt;0,IF($AF80&gt;0,INDEX($AG$9:$AG$79,$AF80),"")&lt;&gt;"call")),"Wrong option leg",IF(OR(AND(OR($F80="sell_put",$F80="sell_call"),OR($H80&lt;=0,$I80&lt;=0,$J80&lt;0)),AND(OR($F80="buy_to_close",$F80="expire",$F80="assignment",$F80="called_away"),OR($H80&lt;=0,$J80&lt;0)),AND($F80="roll",OR($H80&lt;=0,$I80&lt;=0,$J80&lt;0,$K80&lt;0)),AND(OR($F80="buy_shares",$F80="sell_shares"),OR($L80&lt;=0,$M80&lt;0)),AND(OR($F80="dividend",$F80="fee"),$N80&lt;0)),"Invalid value",IF(AND(OR($F80="sell_shares",$F80="called_away"),$AL80&lt;IF($F80="called_away",$AE80*$D80,$L80)),"Insufficient shares (capped)",IF(AND(OR($F80="buy_to_close",$F80="expire",$F80="roll",$F80="assignment",$F80="called_away"),$AF80&gt;0,$H80&gt;IF($AF80&gt;0,MAX(0,INDEX($AI$9:$AI$79,$AF80)-SUMIFS($AE$9:$AE$79,$G$9:$G$79,$G80,$B$9:$B$79,$B80)),0)),"Close quantity capped","OK")))))))))</f>
        <v/>
      </c>
      <c r="W80" s="59" t="str">
        <f t="shared" si="20"/>
        <v/>
      </c>
      <c r="X80" s="60" t="str">
        <f t="shared" si="21"/>
        <v/>
      </c>
      <c r="Y80" s="50" t="str">
        <f t="shared" si="22"/>
        <v/>
      </c>
      <c r="Z80" s="50" t="str">
        <f t="shared" si="23"/>
        <v/>
      </c>
      <c r="AA80" s="50" t="str">
        <f t="shared" si="24"/>
        <v/>
      </c>
      <c r="AB80" s="50" t="str">
        <f t="shared" si="25"/>
        <v/>
      </c>
      <c r="AC80" s="50" t="str">
        <f>IF($A80="","",IF($F80="assignment",IF($AF80&gt;0,INDEX($AH$9:$AH$79,$AF80),0)*$AE80*$D80,IF($F80="buy_shares",$M80*$AL80,0)))</f>
        <v/>
      </c>
      <c r="AD80" s="50" t="str">
        <f>IF($A80="","",IF($F80="called_away",IF($AF80&gt;0,INDEX($AH$9:$AH$79,$AF80),0)*$AL80,IF($F80="sell_shares",$M80*$AL80,0)))</f>
        <v/>
      </c>
      <c r="AE80" s="51" t="str">
        <f>IF($A80="","",IF(OR($F80="sell_put",$F80="sell_call"),IF(AND($H80&gt;0,$I80&gt;0,$J80&gt;=0),$H80,0),IF(OR($F80="buy_to_close",$F80="expire",$F80="roll",$F80="assignment",$F80="called_away"),IF(AND($AF80&gt;0,$H80&gt;0,IF($F80="assignment",IF($AF80&gt;0,INDEX($AG$9:$AG$79,$AF80),"")="put",TRUE),IF($F80="called_away",IF($AF80&gt;0,INDEX($AG$9:$AG$79,$AF80),"")="call",TRUE)),MIN($H80,IF($AF80&gt;0,MAX(0,INDEX($AI$9:$AI$79,$AF80)-SUMIFS($AE$9:$AE$79,$G$9:$G$79,$G80,$B$9:$B$79,$B80)),0)),0),0)))</f>
        <v/>
      </c>
      <c r="AF80" t="str">
        <f>IF($A80="","",IFERROR(MATCH(LEN($B80)&amp;":"&amp;$B80&amp;$G80,$AY$9:$AY$79,0),0))</f>
        <v/>
      </c>
      <c r="AG80" t="str">
        <f>IF($A80="","",IF($F80="sell_put","put",IF($F80="sell_call","call",IF($F80="roll",IF($AF80&gt;0,IF($AF80&gt;0,INDEX($AG$9:$AG$79,$AF80),""),""),IF($AF80&gt;0,IF($AF80&gt;0,INDEX($AG$9:$AG$79,$AF80),""),"")))))</f>
        <v/>
      </c>
      <c r="AH80" t="str">
        <f>IF($A80="","",IF(OR($F80="sell_put",$F80="sell_call",$F80="roll"),$I80,IF($AF80&gt;0,IF($AF80&gt;0,INDEX($AH$9:$AH$79,$AF80),0),0)))</f>
        <v/>
      </c>
      <c r="AI80" s="51" t="str">
        <f t="shared" si="26"/>
        <v/>
      </c>
      <c r="AJ80" s="51" t="str">
        <f>IF($A80="","",IFERROR(LOOKUP(2,1/($B$9:$B$79=$B80),$AM$9:$AM79),0))</f>
        <v/>
      </c>
      <c r="AK80" t="str">
        <f>IF($A80="","",IFERROR(LOOKUP(2,1/($B$9:$B$79=$B80),$AN$9:$AN79),0))</f>
        <v/>
      </c>
      <c r="AL80" s="51" t="str">
        <f t="shared" si="27"/>
        <v/>
      </c>
      <c r="AM80" s="51" t="str">
        <f t="shared" si="28"/>
        <v/>
      </c>
      <c r="AN80" t="str">
        <f t="shared" si="29"/>
        <v/>
      </c>
      <c r="AO80" s="50" t="str">
        <f>IF($A80="","",IFERROR(LOOKUP(2,1/($B$9:$B$79=$B80),$AO$9:$AO79),0)+IF($F80="sell_put",$I80*$AE80*$D80,IF($F80="roll",IF($AG80="put",($I80-IF($AF80&gt;0,INDEX($AH$9:$AH$79,$AF80),0))*$AE80*$D80,0),IF(AND(OR($F80="buy_to_close",$F80="expire",$F80="roll",$F80="assignment",$F80="called_away"),$F80&lt;&gt;"roll",$AG80="put"),-IF($AF80&gt;0,INDEX($AH$9:$AH$79,$AF80),0)*$AE80*$D80,0))))</f>
        <v/>
      </c>
      <c r="AP80" s="51" t="str">
        <f>IF($A80="","",IFERROR(LOOKUP(2,1/($B$9:$B$79=$B80),$AP$9:$AP79),0)+IF($F80="sell_put",$AE80*$D80,IF(AND(OR($F80="buy_to_close",$F80="expire",$F80="roll",$F80="assignment",$F80="called_away"),$F80&lt;&gt;"roll",$AG80="put"),-$AE80*$D80,0)))</f>
        <v/>
      </c>
      <c r="AQ80" s="51" t="str">
        <f>IF($A80="","",IFERROR(LOOKUP(2,1/($B$9:$B$79=$B80),$AQ$9:$AQ79),0)+IF(OR($F80="sell_put",$F80="sell_call"),$AE80,0)-IF(AND(OR($F80="buy_to_close",$F80="expire",$F80="roll",$F80="assignment",$F80="called_away"),$F80&lt;&gt;"roll"),$AE80,0))</f>
        <v/>
      </c>
      <c r="AR80" t="str">
        <f t="shared" si="30"/>
        <v/>
      </c>
      <c r="AS80" s="50" t="str">
        <f t="shared" si="31"/>
        <v/>
      </c>
      <c r="AT80" s="50" t="str">
        <f>IF($A80="","",MAX(IF($T80=IFERROR(LOOKUP(2,1/($B$9:$B$79=$B80),$T$9:$T79),0),IFERROR(LOOKUP(2,1/($B$9:$B$79=$B80),$AT$9:$AT79),0),0),$AS80))</f>
        <v/>
      </c>
      <c r="AU80" t="str">
        <f t="shared" si="32"/>
        <v/>
      </c>
      <c r="AV80" s="51">
        <f>IF($AU80="",0,IF(AND(IFERROR(LOOKUP(2,1/($B$9:$B$79=$B80),$AR$9:$AR79),1),NOT(AND(OR($F80="dividend",$F80="fee"),IFERROR(LOOKUP(2,1/($B$9:$B$79=$B80),$T$9:$T79),0)&gt;0))),ROW(),0))</f>
        <v>0</v>
      </c>
      <c r="AW80">
        <f>IF($A80="",0,IF($AV80&gt;0,MAX($AW$9:$AW$79)+1,MAX($AW$9:$AW$79)))</f>
        <v>0</v>
      </c>
      <c r="AX80">
        <f>IF($AU80="",0,IF(AND($AR80,OR(NOT(IFERROR(LOOKUP(2,1/($B$9:$B$79=$B80),$AR$9:$AR79),1)),IFERROR(LOOKUP(2,1/($B$9:$B$79=$B80),$T$9:$T79),0)=0)),ROW(),0))</f>
        <v>0</v>
      </c>
      <c r="AY80" t="str">
        <f t="shared" si="33"/>
        <v/>
      </c>
    </row>
    <row r="81" spans="1:51" ht="15" x14ac:dyDescent="0.25">
      <c r="A81" s="41" t="str">
        <f>IF(Trades!$A81="","",Trades!O81)</f>
        <v/>
      </c>
      <c r="B81" s="41" t="str">
        <f>IF(Trades!$A81="","",Trades!B81)</f>
        <v/>
      </c>
      <c r="C81" s="41" t="str">
        <f>IF(Trades!$A81="","",Trades!C81)</f>
        <v/>
      </c>
      <c r="D81" s="42" t="str">
        <f>IF(Trades!$A81="","",IF(Trades!$L81&gt;0,Trades!$L81,Trades!$C$6))</f>
        <v/>
      </c>
      <c r="E81" s="43" t="str">
        <f>IF(Trades!$A81="","",Trades!A81)</f>
        <v/>
      </c>
      <c r="F81" s="41" t="str">
        <f>IF(Trades!$A81="","",IFERROR(INDEX(Trades!$V$2:$V$14,MATCH(Trades!$E81,Trades!$U$2:$U$14,0)),""))</f>
        <v/>
      </c>
      <c r="G81" s="41" t="str">
        <f>IF(Trades!$A81="","",Trades!N81)</f>
        <v/>
      </c>
      <c r="H81" s="42" t="str">
        <f>IF(Trades!$A81="","",Trades!F81)</f>
        <v/>
      </c>
      <c r="I81" s="44" t="str">
        <f>IF(Trades!$A81="","",Trades!G81)</f>
        <v/>
      </c>
      <c r="J81" s="44" t="str">
        <f>IF(Trades!$A81="","",Trades!I81)</f>
        <v/>
      </c>
      <c r="K81" s="44" t="str">
        <f>IF(Trades!$A81="","",Trades!Q81)</f>
        <v/>
      </c>
      <c r="L81" s="42" t="str">
        <f>IF(Trades!$A81="","",Trades!F81)</f>
        <v/>
      </c>
      <c r="M81" s="44" t="str">
        <f>IF(Trades!$A81="","",Trades!M81)</f>
        <v/>
      </c>
      <c r="N81" s="44" t="str">
        <f>IF(Trades!$A81="","",Trades!R81)</f>
        <v/>
      </c>
      <c r="O81" s="44" t="str">
        <f>IF(Trades!$A81="","",Trades!J81)</f>
        <v/>
      </c>
      <c r="P81" s="43" t="str">
        <f>IF(Trades!$A81="","",Trades!H81)</f>
        <v/>
      </c>
      <c r="Q81" s="41" t="str">
        <f>IF(Trades!$A81="","",Trades!P81)</f>
        <v/>
      </c>
      <c r="R81" s="45" t="str">
        <f t="shared" si="17"/>
        <v/>
      </c>
      <c r="S81" s="45" t="str">
        <f t="shared" si="18"/>
        <v/>
      </c>
      <c r="T81" s="46" t="str">
        <f>IF(OR($A81="",$B81=""),"",IF(AND(IFERROR(LOOKUP(2,1/($B$9:$B$80=$B81),$AR$9:$AR80),1),NOT(AND(OR($F81="dividend",$F81="fee"),IFERROR(LOOKUP(2,1/($B$9:$B$80=$B81),$T$9:$T80),0)&gt;0))),IFERROR(LOOKUP(2,1/($B$9:$B$80=$B81),$T$9:$T80),0)+1,IFERROR(LOOKUP(2,1/($B$9:$B$80=$B81),$T$9:$T80),0)))</f>
        <v/>
      </c>
      <c r="U81" s="47" t="str">
        <f t="shared" si="19"/>
        <v/>
      </c>
      <c r="V81" s="47" t="str">
        <f>IF($A81="","",IF(OR($B81="",$C81="",$D81="",$E81="",$F81=""),"Missing required field",IF(COUNTIFS($A$9:$A81,$A81,$B$9:$B81,$B81)&gt;1,"Duplicate event ID",IF(AND($E81&lt;&gt;IFERROR(LOOKUP(2,1/($B$9:$B$80=$B81),$E$9:$E80),0),IFERROR(LOOKUP(2,1/($B$9:$B$80=$B81),$E$9:$E80),0)&gt;$E81),"Date out of order",IF(AND(OR($F81="buy_to_close",$F81="expire",$F81="roll",$F81="assignment",$F81="called_away"),$AF81=0),"Unknown lot",IF(OR(AND($F81="assignment",$AF81&gt;0,IF($AF81&gt;0,INDEX($AG$9:$AG$80,$AF81),"")&lt;&gt;"put"),AND($F81="called_away",$AF81&gt;0,IF($AF81&gt;0,INDEX($AG$9:$AG$80,$AF81),"")&lt;&gt;"call")),"Wrong option leg",IF(OR(AND(OR($F81="sell_put",$F81="sell_call"),OR($H81&lt;=0,$I81&lt;=0,$J81&lt;0)),AND(OR($F81="buy_to_close",$F81="expire",$F81="assignment",$F81="called_away"),OR($H81&lt;=0,$J81&lt;0)),AND($F81="roll",OR($H81&lt;=0,$I81&lt;=0,$J81&lt;0,$K81&lt;0)),AND(OR($F81="buy_shares",$F81="sell_shares"),OR($L81&lt;=0,$M81&lt;0)),AND(OR($F81="dividend",$F81="fee"),$N81&lt;0)),"Invalid value",IF(AND(OR($F81="sell_shares",$F81="called_away"),$AL81&lt;IF($F81="called_away",$AE81*$D81,$L81)),"Insufficient shares (capped)",IF(AND(OR($F81="buy_to_close",$F81="expire",$F81="roll",$F81="assignment",$F81="called_away"),$AF81&gt;0,$H81&gt;IF($AF81&gt;0,MAX(0,INDEX($AI$9:$AI$80,$AF81)-SUMIFS($AE$9:$AE$80,$G$9:$G$80,$G81,$B$9:$B$80,$B81)),0)),"Close quantity capped","OK")))))))))</f>
        <v/>
      </c>
      <c r="W81" s="48" t="str">
        <f t="shared" si="20"/>
        <v/>
      </c>
      <c r="X81" s="49" t="str">
        <f t="shared" si="21"/>
        <v/>
      </c>
      <c r="Y81" s="50" t="str">
        <f t="shared" si="22"/>
        <v/>
      </c>
      <c r="Z81" s="50" t="str">
        <f t="shared" si="23"/>
        <v/>
      </c>
      <c r="AA81" s="50" t="str">
        <f t="shared" si="24"/>
        <v/>
      </c>
      <c r="AB81" s="50" t="str">
        <f t="shared" si="25"/>
        <v/>
      </c>
      <c r="AC81" s="50" t="str">
        <f>IF($A81="","",IF($F81="assignment",IF($AF81&gt;0,INDEX($AH$9:$AH$80,$AF81),0)*$AE81*$D81,IF($F81="buy_shares",$M81*$AL81,0)))</f>
        <v/>
      </c>
      <c r="AD81" s="50" t="str">
        <f>IF($A81="","",IF($F81="called_away",IF($AF81&gt;0,INDEX($AH$9:$AH$80,$AF81),0)*$AL81,IF($F81="sell_shares",$M81*$AL81,0)))</f>
        <v/>
      </c>
      <c r="AE81" s="51" t="str">
        <f>IF($A81="","",IF(OR($F81="sell_put",$F81="sell_call"),IF(AND($H81&gt;0,$I81&gt;0,$J81&gt;=0),$H81,0),IF(OR($F81="buy_to_close",$F81="expire",$F81="roll",$F81="assignment",$F81="called_away"),IF(AND($AF81&gt;0,$H81&gt;0,IF($F81="assignment",IF($AF81&gt;0,INDEX($AG$9:$AG$80,$AF81),"")="put",TRUE),IF($F81="called_away",IF($AF81&gt;0,INDEX($AG$9:$AG$80,$AF81),"")="call",TRUE)),MIN($H81,IF($AF81&gt;0,MAX(0,INDEX($AI$9:$AI$80,$AF81)-SUMIFS($AE$9:$AE$80,$G$9:$G$80,$G81,$B$9:$B$80,$B81)),0)),0),0)))</f>
        <v/>
      </c>
      <c r="AF81" t="str">
        <f>IF($A81="","",IFERROR(MATCH(LEN($B81)&amp;":"&amp;$B81&amp;$G81,$AY$9:$AY$80,0),0))</f>
        <v/>
      </c>
      <c r="AG81" t="str">
        <f>IF($A81="","",IF($F81="sell_put","put",IF($F81="sell_call","call",IF($F81="roll",IF($AF81&gt;0,IF($AF81&gt;0,INDEX($AG$9:$AG$80,$AF81),""),""),IF($AF81&gt;0,IF($AF81&gt;0,INDEX($AG$9:$AG$80,$AF81),""),"")))))</f>
        <v/>
      </c>
      <c r="AH81" t="str">
        <f>IF($A81="","",IF(OR($F81="sell_put",$F81="sell_call",$F81="roll"),$I81,IF($AF81&gt;0,IF($AF81&gt;0,INDEX($AH$9:$AH$80,$AF81),0),0)))</f>
        <v/>
      </c>
      <c r="AI81" s="51" t="str">
        <f t="shared" si="26"/>
        <v/>
      </c>
      <c r="AJ81" s="51" t="str">
        <f>IF($A81="","",IFERROR(LOOKUP(2,1/($B$9:$B$80=$B81),$AM$9:$AM80),0))</f>
        <v/>
      </c>
      <c r="AK81" t="str">
        <f>IF($A81="","",IFERROR(LOOKUP(2,1/($B$9:$B$80=$B81),$AN$9:$AN80),0))</f>
        <v/>
      </c>
      <c r="AL81" s="51" t="str">
        <f t="shared" si="27"/>
        <v/>
      </c>
      <c r="AM81" s="51" t="str">
        <f t="shared" si="28"/>
        <v/>
      </c>
      <c r="AN81" t="str">
        <f t="shared" si="29"/>
        <v/>
      </c>
      <c r="AO81" s="50" t="str">
        <f>IF($A81="","",IFERROR(LOOKUP(2,1/($B$9:$B$80=$B81),$AO$9:$AO80),0)+IF($F81="sell_put",$I81*$AE81*$D81,IF($F81="roll",IF($AG81="put",($I81-IF($AF81&gt;0,INDEX($AH$9:$AH$80,$AF81),0))*$AE81*$D81,0),IF(AND(OR($F81="buy_to_close",$F81="expire",$F81="roll",$F81="assignment",$F81="called_away"),$F81&lt;&gt;"roll",$AG81="put"),-IF($AF81&gt;0,INDEX($AH$9:$AH$80,$AF81),0)*$AE81*$D81,0))))</f>
        <v/>
      </c>
      <c r="AP81" s="51" t="str">
        <f>IF($A81="","",IFERROR(LOOKUP(2,1/($B$9:$B$80=$B81),$AP$9:$AP80),0)+IF($F81="sell_put",$AE81*$D81,IF(AND(OR($F81="buy_to_close",$F81="expire",$F81="roll",$F81="assignment",$F81="called_away"),$F81&lt;&gt;"roll",$AG81="put"),-$AE81*$D81,0)))</f>
        <v/>
      </c>
      <c r="AQ81" s="51" t="str">
        <f>IF($A81="","",IFERROR(LOOKUP(2,1/($B$9:$B$80=$B81),$AQ$9:$AQ80),0)+IF(OR($F81="sell_put",$F81="sell_call"),$AE81,0)-IF(AND(OR($F81="buy_to_close",$F81="expire",$F81="roll",$F81="assignment",$F81="called_away"),$F81&lt;&gt;"roll"),$AE81,0))</f>
        <v/>
      </c>
      <c r="AR81" t="str">
        <f t="shared" si="30"/>
        <v/>
      </c>
      <c r="AS81" s="50" t="str">
        <f t="shared" si="31"/>
        <v/>
      </c>
      <c r="AT81" s="50" t="str">
        <f>IF($A81="","",MAX(IF($T81=IFERROR(LOOKUP(2,1/($B$9:$B$80=$B81),$T$9:$T80),0),IFERROR(LOOKUP(2,1/($B$9:$B$80=$B81),$AT$9:$AT80),0),0),$AS81))</f>
        <v/>
      </c>
      <c r="AU81" t="str">
        <f t="shared" si="32"/>
        <v/>
      </c>
      <c r="AV81" s="51">
        <f>IF($AU81="",0,IF(AND(IFERROR(LOOKUP(2,1/($B$9:$B$80=$B81),$AR$9:$AR80),1),NOT(AND(OR($F81="dividend",$F81="fee"),IFERROR(LOOKUP(2,1/($B$9:$B$80=$B81),$T$9:$T80),0)&gt;0))),ROW(),0))</f>
        <v>0</v>
      </c>
      <c r="AW81">
        <f>IF($A81="",0,IF($AV81&gt;0,MAX($AW$9:$AW$80)+1,MAX($AW$9:$AW$80)))</f>
        <v>0</v>
      </c>
      <c r="AX81">
        <f>IF($AU81="",0,IF(AND($AR81,OR(NOT(IFERROR(LOOKUP(2,1/($B$9:$B$80=$B81),$AR$9:$AR80),1)),IFERROR(LOOKUP(2,1/($B$9:$B$80=$B81),$T$9:$T80),0)=0)),ROW(),0))</f>
        <v>0</v>
      </c>
      <c r="AY81" t="str">
        <f t="shared" si="33"/>
        <v/>
      </c>
    </row>
    <row r="82" spans="1:51" ht="15" x14ac:dyDescent="0.25">
      <c r="A82" s="52" t="str">
        <f>IF(Trades!$A82="","",Trades!O82)</f>
        <v/>
      </c>
      <c r="B82" s="52" t="str">
        <f>IF(Trades!$A82="","",Trades!B82)</f>
        <v/>
      </c>
      <c r="C82" s="52" t="str">
        <f>IF(Trades!$A82="","",Trades!C82)</f>
        <v/>
      </c>
      <c r="D82" s="53" t="str">
        <f>IF(Trades!$A82="","",IF(Trades!$L82&gt;0,Trades!$L82,Trades!$C$6))</f>
        <v/>
      </c>
      <c r="E82" s="54" t="str">
        <f>IF(Trades!$A82="","",Trades!A82)</f>
        <v/>
      </c>
      <c r="F82" s="52" t="str">
        <f>IF(Trades!$A82="","",IFERROR(INDEX(Trades!$V$2:$V$14,MATCH(Trades!$E82,Trades!$U$2:$U$14,0)),""))</f>
        <v/>
      </c>
      <c r="G82" s="52" t="str">
        <f>IF(Trades!$A82="","",Trades!N82)</f>
        <v/>
      </c>
      <c r="H82" s="53" t="str">
        <f>IF(Trades!$A82="","",Trades!F82)</f>
        <v/>
      </c>
      <c r="I82" s="55" t="str">
        <f>IF(Trades!$A82="","",Trades!G82)</f>
        <v/>
      </c>
      <c r="J82" s="55" t="str">
        <f>IF(Trades!$A82="","",Trades!I82)</f>
        <v/>
      </c>
      <c r="K82" s="55" t="str">
        <f>IF(Trades!$A82="","",Trades!Q82)</f>
        <v/>
      </c>
      <c r="L82" s="53" t="str">
        <f>IF(Trades!$A82="","",Trades!F82)</f>
        <v/>
      </c>
      <c r="M82" s="55" t="str">
        <f>IF(Trades!$A82="","",Trades!M82)</f>
        <v/>
      </c>
      <c r="N82" s="55" t="str">
        <f>IF(Trades!$A82="","",Trades!R82)</f>
        <v/>
      </c>
      <c r="O82" s="55" t="str">
        <f>IF(Trades!$A82="","",Trades!J82)</f>
        <v/>
      </c>
      <c r="P82" s="54" t="str">
        <f>IF(Trades!$A82="","",Trades!H82)</f>
        <v/>
      </c>
      <c r="Q82" s="52" t="str">
        <f>IF(Trades!$A82="","",Trades!P82)</f>
        <v/>
      </c>
      <c r="R82" s="56" t="str">
        <f t="shared" si="17"/>
        <v/>
      </c>
      <c r="S82" s="56" t="str">
        <f t="shared" si="18"/>
        <v/>
      </c>
      <c r="T82" s="57" t="str">
        <f>IF(OR($A82="",$B82=""),"",IF(AND(IFERROR(LOOKUP(2,1/($B$9:$B$81=$B82),$AR$9:$AR81),1),NOT(AND(OR($F82="dividend",$F82="fee"),IFERROR(LOOKUP(2,1/($B$9:$B$81=$B82),$T$9:$T81),0)&gt;0))),IFERROR(LOOKUP(2,1/($B$9:$B$81=$B82),$T$9:$T81),0)+1,IFERROR(LOOKUP(2,1/($B$9:$B$81=$B82),$T$9:$T81),0)))</f>
        <v/>
      </c>
      <c r="U82" s="58" t="str">
        <f t="shared" si="19"/>
        <v/>
      </c>
      <c r="V82" s="58" t="str">
        <f>IF($A82="","",IF(OR($B82="",$C82="",$D82="",$E82="",$F82=""),"Missing required field",IF(COUNTIFS($A$9:$A82,$A82,$B$9:$B82,$B82)&gt;1,"Duplicate event ID",IF(AND($E82&lt;&gt;IFERROR(LOOKUP(2,1/($B$9:$B$81=$B82),$E$9:$E81),0),IFERROR(LOOKUP(2,1/($B$9:$B$81=$B82),$E$9:$E81),0)&gt;$E82),"Date out of order",IF(AND(OR($F82="buy_to_close",$F82="expire",$F82="roll",$F82="assignment",$F82="called_away"),$AF82=0),"Unknown lot",IF(OR(AND($F82="assignment",$AF82&gt;0,IF($AF82&gt;0,INDEX($AG$9:$AG$81,$AF82),"")&lt;&gt;"put"),AND($F82="called_away",$AF82&gt;0,IF($AF82&gt;0,INDEX($AG$9:$AG$81,$AF82),"")&lt;&gt;"call")),"Wrong option leg",IF(OR(AND(OR($F82="sell_put",$F82="sell_call"),OR($H82&lt;=0,$I82&lt;=0,$J82&lt;0)),AND(OR($F82="buy_to_close",$F82="expire",$F82="assignment",$F82="called_away"),OR($H82&lt;=0,$J82&lt;0)),AND($F82="roll",OR($H82&lt;=0,$I82&lt;=0,$J82&lt;0,$K82&lt;0)),AND(OR($F82="buy_shares",$F82="sell_shares"),OR($L82&lt;=0,$M82&lt;0)),AND(OR($F82="dividend",$F82="fee"),$N82&lt;0)),"Invalid value",IF(AND(OR($F82="sell_shares",$F82="called_away"),$AL82&lt;IF($F82="called_away",$AE82*$D82,$L82)),"Insufficient shares (capped)",IF(AND(OR($F82="buy_to_close",$F82="expire",$F82="roll",$F82="assignment",$F82="called_away"),$AF82&gt;0,$H82&gt;IF($AF82&gt;0,MAX(0,INDEX($AI$9:$AI$81,$AF82)-SUMIFS($AE$9:$AE$81,$G$9:$G$81,$G82,$B$9:$B$81,$B82)),0)),"Close quantity capped","OK")))))))))</f>
        <v/>
      </c>
      <c r="W82" s="59" t="str">
        <f t="shared" si="20"/>
        <v/>
      </c>
      <c r="X82" s="60" t="str">
        <f t="shared" si="21"/>
        <v/>
      </c>
      <c r="Y82" s="50" t="str">
        <f t="shared" si="22"/>
        <v/>
      </c>
      <c r="Z82" s="50" t="str">
        <f t="shared" si="23"/>
        <v/>
      </c>
      <c r="AA82" s="50" t="str">
        <f t="shared" si="24"/>
        <v/>
      </c>
      <c r="AB82" s="50" t="str">
        <f t="shared" si="25"/>
        <v/>
      </c>
      <c r="AC82" s="50" t="str">
        <f>IF($A82="","",IF($F82="assignment",IF($AF82&gt;0,INDEX($AH$9:$AH$81,$AF82),0)*$AE82*$D82,IF($F82="buy_shares",$M82*$AL82,0)))</f>
        <v/>
      </c>
      <c r="AD82" s="50" t="str">
        <f>IF($A82="","",IF($F82="called_away",IF($AF82&gt;0,INDEX($AH$9:$AH$81,$AF82),0)*$AL82,IF($F82="sell_shares",$M82*$AL82,0)))</f>
        <v/>
      </c>
      <c r="AE82" s="51" t="str">
        <f>IF($A82="","",IF(OR($F82="sell_put",$F82="sell_call"),IF(AND($H82&gt;0,$I82&gt;0,$J82&gt;=0),$H82,0),IF(OR($F82="buy_to_close",$F82="expire",$F82="roll",$F82="assignment",$F82="called_away"),IF(AND($AF82&gt;0,$H82&gt;0,IF($F82="assignment",IF($AF82&gt;0,INDEX($AG$9:$AG$81,$AF82),"")="put",TRUE),IF($F82="called_away",IF($AF82&gt;0,INDEX($AG$9:$AG$81,$AF82),"")="call",TRUE)),MIN($H82,IF($AF82&gt;0,MAX(0,INDEX($AI$9:$AI$81,$AF82)-SUMIFS($AE$9:$AE$81,$G$9:$G$81,$G82,$B$9:$B$81,$B82)),0)),0),0)))</f>
        <v/>
      </c>
      <c r="AF82" t="str">
        <f>IF($A82="","",IFERROR(MATCH(LEN($B82)&amp;":"&amp;$B82&amp;$G82,$AY$9:$AY$81,0),0))</f>
        <v/>
      </c>
      <c r="AG82" t="str">
        <f>IF($A82="","",IF($F82="sell_put","put",IF($F82="sell_call","call",IF($F82="roll",IF($AF82&gt;0,IF($AF82&gt;0,INDEX($AG$9:$AG$81,$AF82),""),""),IF($AF82&gt;0,IF($AF82&gt;0,INDEX($AG$9:$AG$81,$AF82),""),"")))))</f>
        <v/>
      </c>
      <c r="AH82" t="str">
        <f>IF($A82="","",IF(OR($F82="sell_put",$F82="sell_call",$F82="roll"),$I82,IF($AF82&gt;0,IF($AF82&gt;0,INDEX($AH$9:$AH$81,$AF82),0),0)))</f>
        <v/>
      </c>
      <c r="AI82" s="51" t="str">
        <f t="shared" si="26"/>
        <v/>
      </c>
      <c r="AJ82" s="51" t="str">
        <f>IF($A82="","",IFERROR(LOOKUP(2,1/($B$9:$B$81=$B82),$AM$9:$AM81),0))</f>
        <v/>
      </c>
      <c r="AK82" t="str">
        <f>IF($A82="","",IFERROR(LOOKUP(2,1/($B$9:$B$81=$B82),$AN$9:$AN81),0))</f>
        <v/>
      </c>
      <c r="AL82" s="51" t="str">
        <f t="shared" si="27"/>
        <v/>
      </c>
      <c r="AM82" s="51" t="str">
        <f t="shared" si="28"/>
        <v/>
      </c>
      <c r="AN82" t="str">
        <f t="shared" si="29"/>
        <v/>
      </c>
      <c r="AO82" s="50" t="str">
        <f>IF($A82="","",IFERROR(LOOKUP(2,1/($B$9:$B$81=$B82),$AO$9:$AO81),0)+IF($F82="sell_put",$I82*$AE82*$D82,IF($F82="roll",IF($AG82="put",($I82-IF($AF82&gt;0,INDEX($AH$9:$AH$81,$AF82),0))*$AE82*$D82,0),IF(AND(OR($F82="buy_to_close",$F82="expire",$F82="roll",$F82="assignment",$F82="called_away"),$F82&lt;&gt;"roll",$AG82="put"),-IF($AF82&gt;0,INDEX($AH$9:$AH$81,$AF82),0)*$AE82*$D82,0))))</f>
        <v/>
      </c>
      <c r="AP82" s="51" t="str">
        <f>IF($A82="","",IFERROR(LOOKUP(2,1/($B$9:$B$81=$B82),$AP$9:$AP81),0)+IF($F82="sell_put",$AE82*$D82,IF(AND(OR($F82="buy_to_close",$F82="expire",$F82="roll",$F82="assignment",$F82="called_away"),$F82&lt;&gt;"roll",$AG82="put"),-$AE82*$D82,0)))</f>
        <v/>
      </c>
      <c r="AQ82" s="51" t="str">
        <f>IF($A82="","",IFERROR(LOOKUP(2,1/($B$9:$B$81=$B82),$AQ$9:$AQ81),0)+IF(OR($F82="sell_put",$F82="sell_call"),$AE82,0)-IF(AND(OR($F82="buy_to_close",$F82="expire",$F82="roll",$F82="assignment",$F82="called_away"),$F82&lt;&gt;"roll"),$AE82,0))</f>
        <v/>
      </c>
      <c r="AR82" t="str">
        <f t="shared" si="30"/>
        <v/>
      </c>
      <c r="AS82" s="50" t="str">
        <f t="shared" si="31"/>
        <v/>
      </c>
      <c r="AT82" s="50" t="str">
        <f>IF($A82="","",MAX(IF($T82=IFERROR(LOOKUP(2,1/($B$9:$B$81=$B82),$T$9:$T81),0),IFERROR(LOOKUP(2,1/($B$9:$B$81=$B82),$AT$9:$AT81),0),0),$AS82))</f>
        <v/>
      </c>
      <c r="AU82" t="str">
        <f t="shared" si="32"/>
        <v/>
      </c>
      <c r="AV82" s="51">
        <f>IF($AU82="",0,IF(AND(IFERROR(LOOKUP(2,1/($B$9:$B$81=$B82),$AR$9:$AR81),1),NOT(AND(OR($F82="dividend",$F82="fee"),IFERROR(LOOKUP(2,1/($B$9:$B$81=$B82),$T$9:$T81),0)&gt;0))),ROW(),0))</f>
        <v>0</v>
      </c>
      <c r="AW82">
        <f>IF($A82="",0,IF($AV82&gt;0,MAX($AW$9:$AW$81)+1,MAX($AW$9:$AW$81)))</f>
        <v>0</v>
      </c>
      <c r="AX82">
        <f>IF($AU82="",0,IF(AND($AR82,OR(NOT(IFERROR(LOOKUP(2,1/($B$9:$B$81=$B82),$AR$9:$AR81),1)),IFERROR(LOOKUP(2,1/($B$9:$B$81=$B82),$T$9:$T81),0)=0)),ROW(),0))</f>
        <v>0</v>
      </c>
      <c r="AY82" t="str">
        <f t="shared" si="33"/>
        <v/>
      </c>
    </row>
    <row r="83" spans="1:51" ht="15" x14ac:dyDescent="0.25">
      <c r="A83" s="41" t="str">
        <f>IF(Trades!$A83="","",Trades!O83)</f>
        <v/>
      </c>
      <c r="B83" s="41" t="str">
        <f>IF(Trades!$A83="","",Trades!B83)</f>
        <v/>
      </c>
      <c r="C83" s="41" t="str">
        <f>IF(Trades!$A83="","",Trades!C83)</f>
        <v/>
      </c>
      <c r="D83" s="42" t="str">
        <f>IF(Trades!$A83="","",IF(Trades!$L83&gt;0,Trades!$L83,Trades!$C$6))</f>
        <v/>
      </c>
      <c r="E83" s="43" t="str">
        <f>IF(Trades!$A83="","",Trades!A83)</f>
        <v/>
      </c>
      <c r="F83" s="41" t="str">
        <f>IF(Trades!$A83="","",IFERROR(INDEX(Trades!$V$2:$V$14,MATCH(Trades!$E83,Trades!$U$2:$U$14,0)),""))</f>
        <v/>
      </c>
      <c r="G83" s="41" t="str">
        <f>IF(Trades!$A83="","",Trades!N83)</f>
        <v/>
      </c>
      <c r="H83" s="42" t="str">
        <f>IF(Trades!$A83="","",Trades!F83)</f>
        <v/>
      </c>
      <c r="I83" s="44" t="str">
        <f>IF(Trades!$A83="","",Trades!G83)</f>
        <v/>
      </c>
      <c r="J83" s="44" t="str">
        <f>IF(Trades!$A83="","",Trades!I83)</f>
        <v/>
      </c>
      <c r="K83" s="44" t="str">
        <f>IF(Trades!$A83="","",Trades!Q83)</f>
        <v/>
      </c>
      <c r="L83" s="42" t="str">
        <f>IF(Trades!$A83="","",Trades!F83)</f>
        <v/>
      </c>
      <c r="M83" s="44" t="str">
        <f>IF(Trades!$A83="","",Trades!M83)</f>
        <v/>
      </c>
      <c r="N83" s="44" t="str">
        <f>IF(Trades!$A83="","",Trades!R83)</f>
        <v/>
      </c>
      <c r="O83" s="44" t="str">
        <f>IF(Trades!$A83="","",Trades!J83)</f>
        <v/>
      </c>
      <c r="P83" s="43" t="str">
        <f>IF(Trades!$A83="","",Trades!H83)</f>
        <v/>
      </c>
      <c r="Q83" s="41" t="str">
        <f>IF(Trades!$A83="","",Trades!P83)</f>
        <v/>
      </c>
      <c r="R83" s="45" t="str">
        <f t="shared" si="17"/>
        <v/>
      </c>
      <c r="S83" s="45" t="str">
        <f t="shared" si="18"/>
        <v/>
      </c>
      <c r="T83" s="46" t="str">
        <f>IF(OR($A83="",$B83=""),"",IF(AND(IFERROR(LOOKUP(2,1/($B$9:$B$82=$B83),$AR$9:$AR82),1),NOT(AND(OR($F83="dividend",$F83="fee"),IFERROR(LOOKUP(2,1/($B$9:$B$82=$B83),$T$9:$T82),0)&gt;0))),IFERROR(LOOKUP(2,1/($B$9:$B$82=$B83),$T$9:$T82),0)+1,IFERROR(LOOKUP(2,1/($B$9:$B$82=$B83),$T$9:$T82),0)))</f>
        <v/>
      </c>
      <c r="U83" s="47" t="str">
        <f t="shared" si="19"/>
        <v/>
      </c>
      <c r="V83" s="47" t="str">
        <f>IF($A83="","",IF(OR($B83="",$C83="",$D83="",$E83="",$F83=""),"Missing required field",IF(COUNTIFS($A$9:$A83,$A83,$B$9:$B83,$B83)&gt;1,"Duplicate event ID",IF(AND($E83&lt;&gt;IFERROR(LOOKUP(2,1/($B$9:$B$82=$B83),$E$9:$E82),0),IFERROR(LOOKUP(2,1/($B$9:$B$82=$B83),$E$9:$E82),0)&gt;$E83),"Date out of order",IF(AND(OR($F83="buy_to_close",$F83="expire",$F83="roll",$F83="assignment",$F83="called_away"),$AF83=0),"Unknown lot",IF(OR(AND($F83="assignment",$AF83&gt;0,IF($AF83&gt;0,INDEX($AG$9:$AG$82,$AF83),"")&lt;&gt;"put"),AND($F83="called_away",$AF83&gt;0,IF($AF83&gt;0,INDEX($AG$9:$AG$82,$AF83),"")&lt;&gt;"call")),"Wrong option leg",IF(OR(AND(OR($F83="sell_put",$F83="sell_call"),OR($H83&lt;=0,$I83&lt;=0,$J83&lt;0)),AND(OR($F83="buy_to_close",$F83="expire",$F83="assignment",$F83="called_away"),OR($H83&lt;=0,$J83&lt;0)),AND($F83="roll",OR($H83&lt;=0,$I83&lt;=0,$J83&lt;0,$K83&lt;0)),AND(OR($F83="buy_shares",$F83="sell_shares"),OR($L83&lt;=0,$M83&lt;0)),AND(OR($F83="dividend",$F83="fee"),$N83&lt;0)),"Invalid value",IF(AND(OR($F83="sell_shares",$F83="called_away"),$AL83&lt;IF($F83="called_away",$AE83*$D83,$L83)),"Insufficient shares (capped)",IF(AND(OR($F83="buy_to_close",$F83="expire",$F83="roll",$F83="assignment",$F83="called_away"),$AF83&gt;0,$H83&gt;IF($AF83&gt;0,MAX(0,INDEX($AI$9:$AI$82,$AF83)-SUMIFS($AE$9:$AE$82,$G$9:$G$82,$G83,$B$9:$B$82,$B83)),0)),"Close quantity capped","OK")))))))))</f>
        <v/>
      </c>
      <c r="W83" s="48" t="str">
        <f t="shared" si="20"/>
        <v/>
      </c>
      <c r="X83" s="49" t="str">
        <f t="shared" si="21"/>
        <v/>
      </c>
      <c r="Y83" s="50" t="str">
        <f t="shared" si="22"/>
        <v/>
      </c>
      <c r="Z83" s="50" t="str">
        <f t="shared" si="23"/>
        <v/>
      </c>
      <c r="AA83" s="50" t="str">
        <f t="shared" si="24"/>
        <v/>
      </c>
      <c r="AB83" s="50" t="str">
        <f t="shared" si="25"/>
        <v/>
      </c>
      <c r="AC83" s="50" t="str">
        <f>IF($A83="","",IF($F83="assignment",IF($AF83&gt;0,INDEX($AH$9:$AH$82,$AF83),0)*$AE83*$D83,IF($F83="buy_shares",$M83*$AL83,0)))</f>
        <v/>
      </c>
      <c r="AD83" s="50" t="str">
        <f>IF($A83="","",IF($F83="called_away",IF($AF83&gt;0,INDEX($AH$9:$AH$82,$AF83),0)*$AL83,IF($F83="sell_shares",$M83*$AL83,0)))</f>
        <v/>
      </c>
      <c r="AE83" s="51" t="str">
        <f>IF($A83="","",IF(OR($F83="sell_put",$F83="sell_call"),IF(AND($H83&gt;0,$I83&gt;0,$J83&gt;=0),$H83,0),IF(OR($F83="buy_to_close",$F83="expire",$F83="roll",$F83="assignment",$F83="called_away"),IF(AND($AF83&gt;0,$H83&gt;0,IF($F83="assignment",IF($AF83&gt;0,INDEX($AG$9:$AG$82,$AF83),"")="put",TRUE),IF($F83="called_away",IF($AF83&gt;0,INDEX($AG$9:$AG$82,$AF83),"")="call",TRUE)),MIN($H83,IF($AF83&gt;0,MAX(0,INDEX($AI$9:$AI$82,$AF83)-SUMIFS($AE$9:$AE$82,$G$9:$G$82,$G83,$B$9:$B$82,$B83)),0)),0),0)))</f>
        <v/>
      </c>
      <c r="AF83" t="str">
        <f>IF($A83="","",IFERROR(MATCH(LEN($B83)&amp;":"&amp;$B83&amp;$G83,$AY$9:$AY$82,0),0))</f>
        <v/>
      </c>
      <c r="AG83" t="str">
        <f>IF($A83="","",IF($F83="sell_put","put",IF($F83="sell_call","call",IF($F83="roll",IF($AF83&gt;0,IF($AF83&gt;0,INDEX($AG$9:$AG$82,$AF83),""),""),IF($AF83&gt;0,IF($AF83&gt;0,INDEX($AG$9:$AG$82,$AF83),""),"")))))</f>
        <v/>
      </c>
      <c r="AH83" t="str">
        <f>IF($A83="","",IF(OR($F83="sell_put",$F83="sell_call",$F83="roll"),$I83,IF($AF83&gt;0,IF($AF83&gt;0,INDEX($AH$9:$AH$82,$AF83),0),0)))</f>
        <v/>
      </c>
      <c r="AI83" s="51" t="str">
        <f t="shared" si="26"/>
        <v/>
      </c>
      <c r="AJ83" s="51" t="str">
        <f>IF($A83="","",IFERROR(LOOKUP(2,1/($B$9:$B$82=$B83),$AM$9:$AM82),0))</f>
        <v/>
      </c>
      <c r="AK83" t="str">
        <f>IF($A83="","",IFERROR(LOOKUP(2,1/($B$9:$B$82=$B83),$AN$9:$AN82),0))</f>
        <v/>
      </c>
      <c r="AL83" s="51" t="str">
        <f t="shared" si="27"/>
        <v/>
      </c>
      <c r="AM83" s="51" t="str">
        <f t="shared" si="28"/>
        <v/>
      </c>
      <c r="AN83" t="str">
        <f t="shared" si="29"/>
        <v/>
      </c>
      <c r="AO83" s="50" t="str">
        <f>IF($A83="","",IFERROR(LOOKUP(2,1/($B$9:$B$82=$B83),$AO$9:$AO82),0)+IF($F83="sell_put",$I83*$AE83*$D83,IF($F83="roll",IF($AG83="put",($I83-IF($AF83&gt;0,INDEX($AH$9:$AH$82,$AF83),0))*$AE83*$D83,0),IF(AND(OR($F83="buy_to_close",$F83="expire",$F83="roll",$F83="assignment",$F83="called_away"),$F83&lt;&gt;"roll",$AG83="put"),-IF($AF83&gt;0,INDEX($AH$9:$AH$82,$AF83),0)*$AE83*$D83,0))))</f>
        <v/>
      </c>
      <c r="AP83" s="51" t="str">
        <f>IF($A83="","",IFERROR(LOOKUP(2,1/($B$9:$B$82=$B83),$AP$9:$AP82),0)+IF($F83="sell_put",$AE83*$D83,IF(AND(OR($F83="buy_to_close",$F83="expire",$F83="roll",$F83="assignment",$F83="called_away"),$F83&lt;&gt;"roll",$AG83="put"),-$AE83*$D83,0)))</f>
        <v/>
      </c>
      <c r="AQ83" s="51" t="str">
        <f>IF($A83="","",IFERROR(LOOKUP(2,1/($B$9:$B$82=$B83),$AQ$9:$AQ82),0)+IF(OR($F83="sell_put",$F83="sell_call"),$AE83,0)-IF(AND(OR($F83="buy_to_close",$F83="expire",$F83="roll",$F83="assignment",$F83="called_away"),$F83&lt;&gt;"roll"),$AE83,0))</f>
        <v/>
      </c>
      <c r="AR83" t="str">
        <f t="shared" si="30"/>
        <v/>
      </c>
      <c r="AS83" s="50" t="str">
        <f t="shared" si="31"/>
        <v/>
      </c>
      <c r="AT83" s="50" t="str">
        <f>IF($A83="","",MAX(IF($T83=IFERROR(LOOKUP(2,1/($B$9:$B$82=$B83),$T$9:$T82),0),IFERROR(LOOKUP(2,1/($B$9:$B$82=$B83),$AT$9:$AT82),0),0),$AS83))</f>
        <v/>
      </c>
      <c r="AU83" t="str">
        <f t="shared" si="32"/>
        <v/>
      </c>
      <c r="AV83" s="51">
        <f>IF($AU83="",0,IF(AND(IFERROR(LOOKUP(2,1/($B$9:$B$82=$B83),$AR$9:$AR82),1),NOT(AND(OR($F83="dividend",$F83="fee"),IFERROR(LOOKUP(2,1/($B$9:$B$82=$B83),$T$9:$T82),0)&gt;0))),ROW(),0))</f>
        <v>0</v>
      </c>
      <c r="AW83">
        <f>IF($A83="",0,IF($AV83&gt;0,MAX($AW$9:$AW$82)+1,MAX($AW$9:$AW$82)))</f>
        <v>0</v>
      </c>
      <c r="AX83">
        <f>IF($AU83="",0,IF(AND($AR83,OR(NOT(IFERROR(LOOKUP(2,1/($B$9:$B$82=$B83),$AR$9:$AR82),1)),IFERROR(LOOKUP(2,1/($B$9:$B$82=$B83),$T$9:$T82),0)=0)),ROW(),0))</f>
        <v>0</v>
      </c>
      <c r="AY83" t="str">
        <f t="shared" si="33"/>
        <v/>
      </c>
    </row>
    <row r="84" spans="1:51" ht="15" x14ac:dyDescent="0.25">
      <c r="A84" s="52" t="str">
        <f>IF(Trades!$A84="","",Trades!O84)</f>
        <v/>
      </c>
      <c r="B84" s="52" t="str">
        <f>IF(Trades!$A84="","",Trades!B84)</f>
        <v/>
      </c>
      <c r="C84" s="52" t="str">
        <f>IF(Trades!$A84="","",Trades!C84)</f>
        <v/>
      </c>
      <c r="D84" s="53" t="str">
        <f>IF(Trades!$A84="","",IF(Trades!$L84&gt;0,Trades!$L84,Trades!$C$6))</f>
        <v/>
      </c>
      <c r="E84" s="54" t="str">
        <f>IF(Trades!$A84="","",Trades!A84)</f>
        <v/>
      </c>
      <c r="F84" s="52" t="str">
        <f>IF(Trades!$A84="","",IFERROR(INDEX(Trades!$V$2:$V$14,MATCH(Trades!$E84,Trades!$U$2:$U$14,0)),""))</f>
        <v/>
      </c>
      <c r="G84" s="52" t="str">
        <f>IF(Trades!$A84="","",Trades!N84)</f>
        <v/>
      </c>
      <c r="H84" s="53" t="str">
        <f>IF(Trades!$A84="","",Trades!F84)</f>
        <v/>
      </c>
      <c r="I84" s="55" t="str">
        <f>IF(Trades!$A84="","",Trades!G84)</f>
        <v/>
      </c>
      <c r="J84" s="55" t="str">
        <f>IF(Trades!$A84="","",Trades!I84)</f>
        <v/>
      </c>
      <c r="K84" s="55" t="str">
        <f>IF(Trades!$A84="","",Trades!Q84)</f>
        <v/>
      </c>
      <c r="L84" s="53" t="str">
        <f>IF(Trades!$A84="","",Trades!F84)</f>
        <v/>
      </c>
      <c r="M84" s="55" t="str">
        <f>IF(Trades!$A84="","",Trades!M84)</f>
        <v/>
      </c>
      <c r="N84" s="55" t="str">
        <f>IF(Trades!$A84="","",Trades!R84)</f>
        <v/>
      </c>
      <c r="O84" s="55" t="str">
        <f>IF(Trades!$A84="","",Trades!J84)</f>
        <v/>
      </c>
      <c r="P84" s="54" t="str">
        <f>IF(Trades!$A84="","",Trades!H84)</f>
        <v/>
      </c>
      <c r="Q84" s="52" t="str">
        <f>IF(Trades!$A84="","",Trades!P84)</f>
        <v/>
      </c>
      <c r="R84" s="56" t="str">
        <f t="shared" si="17"/>
        <v/>
      </c>
      <c r="S84" s="56" t="str">
        <f t="shared" si="18"/>
        <v/>
      </c>
      <c r="T84" s="57" t="str">
        <f>IF(OR($A84="",$B84=""),"",IF(AND(IFERROR(LOOKUP(2,1/($B$9:$B$83=$B84),$AR$9:$AR83),1),NOT(AND(OR($F84="dividend",$F84="fee"),IFERROR(LOOKUP(2,1/($B$9:$B$83=$B84),$T$9:$T83),0)&gt;0))),IFERROR(LOOKUP(2,1/($B$9:$B$83=$B84),$T$9:$T83),0)+1,IFERROR(LOOKUP(2,1/($B$9:$B$83=$B84),$T$9:$T83),0)))</f>
        <v/>
      </c>
      <c r="U84" s="58" t="str">
        <f t="shared" si="19"/>
        <v/>
      </c>
      <c r="V84" s="58" t="str">
        <f>IF($A84="","",IF(OR($B84="",$C84="",$D84="",$E84="",$F84=""),"Missing required field",IF(COUNTIFS($A$9:$A84,$A84,$B$9:$B84,$B84)&gt;1,"Duplicate event ID",IF(AND($E84&lt;&gt;IFERROR(LOOKUP(2,1/($B$9:$B$83=$B84),$E$9:$E83),0),IFERROR(LOOKUP(2,1/($B$9:$B$83=$B84),$E$9:$E83),0)&gt;$E84),"Date out of order",IF(AND(OR($F84="buy_to_close",$F84="expire",$F84="roll",$F84="assignment",$F84="called_away"),$AF84=0),"Unknown lot",IF(OR(AND($F84="assignment",$AF84&gt;0,IF($AF84&gt;0,INDEX($AG$9:$AG$83,$AF84),"")&lt;&gt;"put"),AND($F84="called_away",$AF84&gt;0,IF($AF84&gt;0,INDEX($AG$9:$AG$83,$AF84),"")&lt;&gt;"call")),"Wrong option leg",IF(OR(AND(OR($F84="sell_put",$F84="sell_call"),OR($H84&lt;=0,$I84&lt;=0,$J84&lt;0)),AND(OR($F84="buy_to_close",$F84="expire",$F84="assignment",$F84="called_away"),OR($H84&lt;=0,$J84&lt;0)),AND($F84="roll",OR($H84&lt;=0,$I84&lt;=0,$J84&lt;0,$K84&lt;0)),AND(OR($F84="buy_shares",$F84="sell_shares"),OR($L84&lt;=0,$M84&lt;0)),AND(OR($F84="dividend",$F84="fee"),$N84&lt;0)),"Invalid value",IF(AND(OR($F84="sell_shares",$F84="called_away"),$AL84&lt;IF($F84="called_away",$AE84*$D84,$L84)),"Insufficient shares (capped)",IF(AND(OR($F84="buy_to_close",$F84="expire",$F84="roll",$F84="assignment",$F84="called_away"),$AF84&gt;0,$H84&gt;IF($AF84&gt;0,MAX(0,INDEX($AI$9:$AI$83,$AF84)-SUMIFS($AE$9:$AE$83,$G$9:$G$83,$G84,$B$9:$B$83,$B84)),0)),"Close quantity capped","OK")))))))))</f>
        <v/>
      </c>
      <c r="W84" s="59" t="str">
        <f t="shared" si="20"/>
        <v/>
      </c>
      <c r="X84" s="60" t="str">
        <f t="shared" si="21"/>
        <v/>
      </c>
      <c r="Y84" s="50" t="str">
        <f t="shared" si="22"/>
        <v/>
      </c>
      <c r="Z84" s="50" t="str">
        <f t="shared" si="23"/>
        <v/>
      </c>
      <c r="AA84" s="50" t="str">
        <f t="shared" si="24"/>
        <v/>
      </c>
      <c r="AB84" s="50" t="str">
        <f t="shared" si="25"/>
        <v/>
      </c>
      <c r="AC84" s="50" t="str">
        <f>IF($A84="","",IF($F84="assignment",IF($AF84&gt;0,INDEX($AH$9:$AH$83,$AF84),0)*$AE84*$D84,IF($F84="buy_shares",$M84*$AL84,0)))</f>
        <v/>
      </c>
      <c r="AD84" s="50" t="str">
        <f>IF($A84="","",IF($F84="called_away",IF($AF84&gt;0,INDEX($AH$9:$AH$83,$AF84),0)*$AL84,IF($F84="sell_shares",$M84*$AL84,0)))</f>
        <v/>
      </c>
      <c r="AE84" s="51" t="str">
        <f>IF($A84="","",IF(OR($F84="sell_put",$F84="sell_call"),IF(AND($H84&gt;0,$I84&gt;0,$J84&gt;=0),$H84,0),IF(OR($F84="buy_to_close",$F84="expire",$F84="roll",$F84="assignment",$F84="called_away"),IF(AND($AF84&gt;0,$H84&gt;0,IF($F84="assignment",IF($AF84&gt;0,INDEX($AG$9:$AG$83,$AF84),"")="put",TRUE),IF($F84="called_away",IF($AF84&gt;0,INDEX($AG$9:$AG$83,$AF84),"")="call",TRUE)),MIN($H84,IF($AF84&gt;0,MAX(0,INDEX($AI$9:$AI$83,$AF84)-SUMIFS($AE$9:$AE$83,$G$9:$G$83,$G84,$B$9:$B$83,$B84)),0)),0),0)))</f>
        <v/>
      </c>
      <c r="AF84" t="str">
        <f>IF($A84="","",IFERROR(MATCH(LEN($B84)&amp;":"&amp;$B84&amp;$G84,$AY$9:$AY$83,0),0))</f>
        <v/>
      </c>
      <c r="AG84" t="str">
        <f>IF($A84="","",IF($F84="sell_put","put",IF($F84="sell_call","call",IF($F84="roll",IF($AF84&gt;0,IF($AF84&gt;0,INDEX($AG$9:$AG$83,$AF84),""),""),IF($AF84&gt;0,IF($AF84&gt;0,INDEX($AG$9:$AG$83,$AF84),""),"")))))</f>
        <v/>
      </c>
      <c r="AH84" t="str">
        <f>IF($A84="","",IF(OR($F84="sell_put",$F84="sell_call",$F84="roll"),$I84,IF($AF84&gt;0,IF($AF84&gt;0,INDEX($AH$9:$AH$83,$AF84),0),0)))</f>
        <v/>
      </c>
      <c r="AI84" s="51" t="str">
        <f t="shared" si="26"/>
        <v/>
      </c>
      <c r="AJ84" s="51" t="str">
        <f>IF($A84="","",IFERROR(LOOKUP(2,1/($B$9:$B$83=$B84),$AM$9:$AM83),0))</f>
        <v/>
      </c>
      <c r="AK84" t="str">
        <f>IF($A84="","",IFERROR(LOOKUP(2,1/($B$9:$B$83=$B84),$AN$9:$AN83),0))</f>
        <v/>
      </c>
      <c r="AL84" s="51" t="str">
        <f t="shared" si="27"/>
        <v/>
      </c>
      <c r="AM84" s="51" t="str">
        <f t="shared" si="28"/>
        <v/>
      </c>
      <c r="AN84" t="str">
        <f t="shared" si="29"/>
        <v/>
      </c>
      <c r="AO84" s="50" t="str">
        <f>IF($A84="","",IFERROR(LOOKUP(2,1/($B$9:$B$83=$B84),$AO$9:$AO83),0)+IF($F84="sell_put",$I84*$AE84*$D84,IF($F84="roll",IF($AG84="put",($I84-IF($AF84&gt;0,INDEX($AH$9:$AH$83,$AF84),0))*$AE84*$D84,0),IF(AND(OR($F84="buy_to_close",$F84="expire",$F84="roll",$F84="assignment",$F84="called_away"),$F84&lt;&gt;"roll",$AG84="put"),-IF($AF84&gt;0,INDEX($AH$9:$AH$83,$AF84),0)*$AE84*$D84,0))))</f>
        <v/>
      </c>
      <c r="AP84" s="51" t="str">
        <f>IF($A84="","",IFERROR(LOOKUP(2,1/($B$9:$B$83=$B84),$AP$9:$AP83),0)+IF($F84="sell_put",$AE84*$D84,IF(AND(OR($F84="buy_to_close",$F84="expire",$F84="roll",$F84="assignment",$F84="called_away"),$F84&lt;&gt;"roll",$AG84="put"),-$AE84*$D84,0)))</f>
        <v/>
      </c>
      <c r="AQ84" s="51" t="str">
        <f>IF($A84="","",IFERROR(LOOKUP(2,1/($B$9:$B$83=$B84),$AQ$9:$AQ83),0)+IF(OR($F84="sell_put",$F84="sell_call"),$AE84,0)-IF(AND(OR($F84="buy_to_close",$F84="expire",$F84="roll",$F84="assignment",$F84="called_away"),$F84&lt;&gt;"roll"),$AE84,0))</f>
        <v/>
      </c>
      <c r="AR84" t="str">
        <f t="shared" si="30"/>
        <v/>
      </c>
      <c r="AS84" s="50" t="str">
        <f t="shared" si="31"/>
        <v/>
      </c>
      <c r="AT84" s="50" t="str">
        <f>IF($A84="","",MAX(IF($T84=IFERROR(LOOKUP(2,1/($B$9:$B$83=$B84),$T$9:$T83),0),IFERROR(LOOKUP(2,1/($B$9:$B$83=$B84),$AT$9:$AT83),0),0),$AS84))</f>
        <v/>
      </c>
      <c r="AU84" t="str">
        <f t="shared" si="32"/>
        <v/>
      </c>
      <c r="AV84" s="51">
        <f>IF($AU84="",0,IF(AND(IFERROR(LOOKUP(2,1/($B$9:$B$83=$B84),$AR$9:$AR83),1),NOT(AND(OR($F84="dividend",$F84="fee"),IFERROR(LOOKUP(2,1/($B$9:$B$83=$B84),$T$9:$T83),0)&gt;0))),ROW(),0))</f>
        <v>0</v>
      </c>
      <c r="AW84">
        <f>IF($A84="",0,IF($AV84&gt;0,MAX($AW$9:$AW$83)+1,MAX($AW$9:$AW$83)))</f>
        <v>0</v>
      </c>
      <c r="AX84">
        <f>IF($AU84="",0,IF(AND($AR84,OR(NOT(IFERROR(LOOKUP(2,1/($B$9:$B$83=$B84),$AR$9:$AR83),1)),IFERROR(LOOKUP(2,1/($B$9:$B$83=$B84),$T$9:$T83),0)=0)),ROW(),0))</f>
        <v>0</v>
      </c>
      <c r="AY84" t="str">
        <f t="shared" si="33"/>
        <v/>
      </c>
    </row>
    <row r="85" spans="1:51" ht="15" x14ac:dyDescent="0.25">
      <c r="A85" s="41" t="str">
        <f>IF(Trades!$A85="","",Trades!O85)</f>
        <v/>
      </c>
      <c r="B85" s="41" t="str">
        <f>IF(Trades!$A85="","",Trades!B85)</f>
        <v/>
      </c>
      <c r="C85" s="41" t="str">
        <f>IF(Trades!$A85="","",Trades!C85)</f>
        <v/>
      </c>
      <c r="D85" s="42" t="str">
        <f>IF(Trades!$A85="","",IF(Trades!$L85&gt;0,Trades!$L85,Trades!$C$6))</f>
        <v/>
      </c>
      <c r="E85" s="43" t="str">
        <f>IF(Trades!$A85="","",Trades!A85)</f>
        <v/>
      </c>
      <c r="F85" s="41" t="str">
        <f>IF(Trades!$A85="","",IFERROR(INDEX(Trades!$V$2:$V$14,MATCH(Trades!$E85,Trades!$U$2:$U$14,0)),""))</f>
        <v/>
      </c>
      <c r="G85" s="41" t="str">
        <f>IF(Trades!$A85="","",Trades!N85)</f>
        <v/>
      </c>
      <c r="H85" s="42" t="str">
        <f>IF(Trades!$A85="","",Trades!F85)</f>
        <v/>
      </c>
      <c r="I85" s="44" t="str">
        <f>IF(Trades!$A85="","",Trades!G85)</f>
        <v/>
      </c>
      <c r="J85" s="44" t="str">
        <f>IF(Trades!$A85="","",Trades!I85)</f>
        <v/>
      </c>
      <c r="K85" s="44" t="str">
        <f>IF(Trades!$A85="","",Trades!Q85)</f>
        <v/>
      </c>
      <c r="L85" s="42" t="str">
        <f>IF(Trades!$A85="","",Trades!F85)</f>
        <v/>
      </c>
      <c r="M85" s="44" t="str">
        <f>IF(Trades!$A85="","",Trades!M85)</f>
        <v/>
      </c>
      <c r="N85" s="44" t="str">
        <f>IF(Trades!$A85="","",Trades!R85)</f>
        <v/>
      </c>
      <c r="O85" s="44" t="str">
        <f>IF(Trades!$A85="","",Trades!J85)</f>
        <v/>
      </c>
      <c r="P85" s="43" t="str">
        <f>IF(Trades!$A85="","",Trades!H85)</f>
        <v/>
      </c>
      <c r="Q85" s="41" t="str">
        <f>IF(Trades!$A85="","",Trades!P85)</f>
        <v/>
      </c>
      <c r="R85" s="45" t="str">
        <f t="shared" si="17"/>
        <v/>
      </c>
      <c r="S85" s="45" t="str">
        <f t="shared" si="18"/>
        <v/>
      </c>
      <c r="T85" s="46" t="str">
        <f>IF(OR($A85="",$B85=""),"",IF(AND(IFERROR(LOOKUP(2,1/($B$9:$B$84=$B85),$AR$9:$AR84),1),NOT(AND(OR($F85="dividend",$F85="fee"),IFERROR(LOOKUP(2,1/($B$9:$B$84=$B85),$T$9:$T84),0)&gt;0))),IFERROR(LOOKUP(2,1/($B$9:$B$84=$B85),$T$9:$T84),0)+1,IFERROR(LOOKUP(2,1/($B$9:$B$84=$B85),$T$9:$T84),0)))</f>
        <v/>
      </c>
      <c r="U85" s="47" t="str">
        <f t="shared" si="19"/>
        <v/>
      </c>
      <c r="V85" s="47" t="str">
        <f>IF($A85="","",IF(OR($B85="",$C85="",$D85="",$E85="",$F85=""),"Missing required field",IF(COUNTIFS($A$9:$A85,$A85,$B$9:$B85,$B85)&gt;1,"Duplicate event ID",IF(AND($E85&lt;&gt;IFERROR(LOOKUP(2,1/($B$9:$B$84=$B85),$E$9:$E84),0),IFERROR(LOOKUP(2,1/($B$9:$B$84=$B85),$E$9:$E84),0)&gt;$E85),"Date out of order",IF(AND(OR($F85="buy_to_close",$F85="expire",$F85="roll",$F85="assignment",$F85="called_away"),$AF85=0),"Unknown lot",IF(OR(AND($F85="assignment",$AF85&gt;0,IF($AF85&gt;0,INDEX($AG$9:$AG$84,$AF85),"")&lt;&gt;"put"),AND($F85="called_away",$AF85&gt;0,IF($AF85&gt;0,INDEX($AG$9:$AG$84,$AF85),"")&lt;&gt;"call")),"Wrong option leg",IF(OR(AND(OR($F85="sell_put",$F85="sell_call"),OR($H85&lt;=0,$I85&lt;=0,$J85&lt;0)),AND(OR($F85="buy_to_close",$F85="expire",$F85="assignment",$F85="called_away"),OR($H85&lt;=0,$J85&lt;0)),AND($F85="roll",OR($H85&lt;=0,$I85&lt;=0,$J85&lt;0,$K85&lt;0)),AND(OR($F85="buy_shares",$F85="sell_shares"),OR($L85&lt;=0,$M85&lt;0)),AND(OR($F85="dividend",$F85="fee"),$N85&lt;0)),"Invalid value",IF(AND(OR($F85="sell_shares",$F85="called_away"),$AL85&lt;IF($F85="called_away",$AE85*$D85,$L85)),"Insufficient shares (capped)",IF(AND(OR($F85="buy_to_close",$F85="expire",$F85="roll",$F85="assignment",$F85="called_away"),$AF85&gt;0,$H85&gt;IF($AF85&gt;0,MAX(0,INDEX($AI$9:$AI$84,$AF85)-SUMIFS($AE$9:$AE$84,$G$9:$G$84,$G85,$B$9:$B$84,$B85)),0)),"Close quantity capped","OK")))))))))</f>
        <v/>
      </c>
      <c r="W85" s="48" t="str">
        <f t="shared" si="20"/>
        <v/>
      </c>
      <c r="X85" s="49" t="str">
        <f t="shared" si="21"/>
        <v/>
      </c>
      <c r="Y85" s="50" t="str">
        <f t="shared" si="22"/>
        <v/>
      </c>
      <c r="Z85" s="50" t="str">
        <f t="shared" si="23"/>
        <v/>
      </c>
      <c r="AA85" s="50" t="str">
        <f t="shared" si="24"/>
        <v/>
      </c>
      <c r="AB85" s="50" t="str">
        <f t="shared" si="25"/>
        <v/>
      </c>
      <c r="AC85" s="50" t="str">
        <f>IF($A85="","",IF($F85="assignment",IF($AF85&gt;0,INDEX($AH$9:$AH$84,$AF85),0)*$AE85*$D85,IF($F85="buy_shares",$M85*$AL85,0)))</f>
        <v/>
      </c>
      <c r="AD85" s="50" t="str">
        <f>IF($A85="","",IF($F85="called_away",IF($AF85&gt;0,INDEX($AH$9:$AH$84,$AF85),0)*$AL85,IF($F85="sell_shares",$M85*$AL85,0)))</f>
        <v/>
      </c>
      <c r="AE85" s="51" t="str">
        <f>IF($A85="","",IF(OR($F85="sell_put",$F85="sell_call"),IF(AND($H85&gt;0,$I85&gt;0,$J85&gt;=0),$H85,0),IF(OR($F85="buy_to_close",$F85="expire",$F85="roll",$F85="assignment",$F85="called_away"),IF(AND($AF85&gt;0,$H85&gt;0,IF($F85="assignment",IF($AF85&gt;0,INDEX($AG$9:$AG$84,$AF85),"")="put",TRUE),IF($F85="called_away",IF($AF85&gt;0,INDEX($AG$9:$AG$84,$AF85),"")="call",TRUE)),MIN($H85,IF($AF85&gt;0,MAX(0,INDEX($AI$9:$AI$84,$AF85)-SUMIFS($AE$9:$AE$84,$G$9:$G$84,$G85,$B$9:$B$84,$B85)),0)),0),0)))</f>
        <v/>
      </c>
      <c r="AF85" t="str">
        <f>IF($A85="","",IFERROR(MATCH(LEN($B85)&amp;":"&amp;$B85&amp;$G85,$AY$9:$AY$84,0),0))</f>
        <v/>
      </c>
      <c r="AG85" t="str">
        <f>IF($A85="","",IF($F85="sell_put","put",IF($F85="sell_call","call",IF($F85="roll",IF($AF85&gt;0,IF($AF85&gt;0,INDEX($AG$9:$AG$84,$AF85),""),""),IF($AF85&gt;0,IF($AF85&gt;0,INDEX($AG$9:$AG$84,$AF85),""),"")))))</f>
        <v/>
      </c>
      <c r="AH85" t="str">
        <f>IF($A85="","",IF(OR($F85="sell_put",$F85="sell_call",$F85="roll"),$I85,IF($AF85&gt;0,IF($AF85&gt;0,INDEX($AH$9:$AH$84,$AF85),0),0)))</f>
        <v/>
      </c>
      <c r="AI85" s="51" t="str">
        <f t="shared" si="26"/>
        <v/>
      </c>
      <c r="AJ85" s="51" t="str">
        <f>IF($A85="","",IFERROR(LOOKUP(2,1/($B$9:$B$84=$B85),$AM$9:$AM84),0))</f>
        <v/>
      </c>
      <c r="AK85" t="str">
        <f>IF($A85="","",IFERROR(LOOKUP(2,1/($B$9:$B$84=$B85),$AN$9:$AN84),0))</f>
        <v/>
      </c>
      <c r="AL85" s="51" t="str">
        <f t="shared" si="27"/>
        <v/>
      </c>
      <c r="AM85" s="51" t="str">
        <f t="shared" si="28"/>
        <v/>
      </c>
      <c r="AN85" t="str">
        <f t="shared" si="29"/>
        <v/>
      </c>
      <c r="AO85" s="50" t="str">
        <f>IF($A85="","",IFERROR(LOOKUP(2,1/($B$9:$B$84=$B85),$AO$9:$AO84),0)+IF($F85="sell_put",$I85*$AE85*$D85,IF($F85="roll",IF($AG85="put",($I85-IF($AF85&gt;0,INDEX($AH$9:$AH$84,$AF85),0))*$AE85*$D85,0),IF(AND(OR($F85="buy_to_close",$F85="expire",$F85="roll",$F85="assignment",$F85="called_away"),$F85&lt;&gt;"roll",$AG85="put"),-IF($AF85&gt;0,INDEX($AH$9:$AH$84,$AF85),0)*$AE85*$D85,0))))</f>
        <v/>
      </c>
      <c r="AP85" s="51" t="str">
        <f>IF($A85="","",IFERROR(LOOKUP(2,1/($B$9:$B$84=$B85),$AP$9:$AP84),0)+IF($F85="sell_put",$AE85*$D85,IF(AND(OR($F85="buy_to_close",$F85="expire",$F85="roll",$F85="assignment",$F85="called_away"),$F85&lt;&gt;"roll",$AG85="put"),-$AE85*$D85,0)))</f>
        <v/>
      </c>
      <c r="AQ85" s="51" t="str">
        <f>IF($A85="","",IFERROR(LOOKUP(2,1/($B$9:$B$84=$B85),$AQ$9:$AQ84),0)+IF(OR($F85="sell_put",$F85="sell_call"),$AE85,0)-IF(AND(OR($F85="buy_to_close",$F85="expire",$F85="roll",$F85="assignment",$F85="called_away"),$F85&lt;&gt;"roll"),$AE85,0))</f>
        <v/>
      </c>
      <c r="AR85" t="str">
        <f t="shared" si="30"/>
        <v/>
      </c>
      <c r="AS85" s="50" t="str">
        <f t="shared" si="31"/>
        <v/>
      </c>
      <c r="AT85" s="50" t="str">
        <f>IF($A85="","",MAX(IF($T85=IFERROR(LOOKUP(2,1/($B$9:$B$84=$B85),$T$9:$T84),0),IFERROR(LOOKUP(2,1/($B$9:$B$84=$B85),$AT$9:$AT84),0),0),$AS85))</f>
        <v/>
      </c>
      <c r="AU85" t="str">
        <f t="shared" si="32"/>
        <v/>
      </c>
      <c r="AV85" s="51">
        <f>IF($AU85="",0,IF(AND(IFERROR(LOOKUP(2,1/($B$9:$B$84=$B85),$AR$9:$AR84),1),NOT(AND(OR($F85="dividend",$F85="fee"),IFERROR(LOOKUP(2,1/($B$9:$B$84=$B85),$T$9:$T84),0)&gt;0))),ROW(),0))</f>
        <v>0</v>
      </c>
      <c r="AW85">
        <f>IF($A85="",0,IF($AV85&gt;0,MAX($AW$9:$AW$84)+1,MAX($AW$9:$AW$84)))</f>
        <v>0</v>
      </c>
      <c r="AX85">
        <f>IF($AU85="",0,IF(AND($AR85,OR(NOT(IFERROR(LOOKUP(2,1/($B$9:$B$84=$B85),$AR$9:$AR84),1)),IFERROR(LOOKUP(2,1/($B$9:$B$84=$B85),$T$9:$T84),0)=0)),ROW(),0))</f>
        <v>0</v>
      </c>
      <c r="AY85" t="str">
        <f t="shared" si="33"/>
        <v/>
      </c>
    </row>
    <row r="86" spans="1:51" ht="15" x14ac:dyDescent="0.25">
      <c r="A86" s="52" t="str">
        <f>IF(Trades!$A86="","",Trades!O86)</f>
        <v/>
      </c>
      <c r="B86" s="52" t="str">
        <f>IF(Trades!$A86="","",Trades!B86)</f>
        <v/>
      </c>
      <c r="C86" s="52" t="str">
        <f>IF(Trades!$A86="","",Trades!C86)</f>
        <v/>
      </c>
      <c r="D86" s="53" t="str">
        <f>IF(Trades!$A86="","",IF(Trades!$L86&gt;0,Trades!$L86,Trades!$C$6))</f>
        <v/>
      </c>
      <c r="E86" s="54" t="str">
        <f>IF(Trades!$A86="","",Trades!A86)</f>
        <v/>
      </c>
      <c r="F86" s="52" t="str">
        <f>IF(Trades!$A86="","",IFERROR(INDEX(Trades!$V$2:$V$14,MATCH(Trades!$E86,Trades!$U$2:$U$14,0)),""))</f>
        <v/>
      </c>
      <c r="G86" s="52" t="str">
        <f>IF(Trades!$A86="","",Trades!N86)</f>
        <v/>
      </c>
      <c r="H86" s="53" t="str">
        <f>IF(Trades!$A86="","",Trades!F86)</f>
        <v/>
      </c>
      <c r="I86" s="55" t="str">
        <f>IF(Trades!$A86="","",Trades!G86)</f>
        <v/>
      </c>
      <c r="J86" s="55" t="str">
        <f>IF(Trades!$A86="","",Trades!I86)</f>
        <v/>
      </c>
      <c r="K86" s="55" t="str">
        <f>IF(Trades!$A86="","",Trades!Q86)</f>
        <v/>
      </c>
      <c r="L86" s="53" t="str">
        <f>IF(Trades!$A86="","",Trades!F86)</f>
        <v/>
      </c>
      <c r="M86" s="55" t="str">
        <f>IF(Trades!$A86="","",Trades!M86)</f>
        <v/>
      </c>
      <c r="N86" s="55" t="str">
        <f>IF(Trades!$A86="","",Trades!R86)</f>
        <v/>
      </c>
      <c r="O86" s="55" t="str">
        <f>IF(Trades!$A86="","",Trades!J86)</f>
        <v/>
      </c>
      <c r="P86" s="54" t="str">
        <f>IF(Trades!$A86="","",Trades!H86)</f>
        <v/>
      </c>
      <c r="Q86" s="52" t="str">
        <f>IF(Trades!$A86="","",Trades!P86)</f>
        <v/>
      </c>
      <c r="R86" s="56" t="str">
        <f t="shared" si="17"/>
        <v/>
      </c>
      <c r="S86" s="56" t="str">
        <f t="shared" si="18"/>
        <v/>
      </c>
      <c r="T86" s="57" t="str">
        <f>IF(OR($A86="",$B86=""),"",IF(AND(IFERROR(LOOKUP(2,1/($B$9:$B$85=$B86),$AR$9:$AR85),1),NOT(AND(OR($F86="dividend",$F86="fee"),IFERROR(LOOKUP(2,1/($B$9:$B$85=$B86),$T$9:$T85),0)&gt;0))),IFERROR(LOOKUP(2,1/($B$9:$B$85=$B86),$T$9:$T85),0)+1,IFERROR(LOOKUP(2,1/($B$9:$B$85=$B86),$T$9:$T85),0)))</f>
        <v/>
      </c>
      <c r="U86" s="58" t="str">
        <f t="shared" si="19"/>
        <v/>
      </c>
      <c r="V86" s="58" t="str">
        <f>IF($A86="","",IF(OR($B86="",$C86="",$D86="",$E86="",$F86=""),"Missing required field",IF(COUNTIFS($A$9:$A86,$A86,$B$9:$B86,$B86)&gt;1,"Duplicate event ID",IF(AND($E86&lt;&gt;IFERROR(LOOKUP(2,1/($B$9:$B$85=$B86),$E$9:$E85),0),IFERROR(LOOKUP(2,1/($B$9:$B$85=$B86),$E$9:$E85),0)&gt;$E86),"Date out of order",IF(AND(OR($F86="buy_to_close",$F86="expire",$F86="roll",$F86="assignment",$F86="called_away"),$AF86=0),"Unknown lot",IF(OR(AND($F86="assignment",$AF86&gt;0,IF($AF86&gt;0,INDEX($AG$9:$AG$85,$AF86),"")&lt;&gt;"put"),AND($F86="called_away",$AF86&gt;0,IF($AF86&gt;0,INDEX($AG$9:$AG$85,$AF86),"")&lt;&gt;"call")),"Wrong option leg",IF(OR(AND(OR($F86="sell_put",$F86="sell_call"),OR($H86&lt;=0,$I86&lt;=0,$J86&lt;0)),AND(OR($F86="buy_to_close",$F86="expire",$F86="assignment",$F86="called_away"),OR($H86&lt;=0,$J86&lt;0)),AND($F86="roll",OR($H86&lt;=0,$I86&lt;=0,$J86&lt;0,$K86&lt;0)),AND(OR($F86="buy_shares",$F86="sell_shares"),OR($L86&lt;=0,$M86&lt;0)),AND(OR($F86="dividend",$F86="fee"),$N86&lt;0)),"Invalid value",IF(AND(OR($F86="sell_shares",$F86="called_away"),$AL86&lt;IF($F86="called_away",$AE86*$D86,$L86)),"Insufficient shares (capped)",IF(AND(OR($F86="buy_to_close",$F86="expire",$F86="roll",$F86="assignment",$F86="called_away"),$AF86&gt;0,$H86&gt;IF($AF86&gt;0,MAX(0,INDEX($AI$9:$AI$85,$AF86)-SUMIFS($AE$9:$AE$85,$G$9:$G$85,$G86,$B$9:$B$85,$B86)),0)),"Close quantity capped","OK")))))))))</f>
        <v/>
      </c>
      <c r="W86" s="59" t="str">
        <f t="shared" si="20"/>
        <v/>
      </c>
      <c r="X86" s="60" t="str">
        <f t="shared" si="21"/>
        <v/>
      </c>
      <c r="Y86" s="50" t="str">
        <f t="shared" si="22"/>
        <v/>
      </c>
      <c r="Z86" s="50" t="str">
        <f t="shared" si="23"/>
        <v/>
      </c>
      <c r="AA86" s="50" t="str">
        <f t="shared" si="24"/>
        <v/>
      </c>
      <c r="AB86" s="50" t="str">
        <f t="shared" si="25"/>
        <v/>
      </c>
      <c r="AC86" s="50" t="str">
        <f>IF($A86="","",IF($F86="assignment",IF($AF86&gt;0,INDEX($AH$9:$AH$85,$AF86),0)*$AE86*$D86,IF($F86="buy_shares",$M86*$AL86,0)))</f>
        <v/>
      </c>
      <c r="AD86" s="50" t="str">
        <f>IF($A86="","",IF($F86="called_away",IF($AF86&gt;0,INDEX($AH$9:$AH$85,$AF86),0)*$AL86,IF($F86="sell_shares",$M86*$AL86,0)))</f>
        <v/>
      </c>
      <c r="AE86" s="51" t="str">
        <f>IF($A86="","",IF(OR($F86="sell_put",$F86="sell_call"),IF(AND($H86&gt;0,$I86&gt;0,$J86&gt;=0),$H86,0),IF(OR($F86="buy_to_close",$F86="expire",$F86="roll",$F86="assignment",$F86="called_away"),IF(AND($AF86&gt;0,$H86&gt;0,IF($F86="assignment",IF($AF86&gt;0,INDEX($AG$9:$AG$85,$AF86),"")="put",TRUE),IF($F86="called_away",IF($AF86&gt;0,INDEX($AG$9:$AG$85,$AF86),"")="call",TRUE)),MIN($H86,IF($AF86&gt;0,MAX(0,INDEX($AI$9:$AI$85,$AF86)-SUMIFS($AE$9:$AE$85,$G$9:$G$85,$G86,$B$9:$B$85,$B86)),0)),0),0)))</f>
        <v/>
      </c>
      <c r="AF86" t="str">
        <f>IF($A86="","",IFERROR(MATCH(LEN($B86)&amp;":"&amp;$B86&amp;$G86,$AY$9:$AY$85,0),0))</f>
        <v/>
      </c>
      <c r="AG86" t="str">
        <f>IF($A86="","",IF($F86="sell_put","put",IF($F86="sell_call","call",IF($F86="roll",IF($AF86&gt;0,IF($AF86&gt;0,INDEX($AG$9:$AG$85,$AF86),""),""),IF($AF86&gt;0,IF($AF86&gt;0,INDEX($AG$9:$AG$85,$AF86),""),"")))))</f>
        <v/>
      </c>
      <c r="AH86" t="str">
        <f>IF($A86="","",IF(OR($F86="sell_put",$F86="sell_call",$F86="roll"),$I86,IF($AF86&gt;0,IF($AF86&gt;0,INDEX($AH$9:$AH$85,$AF86),0),0)))</f>
        <v/>
      </c>
      <c r="AI86" s="51" t="str">
        <f t="shared" si="26"/>
        <v/>
      </c>
      <c r="AJ86" s="51" t="str">
        <f>IF($A86="","",IFERROR(LOOKUP(2,1/($B$9:$B$85=$B86),$AM$9:$AM85),0))</f>
        <v/>
      </c>
      <c r="AK86" t="str">
        <f>IF($A86="","",IFERROR(LOOKUP(2,1/($B$9:$B$85=$B86),$AN$9:$AN85),0))</f>
        <v/>
      </c>
      <c r="AL86" s="51" t="str">
        <f t="shared" si="27"/>
        <v/>
      </c>
      <c r="AM86" s="51" t="str">
        <f t="shared" si="28"/>
        <v/>
      </c>
      <c r="AN86" t="str">
        <f t="shared" si="29"/>
        <v/>
      </c>
      <c r="AO86" s="50" t="str">
        <f>IF($A86="","",IFERROR(LOOKUP(2,1/($B$9:$B$85=$B86),$AO$9:$AO85),0)+IF($F86="sell_put",$I86*$AE86*$D86,IF($F86="roll",IF($AG86="put",($I86-IF($AF86&gt;0,INDEX($AH$9:$AH$85,$AF86),0))*$AE86*$D86,0),IF(AND(OR($F86="buy_to_close",$F86="expire",$F86="roll",$F86="assignment",$F86="called_away"),$F86&lt;&gt;"roll",$AG86="put"),-IF($AF86&gt;0,INDEX($AH$9:$AH$85,$AF86),0)*$AE86*$D86,0))))</f>
        <v/>
      </c>
      <c r="AP86" s="51" t="str">
        <f>IF($A86="","",IFERROR(LOOKUP(2,1/($B$9:$B$85=$B86),$AP$9:$AP85),0)+IF($F86="sell_put",$AE86*$D86,IF(AND(OR($F86="buy_to_close",$F86="expire",$F86="roll",$F86="assignment",$F86="called_away"),$F86&lt;&gt;"roll",$AG86="put"),-$AE86*$D86,0)))</f>
        <v/>
      </c>
      <c r="AQ86" s="51" t="str">
        <f>IF($A86="","",IFERROR(LOOKUP(2,1/($B$9:$B$85=$B86),$AQ$9:$AQ85),0)+IF(OR($F86="sell_put",$F86="sell_call"),$AE86,0)-IF(AND(OR($F86="buy_to_close",$F86="expire",$F86="roll",$F86="assignment",$F86="called_away"),$F86&lt;&gt;"roll"),$AE86,0))</f>
        <v/>
      </c>
      <c r="AR86" t="str">
        <f t="shared" si="30"/>
        <v/>
      </c>
      <c r="AS86" s="50" t="str">
        <f t="shared" si="31"/>
        <v/>
      </c>
      <c r="AT86" s="50" t="str">
        <f>IF($A86="","",MAX(IF($T86=IFERROR(LOOKUP(2,1/($B$9:$B$85=$B86),$T$9:$T85),0),IFERROR(LOOKUP(2,1/($B$9:$B$85=$B86),$AT$9:$AT85),0),0),$AS86))</f>
        <v/>
      </c>
      <c r="AU86" t="str">
        <f t="shared" si="32"/>
        <v/>
      </c>
      <c r="AV86" s="51">
        <f>IF($AU86="",0,IF(AND(IFERROR(LOOKUP(2,1/($B$9:$B$85=$B86),$AR$9:$AR85),1),NOT(AND(OR($F86="dividend",$F86="fee"),IFERROR(LOOKUP(2,1/($B$9:$B$85=$B86),$T$9:$T85),0)&gt;0))),ROW(),0))</f>
        <v>0</v>
      </c>
      <c r="AW86">
        <f>IF($A86="",0,IF($AV86&gt;0,MAX($AW$9:$AW$85)+1,MAX($AW$9:$AW$85)))</f>
        <v>0</v>
      </c>
      <c r="AX86">
        <f>IF($AU86="",0,IF(AND($AR86,OR(NOT(IFERROR(LOOKUP(2,1/($B$9:$B$85=$B86),$AR$9:$AR85),1)),IFERROR(LOOKUP(2,1/($B$9:$B$85=$B86),$T$9:$T85),0)=0)),ROW(),0))</f>
        <v>0</v>
      </c>
      <c r="AY86" t="str">
        <f t="shared" si="33"/>
        <v/>
      </c>
    </row>
    <row r="87" spans="1:51" ht="15" x14ac:dyDescent="0.25">
      <c r="A87" s="41" t="str">
        <f>IF(Trades!$A87="","",Trades!O87)</f>
        <v/>
      </c>
      <c r="B87" s="41" t="str">
        <f>IF(Trades!$A87="","",Trades!B87)</f>
        <v/>
      </c>
      <c r="C87" s="41" t="str">
        <f>IF(Trades!$A87="","",Trades!C87)</f>
        <v/>
      </c>
      <c r="D87" s="42" t="str">
        <f>IF(Trades!$A87="","",IF(Trades!$L87&gt;0,Trades!$L87,Trades!$C$6))</f>
        <v/>
      </c>
      <c r="E87" s="43" t="str">
        <f>IF(Trades!$A87="","",Trades!A87)</f>
        <v/>
      </c>
      <c r="F87" s="41" t="str">
        <f>IF(Trades!$A87="","",IFERROR(INDEX(Trades!$V$2:$V$14,MATCH(Trades!$E87,Trades!$U$2:$U$14,0)),""))</f>
        <v/>
      </c>
      <c r="G87" s="41" t="str">
        <f>IF(Trades!$A87="","",Trades!N87)</f>
        <v/>
      </c>
      <c r="H87" s="42" t="str">
        <f>IF(Trades!$A87="","",Trades!F87)</f>
        <v/>
      </c>
      <c r="I87" s="44" t="str">
        <f>IF(Trades!$A87="","",Trades!G87)</f>
        <v/>
      </c>
      <c r="J87" s="44" t="str">
        <f>IF(Trades!$A87="","",Trades!I87)</f>
        <v/>
      </c>
      <c r="K87" s="44" t="str">
        <f>IF(Trades!$A87="","",Trades!Q87)</f>
        <v/>
      </c>
      <c r="L87" s="42" t="str">
        <f>IF(Trades!$A87="","",Trades!F87)</f>
        <v/>
      </c>
      <c r="M87" s="44" t="str">
        <f>IF(Trades!$A87="","",Trades!M87)</f>
        <v/>
      </c>
      <c r="N87" s="44" t="str">
        <f>IF(Trades!$A87="","",Trades!R87)</f>
        <v/>
      </c>
      <c r="O87" s="44" t="str">
        <f>IF(Trades!$A87="","",Trades!J87)</f>
        <v/>
      </c>
      <c r="P87" s="43" t="str">
        <f>IF(Trades!$A87="","",Trades!H87)</f>
        <v/>
      </c>
      <c r="Q87" s="41" t="str">
        <f>IF(Trades!$A87="","",Trades!P87)</f>
        <v/>
      </c>
      <c r="R87" s="45" t="str">
        <f t="shared" si="17"/>
        <v/>
      </c>
      <c r="S87" s="45" t="str">
        <f t="shared" si="18"/>
        <v/>
      </c>
      <c r="T87" s="46" t="str">
        <f>IF(OR($A87="",$B87=""),"",IF(AND(IFERROR(LOOKUP(2,1/($B$9:$B$86=$B87),$AR$9:$AR86),1),NOT(AND(OR($F87="dividend",$F87="fee"),IFERROR(LOOKUP(2,1/($B$9:$B$86=$B87),$T$9:$T86),0)&gt;0))),IFERROR(LOOKUP(2,1/($B$9:$B$86=$B87),$T$9:$T86),0)+1,IFERROR(LOOKUP(2,1/($B$9:$B$86=$B87),$T$9:$T86),0)))</f>
        <v/>
      </c>
      <c r="U87" s="47" t="str">
        <f t="shared" si="19"/>
        <v/>
      </c>
      <c r="V87" s="47" t="str">
        <f>IF($A87="","",IF(OR($B87="",$C87="",$D87="",$E87="",$F87=""),"Missing required field",IF(COUNTIFS($A$9:$A87,$A87,$B$9:$B87,$B87)&gt;1,"Duplicate event ID",IF(AND($E87&lt;&gt;IFERROR(LOOKUP(2,1/($B$9:$B$86=$B87),$E$9:$E86),0),IFERROR(LOOKUP(2,1/($B$9:$B$86=$B87),$E$9:$E86),0)&gt;$E87),"Date out of order",IF(AND(OR($F87="buy_to_close",$F87="expire",$F87="roll",$F87="assignment",$F87="called_away"),$AF87=0),"Unknown lot",IF(OR(AND($F87="assignment",$AF87&gt;0,IF($AF87&gt;0,INDEX($AG$9:$AG$86,$AF87),"")&lt;&gt;"put"),AND($F87="called_away",$AF87&gt;0,IF($AF87&gt;0,INDEX($AG$9:$AG$86,$AF87),"")&lt;&gt;"call")),"Wrong option leg",IF(OR(AND(OR($F87="sell_put",$F87="sell_call"),OR($H87&lt;=0,$I87&lt;=0,$J87&lt;0)),AND(OR($F87="buy_to_close",$F87="expire",$F87="assignment",$F87="called_away"),OR($H87&lt;=0,$J87&lt;0)),AND($F87="roll",OR($H87&lt;=0,$I87&lt;=0,$J87&lt;0,$K87&lt;0)),AND(OR($F87="buy_shares",$F87="sell_shares"),OR($L87&lt;=0,$M87&lt;0)),AND(OR($F87="dividend",$F87="fee"),$N87&lt;0)),"Invalid value",IF(AND(OR($F87="sell_shares",$F87="called_away"),$AL87&lt;IF($F87="called_away",$AE87*$D87,$L87)),"Insufficient shares (capped)",IF(AND(OR($F87="buy_to_close",$F87="expire",$F87="roll",$F87="assignment",$F87="called_away"),$AF87&gt;0,$H87&gt;IF($AF87&gt;0,MAX(0,INDEX($AI$9:$AI$86,$AF87)-SUMIFS($AE$9:$AE$86,$G$9:$G$86,$G87,$B$9:$B$86,$B87)),0)),"Close quantity capped","OK")))))))))</f>
        <v/>
      </c>
      <c r="W87" s="48" t="str">
        <f t="shared" si="20"/>
        <v/>
      </c>
      <c r="X87" s="49" t="str">
        <f t="shared" si="21"/>
        <v/>
      </c>
      <c r="Y87" s="50" t="str">
        <f t="shared" si="22"/>
        <v/>
      </c>
      <c r="Z87" s="50" t="str">
        <f t="shared" si="23"/>
        <v/>
      </c>
      <c r="AA87" s="50" t="str">
        <f t="shared" si="24"/>
        <v/>
      </c>
      <c r="AB87" s="50" t="str">
        <f t="shared" si="25"/>
        <v/>
      </c>
      <c r="AC87" s="50" t="str">
        <f>IF($A87="","",IF($F87="assignment",IF($AF87&gt;0,INDEX($AH$9:$AH$86,$AF87),0)*$AE87*$D87,IF($F87="buy_shares",$M87*$AL87,0)))</f>
        <v/>
      </c>
      <c r="AD87" s="50" t="str">
        <f>IF($A87="","",IF($F87="called_away",IF($AF87&gt;0,INDEX($AH$9:$AH$86,$AF87),0)*$AL87,IF($F87="sell_shares",$M87*$AL87,0)))</f>
        <v/>
      </c>
      <c r="AE87" s="51" t="str">
        <f>IF($A87="","",IF(OR($F87="sell_put",$F87="sell_call"),IF(AND($H87&gt;0,$I87&gt;0,$J87&gt;=0),$H87,0),IF(OR($F87="buy_to_close",$F87="expire",$F87="roll",$F87="assignment",$F87="called_away"),IF(AND($AF87&gt;0,$H87&gt;0,IF($F87="assignment",IF($AF87&gt;0,INDEX($AG$9:$AG$86,$AF87),"")="put",TRUE),IF($F87="called_away",IF($AF87&gt;0,INDEX($AG$9:$AG$86,$AF87),"")="call",TRUE)),MIN($H87,IF($AF87&gt;0,MAX(0,INDEX($AI$9:$AI$86,$AF87)-SUMIFS($AE$9:$AE$86,$G$9:$G$86,$G87,$B$9:$B$86,$B87)),0)),0),0)))</f>
        <v/>
      </c>
      <c r="AF87" t="str">
        <f>IF($A87="","",IFERROR(MATCH(LEN($B87)&amp;":"&amp;$B87&amp;$G87,$AY$9:$AY$86,0),0))</f>
        <v/>
      </c>
      <c r="AG87" t="str">
        <f>IF($A87="","",IF($F87="sell_put","put",IF($F87="sell_call","call",IF($F87="roll",IF($AF87&gt;0,IF($AF87&gt;0,INDEX($AG$9:$AG$86,$AF87),""),""),IF($AF87&gt;0,IF($AF87&gt;0,INDEX($AG$9:$AG$86,$AF87),""),"")))))</f>
        <v/>
      </c>
      <c r="AH87" t="str">
        <f>IF($A87="","",IF(OR($F87="sell_put",$F87="sell_call",$F87="roll"),$I87,IF($AF87&gt;0,IF($AF87&gt;0,INDEX($AH$9:$AH$86,$AF87),0),0)))</f>
        <v/>
      </c>
      <c r="AI87" s="51" t="str">
        <f t="shared" si="26"/>
        <v/>
      </c>
      <c r="AJ87" s="51" t="str">
        <f>IF($A87="","",IFERROR(LOOKUP(2,1/($B$9:$B$86=$B87),$AM$9:$AM86),0))</f>
        <v/>
      </c>
      <c r="AK87" t="str">
        <f>IF($A87="","",IFERROR(LOOKUP(2,1/($B$9:$B$86=$B87),$AN$9:$AN86),0))</f>
        <v/>
      </c>
      <c r="AL87" s="51" t="str">
        <f t="shared" si="27"/>
        <v/>
      </c>
      <c r="AM87" s="51" t="str">
        <f t="shared" si="28"/>
        <v/>
      </c>
      <c r="AN87" t="str">
        <f t="shared" si="29"/>
        <v/>
      </c>
      <c r="AO87" s="50" t="str">
        <f>IF($A87="","",IFERROR(LOOKUP(2,1/($B$9:$B$86=$B87),$AO$9:$AO86),0)+IF($F87="sell_put",$I87*$AE87*$D87,IF($F87="roll",IF($AG87="put",($I87-IF($AF87&gt;0,INDEX($AH$9:$AH$86,$AF87),0))*$AE87*$D87,0),IF(AND(OR($F87="buy_to_close",$F87="expire",$F87="roll",$F87="assignment",$F87="called_away"),$F87&lt;&gt;"roll",$AG87="put"),-IF($AF87&gt;0,INDEX($AH$9:$AH$86,$AF87),0)*$AE87*$D87,0))))</f>
        <v/>
      </c>
      <c r="AP87" s="51" t="str">
        <f>IF($A87="","",IFERROR(LOOKUP(2,1/($B$9:$B$86=$B87),$AP$9:$AP86),0)+IF($F87="sell_put",$AE87*$D87,IF(AND(OR($F87="buy_to_close",$F87="expire",$F87="roll",$F87="assignment",$F87="called_away"),$F87&lt;&gt;"roll",$AG87="put"),-$AE87*$D87,0)))</f>
        <v/>
      </c>
      <c r="AQ87" s="51" t="str">
        <f>IF($A87="","",IFERROR(LOOKUP(2,1/($B$9:$B$86=$B87),$AQ$9:$AQ86),0)+IF(OR($F87="sell_put",$F87="sell_call"),$AE87,0)-IF(AND(OR($F87="buy_to_close",$F87="expire",$F87="roll",$F87="assignment",$F87="called_away"),$F87&lt;&gt;"roll"),$AE87,0))</f>
        <v/>
      </c>
      <c r="AR87" t="str">
        <f t="shared" si="30"/>
        <v/>
      </c>
      <c r="AS87" s="50" t="str">
        <f t="shared" si="31"/>
        <v/>
      </c>
      <c r="AT87" s="50" t="str">
        <f>IF($A87="","",MAX(IF($T87=IFERROR(LOOKUP(2,1/($B$9:$B$86=$B87),$T$9:$T86),0),IFERROR(LOOKUP(2,1/($B$9:$B$86=$B87),$AT$9:$AT86),0),0),$AS87))</f>
        <v/>
      </c>
      <c r="AU87" t="str">
        <f t="shared" si="32"/>
        <v/>
      </c>
      <c r="AV87" s="51">
        <f>IF($AU87="",0,IF(AND(IFERROR(LOOKUP(2,1/($B$9:$B$86=$B87),$AR$9:$AR86),1),NOT(AND(OR($F87="dividend",$F87="fee"),IFERROR(LOOKUP(2,1/($B$9:$B$86=$B87),$T$9:$T86),0)&gt;0))),ROW(),0))</f>
        <v>0</v>
      </c>
      <c r="AW87">
        <f>IF($A87="",0,IF($AV87&gt;0,MAX($AW$9:$AW$86)+1,MAX($AW$9:$AW$86)))</f>
        <v>0</v>
      </c>
      <c r="AX87">
        <f>IF($AU87="",0,IF(AND($AR87,OR(NOT(IFERROR(LOOKUP(2,1/($B$9:$B$86=$B87),$AR$9:$AR86),1)),IFERROR(LOOKUP(2,1/($B$9:$B$86=$B87),$T$9:$T86),0)=0)),ROW(),0))</f>
        <v>0</v>
      </c>
      <c r="AY87" t="str">
        <f t="shared" si="33"/>
        <v/>
      </c>
    </row>
    <row r="88" spans="1:51" ht="15" x14ac:dyDescent="0.25">
      <c r="A88" s="52" t="str">
        <f>IF(Trades!$A88="","",Trades!O88)</f>
        <v/>
      </c>
      <c r="B88" s="52" t="str">
        <f>IF(Trades!$A88="","",Trades!B88)</f>
        <v/>
      </c>
      <c r="C88" s="52" t="str">
        <f>IF(Trades!$A88="","",Trades!C88)</f>
        <v/>
      </c>
      <c r="D88" s="53" t="str">
        <f>IF(Trades!$A88="","",IF(Trades!$L88&gt;0,Trades!$L88,Trades!$C$6))</f>
        <v/>
      </c>
      <c r="E88" s="54" t="str">
        <f>IF(Trades!$A88="","",Trades!A88)</f>
        <v/>
      </c>
      <c r="F88" s="52" t="str">
        <f>IF(Trades!$A88="","",IFERROR(INDEX(Trades!$V$2:$V$14,MATCH(Trades!$E88,Trades!$U$2:$U$14,0)),""))</f>
        <v/>
      </c>
      <c r="G88" s="52" t="str">
        <f>IF(Trades!$A88="","",Trades!N88)</f>
        <v/>
      </c>
      <c r="H88" s="53" t="str">
        <f>IF(Trades!$A88="","",Trades!F88)</f>
        <v/>
      </c>
      <c r="I88" s="55" t="str">
        <f>IF(Trades!$A88="","",Trades!G88)</f>
        <v/>
      </c>
      <c r="J88" s="55" t="str">
        <f>IF(Trades!$A88="","",Trades!I88)</f>
        <v/>
      </c>
      <c r="K88" s="55" t="str">
        <f>IF(Trades!$A88="","",Trades!Q88)</f>
        <v/>
      </c>
      <c r="L88" s="53" t="str">
        <f>IF(Trades!$A88="","",Trades!F88)</f>
        <v/>
      </c>
      <c r="M88" s="55" t="str">
        <f>IF(Trades!$A88="","",Trades!M88)</f>
        <v/>
      </c>
      <c r="N88" s="55" t="str">
        <f>IF(Trades!$A88="","",Trades!R88)</f>
        <v/>
      </c>
      <c r="O88" s="55" t="str">
        <f>IF(Trades!$A88="","",Trades!J88)</f>
        <v/>
      </c>
      <c r="P88" s="54" t="str">
        <f>IF(Trades!$A88="","",Trades!H88)</f>
        <v/>
      </c>
      <c r="Q88" s="52" t="str">
        <f>IF(Trades!$A88="","",Trades!P88)</f>
        <v/>
      </c>
      <c r="R88" s="56" t="str">
        <f t="shared" si="17"/>
        <v/>
      </c>
      <c r="S88" s="56" t="str">
        <f t="shared" si="18"/>
        <v/>
      </c>
      <c r="T88" s="57" t="str">
        <f>IF(OR($A88="",$B88=""),"",IF(AND(IFERROR(LOOKUP(2,1/($B$9:$B$87=$B88),$AR$9:$AR87),1),NOT(AND(OR($F88="dividend",$F88="fee"),IFERROR(LOOKUP(2,1/($B$9:$B$87=$B88),$T$9:$T87),0)&gt;0))),IFERROR(LOOKUP(2,1/($B$9:$B$87=$B88),$T$9:$T87),0)+1,IFERROR(LOOKUP(2,1/($B$9:$B$87=$B88),$T$9:$T87),0)))</f>
        <v/>
      </c>
      <c r="U88" s="58" t="str">
        <f t="shared" si="19"/>
        <v/>
      </c>
      <c r="V88" s="58" t="str">
        <f>IF($A88="","",IF(OR($B88="",$C88="",$D88="",$E88="",$F88=""),"Missing required field",IF(COUNTIFS($A$9:$A88,$A88,$B$9:$B88,$B88)&gt;1,"Duplicate event ID",IF(AND($E88&lt;&gt;IFERROR(LOOKUP(2,1/($B$9:$B$87=$B88),$E$9:$E87),0),IFERROR(LOOKUP(2,1/($B$9:$B$87=$B88),$E$9:$E87),0)&gt;$E88),"Date out of order",IF(AND(OR($F88="buy_to_close",$F88="expire",$F88="roll",$F88="assignment",$F88="called_away"),$AF88=0),"Unknown lot",IF(OR(AND($F88="assignment",$AF88&gt;0,IF($AF88&gt;0,INDEX($AG$9:$AG$87,$AF88),"")&lt;&gt;"put"),AND($F88="called_away",$AF88&gt;0,IF($AF88&gt;0,INDEX($AG$9:$AG$87,$AF88),"")&lt;&gt;"call")),"Wrong option leg",IF(OR(AND(OR($F88="sell_put",$F88="sell_call"),OR($H88&lt;=0,$I88&lt;=0,$J88&lt;0)),AND(OR($F88="buy_to_close",$F88="expire",$F88="assignment",$F88="called_away"),OR($H88&lt;=0,$J88&lt;0)),AND($F88="roll",OR($H88&lt;=0,$I88&lt;=0,$J88&lt;0,$K88&lt;0)),AND(OR($F88="buy_shares",$F88="sell_shares"),OR($L88&lt;=0,$M88&lt;0)),AND(OR($F88="dividend",$F88="fee"),$N88&lt;0)),"Invalid value",IF(AND(OR($F88="sell_shares",$F88="called_away"),$AL88&lt;IF($F88="called_away",$AE88*$D88,$L88)),"Insufficient shares (capped)",IF(AND(OR($F88="buy_to_close",$F88="expire",$F88="roll",$F88="assignment",$F88="called_away"),$AF88&gt;0,$H88&gt;IF($AF88&gt;0,MAX(0,INDEX($AI$9:$AI$87,$AF88)-SUMIFS($AE$9:$AE$87,$G$9:$G$87,$G88,$B$9:$B$87,$B88)),0)),"Close quantity capped","OK")))))))))</f>
        <v/>
      </c>
      <c r="W88" s="59" t="str">
        <f t="shared" si="20"/>
        <v/>
      </c>
      <c r="X88" s="60" t="str">
        <f t="shared" si="21"/>
        <v/>
      </c>
      <c r="Y88" s="50" t="str">
        <f t="shared" si="22"/>
        <v/>
      </c>
      <c r="Z88" s="50" t="str">
        <f t="shared" si="23"/>
        <v/>
      </c>
      <c r="AA88" s="50" t="str">
        <f t="shared" si="24"/>
        <v/>
      </c>
      <c r="AB88" s="50" t="str">
        <f t="shared" si="25"/>
        <v/>
      </c>
      <c r="AC88" s="50" t="str">
        <f>IF($A88="","",IF($F88="assignment",IF($AF88&gt;0,INDEX($AH$9:$AH$87,$AF88),0)*$AE88*$D88,IF($F88="buy_shares",$M88*$AL88,0)))</f>
        <v/>
      </c>
      <c r="AD88" s="50" t="str">
        <f>IF($A88="","",IF($F88="called_away",IF($AF88&gt;0,INDEX($AH$9:$AH$87,$AF88),0)*$AL88,IF($F88="sell_shares",$M88*$AL88,0)))</f>
        <v/>
      </c>
      <c r="AE88" s="51" t="str">
        <f>IF($A88="","",IF(OR($F88="sell_put",$F88="sell_call"),IF(AND($H88&gt;0,$I88&gt;0,$J88&gt;=0),$H88,0),IF(OR($F88="buy_to_close",$F88="expire",$F88="roll",$F88="assignment",$F88="called_away"),IF(AND($AF88&gt;0,$H88&gt;0,IF($F88="assignment",IF($AF88&gt;0,INDEX($AG$9:$AG$87,$AF88),"")="put",TRUE),IF($F88="called_away",IF($AF88&gt;0,INDEX($AG$9:$AG$87,$AF88),"")="call",TRUE)),MIN($H88,IF($AF88&gt;0,MAX(0,INDEX($AI$9:$AI$87,$AF88)-SUMIFS($AE$9:$AE$87,$G$9:$G$87,$G88,$B$9:$B$87,$B88)),0)),0),0)))</f>
        <v/>
      </c>
      <c r="AF88" t="str">
        <f>IF($A88="","",IFERROR(MATCH(LEN($B88)&amp;":"&amp;$B88&amp;$G88,$AY$9:$AY$87,0),0))</f>
        <v/>
      </c>
      <c r="AG88" t="str">
        <f>IF($A88="","",IF($F88="sell_put","put",IF($F88="sell_call","call",IF($F88="roll",IF($AF88&gt;0,IF($AF88&gt;0,INDEX($AG$9:$AG$87,$AF88),""),""),IF($AF88&gt;0,IF($AF88&gt;0,INDEX($AG$9:$AG$87,$AF88),""),"")))))</f>
        <v/>
      </c>
      <c r="AH88" t="str">
        <f>IF($A88="","",IF(OR($F88="sell_put",$F88="sell_call",$F88="roll"),$I88,IF($AF88&gt;0,IF($AF88&gt;0,INDEX($AH$9:$AH$87,$AF88),0),0)))</f>
        <v/>
      </c>
      <c r="AI88" s="51" t="str">
        <f t="shared" si="26"/>
        <v/>
      </c>
      <c r="AJ88" s="51" t="str">
        <f>IF($A88="","",IFERROR(LOOKUP(2,1/($B$9:$B$87=$B88),$AM$9:$AM87),0))</f>
        <v/>
      </c>
      <c r="AK88" t="str">
        <f>IF($A88="","",IFERROR(LOOKUP(2,1/($B$9:$B$87=$B88),$AN$9:$AN87),0))</f>
        <v/>
      </c>
      <c r="AL88" s="51" t="str">
        <f t="shared" si="27"/>
        <v/>
      </c>
      <c r="AM88" s="51" t="str">
        <f t="shared" si="28"/>
        <v/>
      </c>
      <c r="AN88" t="str">
        <f t="shared" si="29"/>
        <v/>
      </c>
      <c r="AO88" s="50" t="str">
        <f>IF($A88="","",IFERROR(LOOKUP(2,1/($B$9:$B$87=$B88),$AO$9:$AO87),0)+IF($F88="sell_put",$I88*$AE88*$D88,IF($F88="roll",IF($AG88="put",($I88-IF($AF88&gt;0,INDEX($AH$9:$AH$87,$AF88),0))*$AE88*$D88,0),IF(AND(OR($F88="buy_to_close",$F88="expire",$F88="roll",$F88="assignment",$F88="called_away"),$F88&lt;&gt;"roll",$AG88="put"),-IF($AF88&gt;0,INDEX($AH$9:$AH$87,$AF88),0)*$AE88*$D88,0))))</f>
        <v/>
      </c>
      <c r="AP88" s="51" t="str">
        <f>IF($A88="","",IFERROR(LOOKUP(2,1/($B$9:$B$87=$B88),$AP$9:$AP87),0)+IF($F88="sell_put",$AE88*$D88,IF(AND(OR($F88="buy_to_close",$F88="expire",$F88="roll",$F88="assignment",$F88="called_away"),$F88&lt;&gt;"roll",$AG88="put"),-$AE88*$D88,0)))</f>
        <v/>
      </c>
      <c r="AQ88" s="51" t="str">
        <f>IF($A88="","",IFERROR(LOOKUP(2,1/($B$9:$B$87=$B88),$AQ$9:$AQ87),0)+IF(OR($F88="sell_put",$F88="sell_call"),$AE88,0)-IF(AND(OR($F88="buy_to_close",$F88="expire",$F88="roll",$F88="assignment",$F88="called_away"),$F88&lt;&gt;"roll"),$AE88,0))</f>
        <v/>
      </c>
      <c r="AR88" t="str">
        <f t="shared" si="30"/>
        <v/>
      </c>
      <c r="AS88" s="50" t="str">
        <f t="shared" si="31"/>
        <v/>
      </c>
      <c r="AT88" s="50" t="str">
        <f>IF($A88="","",MAX(IF($T88=IFERROR(LOOKUP(2,1/($B$9:$B$87=$B88),$T$9:$T87),0),IFERROR(LOOKUP(2,1/($B$9:$B$87=$B88),$AT$9:$AT87),0),0),$AS88))</f>
        <v/>
      </c>
      <c r="AU88" t="str">
        <f t="shared" si="32"/>
        <v/>
      </c>
      <c r="AV88" s="51">
        <f>IF($AU88="",0,IF(AND(IFERROR(LOOKUP(2,1/($B$9:$B$87=$B88),$AR$9:$AR87),1),NOT(AND(OR($F88="dividend",$F88="fee"),IFERROR(LOOKUP(2,1/($B$9:$B$87=$B88),$T$9:$T87),0)&gt;0))),ROW(),0))</f>
        <v>0</v>
      </c>
      <c r="AW88">
        <f>IF($A88="",0,IF($AV88&gt;0,MAX($AW$9:$AW$87)+1,MAX($AW$9:$AW$87)))</f>
        <v>0</v>
      </c>
      <c r="AX88">
        <f>IF($AU88="",0,IF(AND($AR88,OR(NOT(IFERROR(LOOKUP(2,1/($B$9:$B$87=$B88),$AR$9:$AR87),1)),IFERROR(LOOKUP(2,1/($B$9:$B$87=$B88),$T$9:$T87),0)=0)),ROW(),0))</f>
        <v>0</v>
      </c>
      <c r="AY88" t="str">
        <f t="shared" si="33"/>
        <v/>
      </c>
    </row>
    <row r="89" spans="1:51" ht="15" x14ac:dyDescent="0.25">
      <c r="A89" s="41" t="str">
        <f>IF(Trades!$A89="","",Trades!O89)</f>
        <v/>
      </c>
      <c r="B89" s="41" t="str">
        <f>IF(Trades!$A89="","",Trades!B89)</f>
        <v/>
      </c>
      <c r="C89" s="41" t="str">
        <f>IF(Trades!$A89="","",Trades!C89)</f>
        <v/>
      </c>
      <c r="D89" s="42" t="str">
        <f>IF(Trades!$A89="","",IF(Trades!$L89&gt;0,Trades!$L89,Trades!$C$6))</f>
        <v/>
      </c>
      <c r="E89" s="43" t="str">
        <f>IF(Trades!$A89="","",Trades!A89)</f>
        <v/>
      </c>
      <c r="F89" s="41" t="str">
        <f>IF(Trades!$A89="","",IFERROR(INDEX(Trades!$V$2:$V$14,MATCH(Trades!$E89,Trades!$U$2:$U$14,0)),""))</f>
        <v/>
      </c>
      <c r="G89" s="41" t="str">
        <f>IF(Trades!$A89="","",Trades!N89)</f>
        <v/>
      </c>
      <c r="H89" s="42" t="str">
        <f>IF(Trades!$A89="","",Trades!F89)</f>
        <v/>
      </c>
      <c r="I89" s="44" t="str">
        <f>IF(Trades!$A89="","",Trades!G89)</f>
        <v/>
      </c>
      <c r="J89" s="44" t="str">
        <f>IF(Trades!$A89="","",Trades!I89)</f>
        <v/>
      </c>
      <c r="K89" s="44" t="str">
        <f>IF(Trades!$A89="","",Trades!Q89)</f>
        <v/>
      </c>
      <c r="L89" s="42" t="str">
        <f>IF(Trades!$A89="","",Trades!F89)</f>
        <v/>
      </c>
      <c r="M89" s="44" t="str">
        <f>IF(Trades!$A89="","",Trades!M89)</f>
        <v/>
      </c>
      <c r="N89" s="44" t="str">
        <f>IF(Trades!$A89="","",Trades!R89)</f>
        <v/>
      </c>
      <c r="O89" s="44" t="str">
        <f>IF(Trades!$A89="","",Trades!J89)</f>
        <v/>
      </c>
      <c r="P89" s="43" t="str">
        <f>IF(Trades!$A89="","",Trades!H89)</f>
        <v/>
      </c>
      <c r="Q89" s="41" t="str">
        <f>IF(Trades!$A89="","",Trades!P89)</f>
        <v/>
      </c>
      <c r="R89" s="45" t="str">
        <f t="shared" si="17"/>
        <v/>
      </c>
      <c r="S89" s="45" t="str">
        <f t="shared" si="18"/>
        <v/>
      </c>
      <c r="T89" s="46" t="str">
        <f>IF(OR($A89="",$B89=""),"",IF(AND(IFERROR(LOOKUP(2,1/($B$9:$B$88=$B89),$AR$9:$AR88),1),NOT(AND(OR($F89="dividend",$F89="fee"),IFERROR(LOOKUP(2,1/($B$9:$B$88=$B89),$T$9:$T88),0)&gt;0))),IFERROR(LOOKUP(2,1/($B$9:$B$88=$B89),$T$9:$T88),0)+1,IFERROR(LOOKUP(2,1/($B$9:$B$88=$B89),$T$9:$T88),0)))</f>
        <v/>
      </c>
      <c r="U89" s="47" t="str">
        <f t="shared" si="19"/>
        <v/>
      </c>
      <c r="V89" s="47" t="str">
        <f>IF($A89="","",IF(OR($B89="",$C89="",$D89="",$E89="",$F89=""),"Missing required field",IF(COUNTIFS($A$9:$A89,$A89,$B$9:$B89,$B89)&gt;1,"Duplicate event ID",IF(AND($E89&lt;&gt;IFERROR(LOOKUP(2,1/($B$9:$B$88=$B89),$E$9:$E88),0),IFERROR(LOOKUP(2,1/($B$9:$B$88=$B89),$E$9:$E88),0)&gt;$E89),"Date out of order",IF(AND(OR($F89="buy_to_close",$F89="expire",$F89="roll",$F89="assignment",$F89="called_away"),$AF89=0),"Unknown lot",IF(OR(AND($F89="assignment",$AF89&gt;0,IF($AF89&gt;0,INDEX($AG$9:$AG$88,$AF89),"")&lt;&gt;"put"),AND($F89="called_away",$AF89&gt;0,IF($AF89&gt;0,INDEX($AG$9:$AG$88,$AF89),"")&lt;&gt;"call")),"Wrong option leg",IF(OR(AND(OR($F89="sell_put",$F89="sell_call"),OR($H89&lt;=0,$I89&lt;=0,$J89&lt;0)),AND(OR($F89="buy_to_close",$F89="expire",$F89="assignment",$F89="called_away"),OR($H89&lt;=0,$J89&lt;0)),AND($F89="roll",OR($H89&lt;=0,$I89&lt;=0,$J89&lt;0,$K89&lt;0)),AND(OR($F89="buy_shares",$F89="sell_shares"),OR($L89&lt;=0,$M89&lt;0)),AND(OR($F89="dividend",$F89="fee"),$N89&lt;0)),"Invalid value",IF(AND(OR($F89="sell_shares",$F89="called_away"),$AL89&lt;IF($F89="called_away",$AE89*$D89,$L89)),"Insufficient shares (capped)",IF(AND(OR($F89="buy_to_close",$F89="expire",$F89="roll",$F89="assignment",$F89="called_away"),$AF89&gt;0,$H89&gt;IF($AF89&gt;0,MAX(0,INDEX($AI$9:$AI$88,$AF89)-SUMIFS($AE$9:$AE$88,$G$9:$G$88,$G89,$B$9:$B$88,$B89)),0)),"Close quantity capped","OK")))))))))</f>
        <v/>
      </c>
      <c r="W89" s="48" t="str">
        <f t="shared" si="20"/>
        <v/>
      </c>
      <c r="X89" s="49" t="str">
        <f t="shared" si="21"/>
        <v/>
      </c>
      <c r="Y89" s="50" t="str">
        <f t="shared" si="22"/>
        <v/>
      </c>
      <c r="Z89" s="50" t="str">
        <f t="shared" si="23"/>
        <v/>
      </c>
      <c r="AA89" s="50" t="str">
        <f t="shared" si="24"/>
        <v/>
      </c>
      <c r="AB89" s="50" t="str">
        <f t="shared" si="25"/>
        <v/>
      </c>
      <c r="AC89" s="50" t="str">
        <f>IF($A89="","",IF($F89="assignment",IF($AF89&gt;0,INDEX($AH$9:$AH$88,$AF89),0)*$AE89*$D89,IF($F89="buy_shares",$M89*$AL89,0)))</f>
        <v/>
      </c>
      <c r="AD89" s="50" t="str">
        <f>IF($A89="","",IF($F89="called_away",IF($AF89&gt;0,INDEX($AH$9:$AH$88,$AF89),0)*$AL89,IF($F89="sell_shares",$M89*$AL89,0)))</f>
        <v/>
      </c>
      <c r="AE89" s="51" t="str">
        <f>IF($A89="","",IF(OR($F89="sell_put",$F89="sell_call"),IF(AND($H89&gt;0,$I89&gt;0,$J89&gt;=0),$H89,0),IF(OR($F89="buy_to_close",$F89="expire",$F89="roll",$F89="assignment",$F89="called_away"),IF(AND($AF89&gt;0,$H89&gt;0,IF($F89="assignment",IF($AF89&gt;0,INDEX($AG$9:$AG$88,$AF89),"")="put",TRUE),IF($F89="called_away",IF($AF89&gt;0,INDEX($AG$9:$AG$88,$AF89),"")="call",TRUE)),MIN($H89,IF($AF89&gt;0,MAX(0,INDEX($AI$9:$AI$88,$AF89)-SUMIFS($AE$9:$AE$88,$G$9:$G$88,$G89,$B$9:$B$88,$B89)),0)),0),0)))</f>
        <v/>
      </c>
      <c r="AF89" t="str">
        <f>IF($A89="","",IFERROR(MATCH(LEN($B89)&amp;":"&amp;$B89&amp;$G89,$AY$9:$AY$88,0),0))</f>
        <v/>
      </c>
      <c r="AG89" t="str">
        <f>IF($A89="","",IF($F89="sell_put","put",IF($F89="sell_call","call",IF($F89="roll",IF($AF89&gt;0,IF($AF89&gt;0,INDEX($AG$9:$AG$88,$AF89),""),""),IF($AF89&gt;0,IF($AF89&gt;0,INDEX($AG$9:$AG$88,$AF89),""),"")))))</f>
        <v/>
      </c>
      <c r="AH89" t="str">
        <f>IF($A89="","",IF(OR($F89="sell_put",$F89="sell_call",$F89="roll"),$I89,IF($AF89&gt;0,IF($AF89&gt;0,INDEX($AH$9:$AH$88,$AF89),0),0)))</f>
        <v/>
      </c>
      <c r="AI89" s="51" t="str">
        <f t="shared" si="26"/>
        <v/>
      </c>
      <c r="AJ89" s="51" t="str">
        <f>IF($A89="","",IFERROR(LOOKUP(2,1/($B$9:$B$88=$B89),$AM$9:$AM88),0))</f>
        <v/>
      </c>
      <c r="AK89" t="str">
        <f>IF($A89="","",IFERROR(LOOKUP(2,1/($B$9:$B$88=$B89),$AN$9:$AN88),0))</f>
        <v/>
      </c>
      <c r="AL89" s="51" t="str">
        <f t="shared" si="27"/>
        <v/>
      </c>
      <c r="AM89" s="51" t="str">
        <f t="shared" si="28"/>
        <v/>
      </c>
      <c r="AN89" t="str">
        <f t="shared" si="29"/>
        <v/>
      </c>
      <c r="AO89" s="50" t="str">
        <f>IF($A89="","",IFERROR(LOOKUP(2,1/($B$9:$B$88=$B89),$AO$9:$AO88),0)+IF($F89="sell_put",$I89*$AE89*$D89,IF($F89="roll",IF($AG89="put",($I89-IF($AF89&gt;0,INDEX($AH$9:$AH$88,$AF89),0))*$AE89*$D89,0),IF(AND(OR($F89="buy_to_close",$F89="expire",$F89="roll",$F89="assignment",$F89="called_away"),$F89&lt;&gt;"roll",$AG89="put"),-IF($AF89&gt;0,INDEX($AH$9:$AH$88,$AF89),0)*$AE89*$D89,0))))</f>
        <v/>
      </c>
      <c r="AP89" s="51" t="str">
        <f>IF($A89="","",IFERROR(LOOKUP(2,1/($B$9:$B$88=$B89),$AP$9:$AP88),0)+IF($F89="sell_put",$AE89*$D89,IF(AND(OR($F89="buy_to_close",$F89="expire",$F89="roll",$F89="assignment",$F89="called_away"),$F89&lt;&gt;"roll",$AG89="put"),-$AE89*$D89,0)))</f>
        <v/>
      </c>
      <c r="AQ89" s="51" t="str">
        <f>IF($A89="","",IFERROR(LOOKUP(2,1/($B$9:$B$88=$B89),$AQ$9:$AQ88),0)+IF(OR($F89="sell_put",$F89="sell_call"),$AE89,0)-IF(AND(OR($F89="buy_to_close",$F89="expire",$F89="roll",$F89="assignment",$F89="called_away"),$F89&lt;&gt;"roll"),$AE89,0))</f>
        <v/>
      </c>
      <c r="AR89" t="str">
        <f t="shared" si="30"/>
        <v/>
      </c>
      <c r="AS89" s="50" t="str">
        <f t="shared" si="31"/>
        <v/>
      </c>
      <c r="AT89" s="50" t="str">
        <f>IF($A89="","",MAX(IF($T89=IFERROR(LOOKUP(2,1/($B$9:$B$88=$B89),$T$9:$T88),0),IFERROR(LOOKUP(2,1/($B$9:$B$88=$B89),$AT$9:$AT88),0),0),$AS89))</f>
        <v/>
      </c>
      <c r="AU89" t="str">
        <f t="shared" si="32"/>
        <v/>
      </c>
      <c r="AV89" s="51">
        <f>IF($AU89="",0,IF(AND(IFERROR(LOOKUP(2,1/($B$9:$B$88=$B89),$AR$9:$AR88),1),NOT(AND(OR($F89="dividend",$F89="fee"),IFERROR(LOOKUP(2,1/($B$9:$B$88=$B89),$T$9:$T88),0)&gt;0))),ROW(),0))</f>
        <v>0</v>
      </c>
      <c r="AW89">
        <f>IF($A89="",0,IF($AV89&gt;0,MAX($AW$9:$AW$88)+1,MAX($AW$9:$AW$88)))</f>
        <v>0</v>
      </c>
      <c r="AX89">
        <f>IF($AU89="",0,IF(AND($AR89,OR(NOT(IFERROR(LOOKUP(2,1/($B$9:$B$88=$B89),$AR$9:$AR88),1)),IFERROR(LOOKUP(2,1/($B$9:$B$88=$B89),$T$9:$T88),0)=0)),ROW(),0))</f>
        <v>0</v>
      </c>
      <c r="AY89" t="str">
        <f t="shared" si="33"/>
        <v/>
      </c>
    </row>
    <row r="90" spans="1:51" ht="15" x14ac:dyDescent="0.25">
      <c r="A90" s="52" t="str">
        <f>IF(Trades!$A90="","",Trades!O90)</f>
        <v/>
      </c>
      <c r="B90" s="52" t="str">
        <f>IF(Trades!$A90="","",Trades!B90)</f>
        <v/>
      </c>
      <c r="C90" s="52" t="str">
        <f>IF(Trades!$A90="","",Trades!C90)</f>
        <v/>
      </c>
      <c r="D90" s="53" t="str">
        <f>IF(Trades!$A90="","",IF(Trades!$L90&gt;0,Trades!$L90,Trades!$C$6))</f>
        <v/>
      </c>
      <c r="E90" s="54" t="str">
        <f>IF(Trades!$A90="","",Trades!A90)</f>
        <v/>
      </c>
      <c r="F90" s="52" t="str">
        <f>IF(Trades!$A90="","",IFERROR(INDEX(Trades!$V$2:$V$14,MATCH(Trades!$E90,Trades!$U$2:$U$14,0)),""))</f>
        <v/>
      </c>
      <c r="G90" s="52" t="str">
        <f>IF(Trades!$A90="","",Trades!N90)</f>
        <v/>
      </c>
      <c r="H90" s="53" t="str">
        <f>IF(Trades!$A90="","",Trades!F90)</f>
        <v/>
      </c>
      <c r="I90" s="55" t="str">
        <f>IF(Trades!$A90="","",Trades!G90)</f>
        <v/>
      </c>
      <c r="J90" s="55" t="str">
        <f>IF(Trades!$A90="","",Trades!I90)</f>
        <v/>
      </c>
      <c r="K90" s="55" t="str">
        <f>IF(Trades!$A90="","",Trades!Q90)</f>
        <v/>
      </c>
      <c r="L90" s="53" t="str">
        <f>IF(Trades!$A90="","",Trades!F90)</f>
        <v/>
      </c>
      <c r="M90" s="55" t="str">
        <f>IF(Trades!$A90="","",Trades!M90)</f>
        <v/>
      </c>
      <c r="N90" s="55" t="str">
        <f>IF(Trades!$A90="","",Trades!R90)</f>
        <v/>
      </c>
      <c r="O90" s="55" t="str">
        <f>IF(Trades!$A90="","",Trades!J90)</f>
        <v/>
      </c>
      <c r="P90" s="54" t="str">
        <f>IF(Trades!$A90="","",Trades!H90)</f>
        <v/>
      </c>
      <c r="Q90" s="52" t="str">
        <f>IF(Trades!$A90="","",Trades!P90)</f>
        <v/>
      </c>
      <c r="R90" s="56" t="str">
        <f t="shared" si="17"/>
        <v/>
      </c>
      <c r="S90" s="56" t="str">
        <f t="shared" si="18"/>
        <v/>
      </c>
      <c r="T90" s="57" t="str">
        <f>IF(OR($A90="",$B90=""),"",IF(AND(IFERROR(LOOKUP(2,1/($B$9:$B$89=$B90),$AR$9:$AR89),1),NOT(AND(OR($F90="dividend",$F90="fee"),IFERROR(LOOKUP(2,1/($B$9:$B$89=$B90),$T$9:$T89),0)&gt;0))),IFERROR(LOOKUP(2,1/($B$9:$B$89=$B90),$T$9:$T89),0)+1,IFERROR(LOOKUP(2,1/($B$9:$B$89=$B90),$T$9:$T89),0)))</f>
        <v/>
      </c>
      <c r="U90" s="58" t="str">
        <f t="shared" si="19"/>
        <v/>
      </c>
      <c r="V90" s="58" t="str">
        <f>IF($A90="","",IF(OR($B90="",$C90="",$D90="",$E90="",$F90=""),"Missing required field",IF(COUNTIFS($A$9:$A90,$A90,$B$9:$B90,$B90)&gt;1,"Duplicate event ID",IF(AND($E90&lt;&gt;IFERROR(LOOKUP(2,1/($B$9:$B$89=$B90),$E$9:$E89),0),IFERROR(LOOKUP(2,1/($B$9:$B$89=$B90),$E$9:$E89),0)&gt;$E90),"Date out of order",IF(AND(OR($F90="buy_to_close",$F90="expire",$F90="roll",$F90="assignment",$F90="called_away"),$AF90=0),"Unknown lot",IF(OR(AND($F90="assignment",$AF90&gt;0,IF($AF90&gt;0,INDEX($AG$9:$AG$89,$AF90),"")&lt;&gt;"put"),AND($F90="called_away",$AF90&gt;0,IF($AF90&gt;0,INDEX($AG$9:$AG$89,$AF90),"")&lt;&gt;"call")),"Wrong option leg",IF(OR(AND(OR($F90="sell_put",$F90="sell_call"),OR($H90&lt;=0,$I90&lt;=0,$J90&lt;0)),AND(OR($F90="buy_to_close",$F90="expire",$F90="assignment",$F90="called_away"),OR($H90&lt;=0,$J90&lt;0)),AND($F90="roll",OR($H90&lt;=0,$I90&lt;=0,$J90&lt;0,$K90&lt;0)),AND(OR($F90="buy_shares",$F90="sell_shares"),OR($L90&lt;=0,$M90&lt;0)),AND(OR($F90="dividend",$F90="fee"),$N90&lt;0)),"Invalid value",IF(AND(OR($F90="sell_shares",$F90="called_away"),$AL90&lt;IF($F90="called_away",$AE90*$D90,$L90)),"Insufficient shares (capped)",IF(AND(OR($F90="buy_to_close",$F90="expire",$F90="roll",$F90="assignment",$F90="called_away"),$AF90&gt;0,$H90&gt;IF($AF90&gt;0,MAX(0,INDEX($AI$9:$AI$89,$AF90)-SUMIFS($AE$9:$AE$89,$G$9:$G$89,$G90,$B$9:$B$89,$B90)),0)),"Close quantity capped","OK")))))))))</f>
        <v/>
      </c>
      <c r="W90" s="59" t="str">
        <f t="shared" si="20"/>
        <v/>
      </c>
      <c r="X90" s="60" t="str">
        <f t="shared" si="21"/>
        <v/>
      </c>
      <c r="Y90" s="50" t="str">
        <f t="shared" si="22"/>
        <v/>
      </c>
      <c r="Z90" s="50" t="str">
        <f t="shared" si="23"/>
        <v/>
      </c>
      <c r="AA90" s="50" t="str">
        <f t="shared" si="24"/>
        <v/>
      </c>
      <c r="AB90" s="50" t="str">
        <f t="shared" si="25"/>
        <v/>
      </c>
      <c r="AC90" s="50" t="str">
        <f>IF($A90="","",IF($F90="assignment",IF($AF90&gt;0,INDEX($AH$9:$AH$89,$AF90),0)*$AE90*$D90,IF($F90="buy_shares",$M90*$AL90,0)))</f>
        <v/>
      </c>
      <c r="AD90" s="50" t="str">
        <f>IF($A90="","",IF($F90="called_away",IF($AF90&gt;0,INDEX($AH$9:$AH$89,$AF90),0)*$AL90,IF($F90="sell_shares",$M90*$AL90,0)))</f>
        <v/>
      </c>
      <c r="AE90" s="51" t="str">
        <f>IF($A90="","",IF(OR($F90="sell_put",$F90="sell_call"),IF(AND($H90&gt;0,$I90&gt;0,$J90&gt;=0),$H90,0),IF(OR($F90="buy_to_close",$F90="expire",$F90="roll",$F90="assignment",$F90="called_away"),IF(AND($AF90&gt;0,$H90&gt;0,IF($F90="assignment",IF($AF90&gt;0,INDEX($AG$9:$AG$89,$AF90),"")="put",TRUE),IF($F90="called_away",IF($AF90&gt;0,INDEX($AG$9:$AG$89,$AF90),"")="call",TRUE)),MIN($H90,IF($AF90&gt;0,MAX(0,INDEX($AI$9:$AI$89,$AF90)-SUMIFS($AE$9:$AE$89,$G$9:$G$89,$G90,$B$9:$B$89,$B90)),0)),0),0)))</f>
        <v/>
      </c>
      <c r="AF90" t="str">
        <f>IF($A90="","",IFERROR(MATCH(LEN($B90)&amp;":"&amp;$B90&amp;$G90,$AY$9:$AY$89,0),0))</f>
        <v/>
      </c>
      <c r="AG90" t="str">
        <f>IF($A90="","",IF($F90="sell_put","put",IF($F90="sell_call","call",IF($F90="roll",IF($AF90&gt;0,IF($AF90&gt;0,INDEX($AG$9:$AG$89,$AF90),""),""),IF($AF90&gt;0,IF($AF90&gt;0,INDEX($AG$9:$AG$89,$AF90),""),"")))))</f>
        <v/>
      </c>
      <c r="AH90" t="str">
        <f>IF($A90="","",IF(OR($F90="sell_put",$F90="sell_call",$F90="roll"),$I90,IF($AF90&gt;0,IF($AF90&gt;0,INDEX($AH$9:$AH$89,$AF90),0),0)))</f>
        <v/>
      </c>
      <c r="AI90" s="51" t="str">
        <f t="shared" si="26"/>
        <v/>
      </c>
      <c r="AJ90" s="51" t="str">
        <f>IF($A90="","",IFERROR(LOOKUP(2,1/($B$9:$B$89=$B90),$AM$9:$AM89),0))</f>
        <v/>
      </c>
      <c r="AK90" t="str">
        <f>IF($A90="","",IFERROR(LOOKUP(2,1/($B$9:$B$89=$B90),$AN$9:$AN89),0))</f>
        <v/>
      </c>
      <c r="AL90" s="51" t="str">
        <f t="shared" si="27"/>
        <v/>
      </c>
      <c r="AM90" s="51" t="str">
        <f t="shared" si="28"/>
        <v/>
      </c>
      <c r="AN90" t="str">
        <f t="shared" si="29"/>
        <v/>
      </c>
      <c r="AO90" s="50" t="str">
        <f>IF($A90="","",IFERROR(LOOKUP(2,1/($B$9:$B$89=$B90),$AO$9:$AO89),0)+IF($F90="sell_put",$I90*$AE90*$D90,IF($F90="roll",IF($AG90="put",($I90-IF($AF90&gt;0,INDEX($AH$9:$AH$89,$AF90),0))*$AE90*$D90,0),IF(AND(OR($F90="buy_to_close",$F90="expire",$F90="roll",$F90="assignment",$F90="called_away"),$F90&lt;&gt;"roll",$AG90="put"),-IF($AF90&gt;0,INDEX($AH$9:$AH$89,$AF90),0)*$AE90*$D90,0))))</f>
        <v/>
      </c>
      <c r="AP90" s="51" t="str">
        <f>IF($A90="","",IFERROR(LOOKUP(2,1/($B$9:$B$89=$B90),$AP$9:$AP89),0)+IF($F90="sell_put",$AE90*$D90,IF(AND(OR($F90="buy_to_close",$F90="expire",$F90="roll",$F90="assignment",$F90="called_away"),$F90&lt;&gt;"roll",$AG90="put"),-$AE90*$D90,0)))</f>
        <v/>
      </c>
      <c r="AQ90" s="51" t="str">
        <f>IF($A90="","",IFERROR(LOOKUP(2,1/($B$9:$B$89=$B90),$AQ$9:$AQ89),0)+IF(OR($F90="sell_put",$F90="sell_call"),$AE90,0)-IF(AND(OR($F90="buy_to_close",$F90="expire",$F90="roll",$F90="assignment",$F90="called_away"),$F90&lt;&gt;"roll"),$AE90,0))</f>
        <v/>
      </c>
      <c r="AR90" t="str">
        <f t="shared" si="30"/>
        <v/>
      </c>
      <c r="AS90" s="50" t="str">
        <f t="shared" si="31"/>
        <v/>
      </c>
      <c r="AT90" s="50" t="str">
        <f>IF($A90="","",MAX(IF($T90=IFERROR(LOOKUP(2,1/($B$9:$B$89=$B90),$T$9:$T89),0),IFERROR(LOOKUP(2,1/($B$9:$B$89=$B90),$AT$9:$AT89),0),0),$AS90))</f>
        <v/>
      </c>
      <c r="AU90" t="str">
        <f t="shared" si="32"/>
        <v/>
      </c>
      <c r="AV90" s="51">
        <f>IF($AU90="",0,IF(AND(IFERROR(LOOKUP(2,1/($B$9:$B$89=$B90),$AR$9:$AR89),1),NOT(AND(OR($F90="dividend",$F90="fee"),IFERROR(LOOKUP(2,1/($B$9:$B$89=$B90),$T$9:$T89),0)&gt;0))),ROW(),0))</f>
        <v>0</v>
      </c>
      <c r="AW90">
        <f>IF($A90="",0,IF($AV90&gt;0,MAX($AW$9:$AW$89)+1,MAX($AW$9:$AW$89)))</f>
        <v>0</v>
      </c>
      <c r="AX90">
        <f>IF($AU90="",0,IF(AND($AR90,OR(NOT(IFERROR(LOOKUP(2,1/($B$9:$B$89=$B90),$AR$9:$AR89),1)),IFERROR(LOOKUP(2,1/($B$9:$B$89=$B90),$T$9:$T89),0)=0)),ROW(),0))</f>
        <v>0</v>
      </c>
      <c r="AY90" t="str">
        <f t="shared" si="33"/>
        <v/>
      </c>
    </row>
    <row r="91" spans="1:51" ht="15" x14ac:dyDescent="0.25">
      <c r="A91" s="41" t="str">
        <f>IF(Trades!$A91="","",Trades!O91)</f>
        <v/>
      </c>
      <c r="B91" s="41" t="str">
        <f>IF(Trades!$A91="","",Trades!B91)</f>
        <v/>
      </c>
      <c r="C91" s="41" t="str">
        <f>IF(Trades!$A91="","",Trades!C91)</f>
        <v/>
      </c>
      <c r="D91" s="42" t="str">
        <f>IF(Trades!$A91="","",IF(Trades!$L91&gt;0,Trades!$L91,Trades!$C$6))</f>
        <v/>
      </c>
      <c r="E91" s="43" t="str">
        <f>IF(Trades!$A91="","",Trades!A91)</f>
        <v/>
      </c>
      <c r="F91" s="41" t="str">
        <f>IF(Trades!$A91="","",IFERROR(INDEX(Trades!$V$2:$V$14,MATCH(Trades!$E91,Trades!$U$2:$U$14,0)),""))</f>
        <v/>
      </c>
      <c r="G91" s="41" t="str">
        <f>IF(Trades!$A91="","",Trades!N91)</f>
        <v/>
      </c>
      <c r="H91" s="42" t="str">
        <f>IF(Trades!$A91="","",Trades!F91)</f>
        <v/>
      </c>
      <c r="I91" s="44" t="str">
        <f>IF(Trades!$A91="","",Trades!G91)</f>
        <v/>
      </c>
      <c r="J91" s="44" t="str">
        <f>IF(Trades!$A91="","",Trades!I91)</f>
        <v/>
      </c>
      <c r="K91" s="44" t="str">
        <f>IF(Trades!$A91="","",Trades!Q91)</f>
        <v/>
      </c>
      <c r="L91" s="42" t="str">
        <f>IF(Trades!$A91="","",Trades!F91)</f>
        <v/>
      </c>
      <c r="M91" s="44" t="str">
        <f>IF(Trades!$A91="","",Trades!M91)</f>
        <v/>
      </c>
      <c r="N91" s="44" t="str">
        <f>IF(Trades!$A91="","",Trades!R91)</f>
        <v/>
      </c>
      <c r="O91" s="44" t="str">
        <f>IF(Trades!$A91="","",Trades!J91)</f>
        <v/>
      </c>
      <c r="P91" s="43" t="str">
        <f>IF(Trades!$A91="","",Trades!H91)</f>
        <v/>
      </c>
      <c r="Q91" s="41" t="str">
        <f>IF(Trades!$A91="","",Trades!P91)</f>
        <v/>
      </c>
      <c r="R91" s="45" t="str">
        <f t="shared" si="17"/>
        <v/>
      </c>
      <c r="S91" s="45" t="str">
        <f t="shared" si="18"/>
        <v/>
      </c>
      <c r="T91" s="46" t="str">
        <f>IF(OR($A91="",$B91=""),"",IF(AND(IFERROR(LOOKUP(2,1/($B$9:$B$90=$B91),$AR$9:$AR90),1),NOT(AND(OR($F91="dividend",$F91="fee"),IFERROR(LOOKUP(2,1/($B$9:$B$90=$B91),$T$9:$T90),0)&gt;0))),IFERROR(LOOKUP(2,1/($B$9:$B$90=$B91),$T$9:$T90),0)+1,IFERROR(LOOKUP(2,1/($B$9:$B$90=$B91),$T$9:$T90),0)))</f>
        <v/>
      </c>
      <c r="U91" s="47" t="str">
        <f t="shared" si="19"/>
        <v/>
      </c>
      <c r="V91" s="47" t="str">
        <f>IF($A91="","",IF(OR($B91="",$C91="",$D91="",$E91="",$F91=""),"Missing required field",IF(COUNTIFS($A$9:$A91,$A91,$B$9:$B91,$B91)&gt;1,"Duplicate event ID",IF(AND($E91&lt;&gt;IFERROR(LOOKUP(2,1/($B$9:$B$90=$B91),$E$9:$E90),0),IFERROR(LOOKUP(2,1/($B$9:$B$90=$B91),$E$9:$E90),0)&gt;$E91),"Date out of order",IF(AND(OR($F91="buy_to_close",$F91="expire",$F91="roll",$F91="assignment",$F91="called_away"),$AF91=0),"Unknown lot",IF(OR(AND($F91="assignment",$AF91&gt;0,IF($AF91&gt;0,INDEX($AG$9:$AG$90,$AF91),"")&lt;&gt;"put"),AND($F91="called_away",$AF91&gt;0,IF($AF91&gt;0,INDEX($AG$9:$AG$90,$AF91),"")&lt;&gt;"call")),"Wrong option leg",IF(OR(AND(OR($F91="sell_put",$F91="sell_call"),OR($H91&lt;=0,$I91&lt;=0,$J91&lt;0)),AND(OR($F91="buy_to_close",$F91="expire",$F91="assignment",$F91="called_away"),OR($H91&lt;=0,$J91&lt;0)),AND($F91="roll",OR($H91&lt;=0,$I91&lt;=0,$J91&lt;0,$K91&lt;0)),AND(OR($F91="buy_shares",$F91="sell_shares"),OR($L91&lt;=0,$M91&lt;0)),AND(OR($F91="dividend",$F91="fee"),$N91&lt;0)),"Invalid value",IF(AND(OR($F91="sell_shares",$F91="called_away"),$AL91&lt;IF($F91="called_away",$AE91*$D91,$L91)),"Insufficient shares (capped)",IF(AND(OR($F91="buy_to_close",$F91="expire",$F91="roll",$F91="assignment",$F91="called_away"),$AF91&gt;0,$H91&gt;IF($AF91&gt;0,MAX(0,INDEX($AI$9:$AI$90,$AF91)-SUMIFS($AE$9:$AE$90,$G$9:$G$90,$G91,$B$9:$B$90,$B91)),0)),"Close quantity capped","OK")))))))))</f>
        <v/>
      </c>
      <c r="W91" s="48" t="str">
        <f t="shared" si="20"/>
        <v/>
      </c>
      <c r="X91" s="49" t="str">
        <f t="shared" si="21"/>
        <v/>
      </c>
      <c r="Y91" s="50" t="str">
        <f t="shared" si="22"/>
        <v/>
      </c>
      <c r="Z91" s="50" t="str">
        <f t="shared" si="23"/>
        <v/>
      </c>
      <c r="AA91" s="50" t="str">
        <f t="shared" si="24"/>
        <v/>
      </c>
      <c r="AB91" s="50" t="str">
        <f t="shared" si="25"/>
        <v/>
      </c>
      <c r="AC91" s="50" t="str">
        <f>IF($A91="","",IF($F91="assignment",IF($AF91&gt;0,INDEX($AH$9:$AH$90,$AF91),0)*$AE91*$D91,IF($F91="buy_shares",$M91*$AL91,0)))</f>
        <v/>
      </c>
      <c r="AD91" s="50" t="str">
        <f>IF($A91="","",IF($F91="called_away",IF($AF91&gt;0,INDEX($AH$9:$AH$90,$AF91),0)*$AL91,IF($F91="sell_shares",$M91*$AL91,0)))</f>
        <v/>
      </c>
      <c r="AE91" s="51" t="str">
        <f>IF($A91="","",IF(OR($F91="sell_put",$F91="sell_call"),IF(AND($H91&gt;0,$I91&gt;0,$J91&gt;=0),$H91,0),IF(OR($F91="buy_to_close",$F91="expire",$F91="roll",$F91="assignment",$F91="called_away"),IF(AND($AF91&gt;0,$H91&gt;0,IF($F91="assignment",IF($AF91&gt;0,INDEX($AG$9:$AG$90,$AF91),"")="put",TRUE),IF($F91="called_away",IF($AF91&gt;0,INDEX($AG$9:$AG$90,$AF91),"")="call",TRUE)),MIN($H91,IF($AF91&gt;0,MAX(0,INDEX($AI$9:$AI$90,$AF91)-SUMIFS($AE$9:$AE$90,$G$9:$G$90,$G91,$B$9:$B$90,$B91)),0)),0),0)))</f>
        <v/>
      </c>
      <c r="AF91" t="str">
        <f>IF($A91="","",IFERROR(MATCH(LEN($B91)&amp;":"&amp;$B91&amp;$G91,$AY$9:$AY$90,0),0))</f>
        <v/>
      </c>
      <c r="AG91" t="str">
        <f>IF($A91="","",IF($F91="sell_put","put",IF($F91="sell_call","call",IF($F91="roll",IF($AF91&gt;0,IF($AF91&gt;0,INDEX($AG$9:$AG$90,$AF91),""),""),IF($AF91&gt;0,IF($AF91&gt;0,INDEX($AG$9:$AG$90,$AF91),""),"")))))</f>
        <v/>
      </c>
      <c r="AH91" t="str">
        <f>IF($A91="","",IF(OR($F91="sell_put",$F91="sell_call",$F91="roll"),$I91,IF($AF91&gt;0,IF($AF91&gt;0,INDEX($AH$9:$AH$90,$AF91),0),0)))</f>
        <v/>
      </c>
      <c r="AI91" s="51" t="str">
        <f t="shared" si="26"/>
        <v/>
      </c>
      <c r="AJ91" s="51" t="str">
        <f>IF($A91="","",IFERROR(LOOKUP(2,1/($B$9:$B$90=$B91),$AM$9:$AM90),0))</f>
        <v/>
      </c>
      <c r="AK91" t="str">
        <f>IF($A91="","",IFERROR(LOOKUP(2,1/($B$9:$B$90=$B91),$AN$9:$AN90),0))</f>
        <v/>
      </c>
      <c r="AL91" s="51" t="str">
        <f t="shared" si="27"/>
        <v/>
      </c>
      <c r="AM91" s="51" t="str">
        <f t="shared" si="28"/>
        <v/>
      </c>
      <c r="AN91" t="str">
        <f t="shared" si="29"/>
        <v/>
      </c>
      <c r="AO91" s="50" t="str">
        <f>IF($A91="","",IFERROR(LOOKUP(2,1/($B$9:$B$90=$B91),$AO$9:$AO90),0)+IF($F91="sell_put",$I91*$AE91*$D91,IF($F91="roll",IF($AG91="put",($I91-IF($AF91&gt;0,INDEX($AH$9:$AH$90,$AF91),0))*$AE91*$D91,0),IF(AND(OR($F91="buy_to_close",$F91="expire",$F91="roll",$F91="assignment",$F91="called_away"),$F91&lt;&gt;"roll",$AG91="put"),-IF($AF91&gt;0,INDEX($AH$9:$AH$90,$AF91),0)*$AE91*$D91,0))))</f>
        <v/>
      </c>
      <c r="AP91" s="51" t="str">
        <f>IF($A91="","",IFERROR(LOOKUP(2,1/($B$9:$B$90=$B91),$AP$9:$AP90),0)+IF($F91="sell_put",$AE91*$D91,IF(AND(OR($F91="buy_to_close",$F91="expire",$F91="roll",$F91="assignment",$F91="called_away"),$F91&lt;&gt;"roll",$AG91="put"),-$AE91*$D91,0)))</f>
        <v/>
      </c>
      <c r="AQ91" s="51" t="str">
        <f>IF($A91="","",IFERROR(LOOKUP(2,1/($B$9:$B$90=$B91),$AQ$9:$AQ90),0)+IF(OR($F91="sell_put",$F91="sell_call"),$AE91,0)-IF(AND(OR($F91="buy_to_close",$F91="expire",$F91="roll",$F91="assignment",$F91="called_away"),$F91&lt;&gt;"roll"),$AE91,0))</f>
        <v/>
      </c>
      <c r="AR91" t="str">
        <f t="shared" si="30"/>
        <v/>
      </c>
      <c r="AS91" s="50" t="str">
        <f t="shared" si="31"/>
        <v/>
      </c>
      <c r="AT91" s="50" t="str">
        <f>IF($A91="","",MAX(IF($T91=IFERROR(LOOKUP(2,1/($B$9:$B$90=$B91),$T$9:$T90),0),IFERROR(LOOKUP(2,1/($B$9:$B$90=$B91),$AT$9:$AT90),0),0),$AS91))</f>
        <v/>
      </c>
      <c r="AU91" t="str">
        <f t="shared" si="32"/>
        <v/>
      </c>
      <c r="AV91" s="51">
        <f>IF($AU91="",0,IF(AND(IFERROR(LOOKUP(2,1/($B$9:$B$90=$B91),$AR$9:$AR90),1),NOT(AND(OR($F91="dividend",$F91="fee"),IFERROR(LOOKUP(2,1/($B$9:$B$90=$B91),$T$9:$T90),0)&gt;0))),ROW(),0))</f>
        <v>0</v>
      </c>
      <c r="AW91">
        <f>IF($A91="",0,IF($AV91&gt;0,MAX($AW$9:$AW$90)+1,MAX($AW$9:$AW$90)))</f>
        <v>0</v>
      </c>
      <c r="AX91">
        <f>IF($AU91="",0,IF(AND($AR91,OR(NOT(IFERROR(LOOKUP(2,1/($B$9:$B$90=$B91),$AR$9:$AR90),1)),IFERROR(LOOKUP(2,1/($B$9:$B$90=$B91),$T$9:$T90),0)=0)),ROW(),0))</f>
        <v>0</v>
      </c>
      <c r="AY91" t="str">
        <f t="shared" si="33"/>
        <v/>
      </c>
    </row>
    <row r="92" spans="1:51" ht="15" x14ac:dyDescent="0.25">
      <c r="A92" s="52" t="str">
        <f>IF(Trades!$A92="","",Trades!O92)</f>
        <v/>
      </c>
      <c r="B92" s="52" t="str">
        <f>IF(Trades!$A92="","",Trades!B92)</f>
        <v/>
      </c>
      <c r="C92" s="52" t="str">
        <f>IF(Trades!$A92="","",Trades!C92)</f>
        <v/>
      </c>
      <c r="D92" s="53" t="str">
        <f>IF(Trades!$A92="","",IF(Trades!$L92&gt;0,Trades!$L92,Trades!$C$6))</f>
        <v/>
      </c>
      <c r="E92" s="54" t="str">
        <f>IF(Trades!$A92="","",Trades!A92)</f>
        <v/>
      </c>
      <c r="F92" s="52" t="str">
        <f>IF(Trades!$A92="","",IFERROR(INDEX(Trades!$V$2:$V$14,MATCH(Trades!$E92,Trades!$U$2:$U$14,0)),""))</f>
        <v/>
      </c>
      <c r="G92" s="52" t="str">
        <f>IF(Trades!$A92="","",Trades!N92)</f>
        <v/>
      </c>
      <c r="H92" s="53" t="str">
        <f>IF(Trades!$A92="","",Trades!F92)</f>
        <v/>
      </c>
      <c r="I92" s="55" t="str">
        <f>IF(Trades!$A92="","",Trades!G92)</f>
        <v/>
      </c>
      <c r="J92" s="55" t="str">
        <f>IF(Trades!$A92="","",Trades!I92)</f>
        <v/>
      </c>
      <c r="K92" s="55" t="str">
        <f>IF(Trades!$A92="","",Trades!Q92)</f>
        <v/>
      </c>
      <c r="L92" s="53" t="str">
        <f>IF(Trades!$A92="","",Trades!F92)</f>
        <v/>
      </c>
      <c r="M92" s="55" t="str">
        <f>IF(Trades!$A92="","",Trades!M92)</f>
        <v/>
      </c>
      <c r="N92" s="55" t="str">
        <f>IF(Trades!$A92="","",Trades!R92)</f>
        <v/>
      </c>
      <c r="O92" s="55" t="str">
        <f>IF(Trades!$A92="","",Trades!J92)</f>
        <v/>
      </c>
      <c r="P92" s="54" t="str">
        <f>IF(Trades!$A92="","",Trades!H92)</f>
        <v/>
      </c>
      <c r="Q92" s="52" t="str">
        <f>IF(Trades!$A92="","",Trades!P92)</f>
        <v/>
      </c>
      <c r="R92" s="56" t="str">
        <f t="shared" si="17"/>
        <v/>
      </c>
      <c r="S92" s="56" t="str">
        <f t="shared" si="18"/>
        <v/>
      </c>
      <c r="T92" s="57" t="str">
        <f>IF(OR($A92="",$B92=""),"",IF(AND(IFERROR(LOOKUP(2,1/($B$9:$B$91=$B92),$AR$9:$AR91),1),NOT(AND(OR($F92="dividend",$F92="fee"),IFERROR(LOOKUP(2,1/($B$9:$B$91=$B92),$T$9:$T91),0)&gt;0))),IFERROR(LOOKUP(2,1/($B$9:$B$91=$B92),$T$9:$T91),0)+1,IFERROR(LOOKUP(2,1/($B$9:$B$91=$B92),$T$9:$T91),0)))</f>
        <v/>
      </c>
      <c r="U92" s="58" t="str">
        <f t="shared" si="19"/>
        <v/>
      </c>
      <c r="V92" s="58" t="str">
        <f>IF($A92="","",IF(OR($B92="",$C92="",$D92="",$E92="",$F92=""),"Missing required field",IF(COUNTIFS($A$9:$A92,$A92,$B$9:$B92,$B92)&gt;1,"Duplicate event ID",IF(AND($E92&lt;&gt;IFERROR(LOOKUP(2,1/($B$9:$B$91=$B92),$E$9:$E91),0),IFERROR(LOOKUP(2,1/($B$9:$B$91=$B92),$E$9:$E91),0)&gt;$E92),"Date out of order",IF(AND(OR($F92="buy_to_close",$F92="expire",$F92="roll",$F92="assignment",$F92="called_away"),$AF92=0),"Unknown lot",IF(OR(AND($F92="assignment",$AF92&gt;0,IF($AF92&gt;0,INDEX($AG$9:$AG$91,$AF92),"")&lt;&gt;"put"),AND($F92="called_away",$AF92&gt;0,IF($AF92&gt;0,INDEX($AG$9:$AG$91,$AF92),"")&lt;&gt;"call")),"Wrong option leg",IF(OR(AND(OR($F92="sell_put",$F92="sell_call"),OR($H92&lt;=0,$I92&lt;=0,$J92&lt;0)),AND(OR($F92="buy_to_close",$F92="expire",$F92="assignment",$F92="called_away"),OR($H92&lt;=0,$J92&lt;0)),AND($F92="roll",OR($H92&lt;=0,$I92&lt;=0,$J92&lt;0,$K92&lt;0)),AND(OR($F92="buy_shares",$F92="sell_shares"),OR($L92&lt;=0,$M92&lt;0)),AND(OR($F92="dividend",$F92="fee"),$N92&lt;0)),"Invalid value",IF(AND(OR($F92="sell_shares",$F92="called_away"),$AL92&lt;IF($F92="called_away",$AE92*$D92,$L92)),"Insufficient shares (capped)",IF(AND(OR($F92="buy_to_close",$F92="expire",$F92="roll",$F92="assignment",$F92="called_away"),$AF92&gt;0,$H92&gt;IF($AF92&gt;0,MAX(0,INDEX($AI$9:$AI$91,$AF92)-SUMIFS($AE$9:$AE$91,$G$9:$G$91,$G92,$B$9:$B$91,$B92)),0)),"Close quantity capped","OK")))))))))</f>
        <v/>
      </c>
      <c r="W92" s="59" t="str">
        <f t="shared" si="20"/>
        <v/>
      </c>
      <c r="X92" s="60" t="str">
        <f t="shared" si="21"/>
        <v/>
      </c>
      <c r="Y92" s="50" t="str">
        <f t="shared" si="22"/>
        <v/>
      </c>
      <c r="Z92" s="50" t="str">
        <f t="shared" si="23"/>
        <v/>
      </c>
      <c r="AA92" s="50" t="str">
        <f t="shared" si="24"/>
        <v/>
      </c>
      <c r="AB92" s="50" t="str">
        <f t="shared" si="25"/>
        <v/>
      </c>
      <c r="AC92" s="50" t="str">
        <f>IF($A92="","",IF($F92="assignment",IF($AF92&gt;0,INDEX($AH$9:$AH$91,$AF92),0)*$AE92*$D92,IF($F92="buy_shares",$M92*$AL92,0)))</f>
        <v/>
      </c>
      <c r="AD92" s="50" t="str">
        <f>IF($A92="","",IF($F92="called_away",IF($AF92&gt;0,INDEX($AH$9:$AH$91,$AF92),0)*$AL92,IF($F92="sell_shares",$M92*$AL92,0)))</f>
        <v/>
      </c>
      <c r="AE92" s="51" t="str">
        <f>IF($A92="","",IF(OR($F92="sell_put",$F92="sell_call"),IF(AND($H92&gt;0,$I92&gt;0,$J92&gt;=0),$H92,0),IF(OR($F92="buy_to_close",$F92="expire",$F92="roll",$F92="assignment",$F92="called_away"),IF(AND($AF92&gt;0,$H92&gt;0,IF($F92="assignment",IF($AF92&gt;0,INDEX($AG$9:$AG$91,$AF92),"")="put",TRUE),IF($F92="called_away",IF($AF92&gt;0,INDEX($AG$9:$AG$91,$AF92),"")="call",TRUE)),MIN($H92,IF($AF92&gt;0,MAX(0,INDEX($AI$9:$AI$91,$AF92)-SUMIFS($AE$9:$AE$91,$G$9:$G$91,$G92,$B$9:$B$91,$B92)),0)),0),0)))</f>
        <v/>
      </c>
      <c r="AF92" t="str">
        <f>IF($A92="","",IFERROR(MATCH(LEN($B92)&amp;":"&amp;$B92&amp;$G92,$AY$9:$AY$91,0),0))</f>
        <v/>
      </c>
      <c r="AG92" t="str">
        <f>IF($A92="","",IF($F92="sell_put","put",IF($F92="sell_call","call",IF($F92="roll",IF($AF92&gt;0,IF($AF92&gt;0,INDEX($AG$9:$AG$91,$AF92),""),""),IF($AF92&gt;0,IF($AF92&gt;0,INDEX($AG$9:$AG$91,$AF92),""),"")))))</f>
        <v/>
      </c>
      <c r="AH92" t="str">
        <f>IF($A92="","",IF(OR($F92="sell_put",$F92="sell_call",$F92="roll"),$I92,IF($AF92&gt;0,IF($AF92&gt;0,INDEX($AH$9:$AH$91,$AF92),0),0)))</f>
        <v/>
      </c>
      <c r="AI92" s="51" t="str">
        <f t="shared" si="26"/>
        <v/>
      </c>
      <c r="AJ92" s="51" t="str">
        <f>IF($A92="","",IFERROR(LOOKUP(2,1/($B$9:$B$91=$B92),$AM$9:$AM91),0))</f>
        <v/>
      </c>
      <c r="AK92" t="str">
        <f>IF($A92="","",IFERROR(LOOKUP(2,1/($B$9:$B$91=$B92),$AN$9:$AN91),0))</f>
        <v/>
      </c>
      <c r="AL92" s="51" t="str">
        <f t="shared" si="27"/>
        <v/>
      </c>
      <c r="AM92" s="51" t="str">
        <f t="shared" si="28"/>
        <v/>
      </c>
      <c r="AN92" t="str">
        <f t="shared" si="29"/>
        <v/>
      </c>
      <c r="AO92" s="50" t="str">
        <f>IF($A92="","",IFERROR(LOOKUP(2,1/($B$9:$B$91=$B92),$AO$9:$AO91),0)+IF($F92="sell_put",$I92*$AE92*$D92,IF($F92="roll",IF($AG92="put",($I92-IF($AF92&gt;0,INDEX($AH$9:$AH$91,$AF92),0))*$AE92*$D92,0),IF(AND(OR($F92="buy_to_close",$F92="expire",$F92="roll",$F92="assignment",$F92="called_away"),$F92&lt;&gt;"roll",$AG92="put"),-IF($AF92&gt;0,INDEX($AH$9:$AH$91,$AF92),0)*$AE92*$D92,0))))</f>
        <v/>
      </c>
      <c r="AP92" s="51" t="str">
        <f>IF($A92="","",IFERROR(LOOKUP(2,1/($B$9:$B$91=$B92),$AP$9:$AP91),0)+IF($F92="sell_put",$AE92*$D92,IF(AND(OR($F92="buy_to_close",$F92="expire",$F92="roll",$F92="assignment",$F92="called_away"),$F92&lt;&gt;"roll",$AG92="put"),-$AE92*$D92,0)))</f>
        <v/>
      </c>
      <c r="AQ92" s="51" t="str">
        <f>IF($A92="","",IFERROR(LOOKUP(2,1/($B$9:$B$91=$B92),$AQ$9:$AQ91),0)+IF(OR($F92="sell_put",$F92="sell_call"),$AE92,0)-IF(AND(OR($F92="buy_to_close",$F92="expire",$F92="roll",$F92="assignment",$F92="called_away"),$F92&lt;&gt;"roll"),$AE92,0))</f>
        <v/>
      </c>
      <c r="AR92" t="str">
        <f t="shared" si="30"/>
        <v/>
      </c>
      <c r="AS92" s="50" t="str">
        <f t="shared" si="31"/>
        <v/>
      </c>
      <c r="AT92" s="50" t="str">
        <f>IF($A92="","",MAX(IF($T92=IFERROR(LOOKUP(2,1/($B$9:$B$91=$B92),$T$9:$T91),0),IFERROR(LOOKUP(2,1/($B$9:$B$91=$B92),$AT$9:$AT91),0),0),$AS92))</f>
        <v/>
      </c>
      <c r="AU92" t="str">
        <f t="shared" si="32"/>
        <v/>
      </c>
      <c r="AV92" s="51">
        <f>IF($AU92="",0,IF(AND(IFERROR(LOOKUP(2,1/($B$9:$B$91=$B92),$AR$9:$AR91),1),NOT(AND(OR($F92="dividend",$F92="fee"),IFERROR(LOOKUP(2,1/($B$9:$B$91=$B92),$T$9:$T91),0)&gt;0))),ROW(),0))</f>
        <v>0</v>
      </c>
      <c r="AW92">
        <f>IF($A92="",0,IF($AV92&gt;0,MAX($AW$9:$AW$91)+1,MAX($AW$9:$AW$91)))</f>
        <v>0</v>
      </c>
      <c r="AX92">
        <f>IF($AU92="",0,IF(AND($AR92,OR(NOT(IFERROR(LOOKUP(2,1/($B$9:$B$91=$B92),$AR$9:$AR91),1)),IFERROR(LOOKUP(2,1/($B$9:$B$91=$B92),$T$9:$T91),0)=0)),ROW(),0))</f>
        <v>0</v>
      </c>
      <c r="AY92" t="str">
        <f t="shared" si="33"/>
        <v/>
      </c>
    </row>
    <row r="93" spans="1:51" ht="15" x14ac:dyDescent="0.25">
      <c r="A93" s="41" t="str">
        <f>IF(Trades!$A93="","",Trades!O93)</f>
        <v/>
      </c>
      <c r="B93" s="41" t="str">
        <f>IF(Trades!$A93="","",Trades!B93)</f>
        <v/>
      </c>
      <c r="C93" s="41" t="str">
        <f>IF(Trades!$A93="","",Trades!C93)</f>
        <v/>
      </c>
      <c r="D93" s="42" t="str">
        <f>IF(Trades!$A93="","",IF(Trades!$L93&gt;0,Trades!$L93,Trades!$C$6))</f>
        <v/>
      </c>
      <c r="E93" s="43" t="str">
        <f>IF(Trades!$A93="","",Trades!A93)</f>
        <v/>
      </c>
      <c r="F93" s="41" t="str">
        <f>IF(Trades!$A93="","",IFERROR(INDEX(Trades!$V$2:$V$14,MATCH(Trades!$E93,Trades!$U$2:$U$14,0)),""))</f>
        <v/>
      </c>
      <c r="G93" s="41" t="str">
        <f>IF(Trades!$A93="","",Trades!N93)</f>
        <v/>
      </c>
      <c r="H93" s="42" t="str">
        <f>IF(Trades!$A93="","",Trades!F93)</f>
        <v/>
      </c>
      <c r="I93" s="44" t="str">
        <f>IF(Trades!$A93="","",Trades!G93)</f>
        <v/>
      </c>
      <c r="J93" s="44" t="str">
        <f>IF(Trades!$A93="","",Trades!I93)</f>
        <v/>
      </c>
      <c r="K93" s="44" t="str">
        <f>IF(Trades!$A93="","",Trades!Q93)</f>
        <v/>
      </c>
      <c r="L93" s="42" t="str">
        <f>IF(Trades!$A93="","",Trades!F93)</f>
        <v/>
      </c>
      <c r="M93" s="44" t="str">
        <f>IF(Trades!$A93="","",Trades!M93)</f>
        <v/>
      </c>
      <c r="N93" s="44" t="str">
        <f>IF(Trades!$A93="","",Trades!R93)</f>
        <v/>
      </c>
      <c r="O93" s="44" t="str">
        <f>IF(Trades!$A93="","",Trades!J93)</f>
        <v/>
      </c>
      <c r="P93" s="43" t="str">
        <f>IF(Trades!$A93="","",Trades!H93)</f>
        <v/>
      </c>
      <c r="Q93" s="41" t="str">
        <f>IF(Trades!$A93="","",Trades!P93)</f>
        <v/>
      </c>
      <c r="R93" s="45" t="str">
        <f t="shared" si="17"/>
        <v/>
      </c>
      <c r="S93" s="45" t="str">
        <f t="shared" si="18"/>
        <v/>
      </c>
      <c r="T93" s="46" t="str">
        <f>IF(OR($A93="",$B93=""),"",IF(AND(IFERROR(LOOKUP(2,1/($B$9:$B$92=$B93),$AR$9:$AR92),1),NOT(AND(OR($F93="dividend",$F93="fee"),IFERROR(LOOKUP(2,1/($B$9:$B$92=$B93),$T$9:$T92),0)&gt;0))),IFERROR(LOOKUP(2,1/($B$9:$B$92=$B93),$T$9:$T92),0)+1,IFERROR(LOOKUP(2,1/($B$9:$B$92=$B93),$T$9:$T92),0)))</f>
        <v/>
      </c>
      <c r="U93" s="47" t="str">
        <f t="shared" si="19"/>
        <v/>
      </c>
      <c r="V93" s="47" t="str">
        <f>IF($A93="","",IF(OR($B93="",$C93="",$D93="",$E93="",$F93=""),"Missing required field",IF(COUNTIFS($A$9:$A93,$A93,$B$9:$B93,$B93)&gt;1,"Duplicate event ID",IF(AND($E93&lt;&gt;IFERROR(LOOKUP(2,1/($B$9:$B$92=$B93),$E$9:$E92),0),IFERROR(LOOKUP(2,1/($B$9:$B$92=$B93),$E$9:$E92),0)&gt;$E93),"Date out of order",IF(AND(OR($F93="buy_to_close",$F93="expire",$F93="roll",$F93="assignment",$F93="called_away"),$AF93=0),"Unknown lot",IF(OR(AND($F93="assignment",$AF93&gt;0,IF($AF93&gt;0,INDEX($AG$9:$AG$92,$AF93),"")&lt;&gt;"put"),AND($F93="called_away",$AF93&gt;0,IF($AF93&gt;0,INDEX($AG$9:$AG$92,$AF93),"")&lt;&gt;"call")),"Wrong option leg",IF(OR(AND(OR($F93="sell_put",$F93="sell_call"),OR($H93&lt;=0,$I93&lt;=0,$J93&lt;0)),AND(OR($F93="buy_to_close",$F93="expire",$F93="assignment",$F93="called_away"),OR($H93&lt;=0,$J93&lt;0)),AND($F93="roll",OR($H93&lt;=0,$I93&lt;=0,$J93&lt;0,$K93&lt;0)),AND(OR($F93="buy_shares",$F93="sell_shares"),OR($L93&lt;=0,$M93&lt;0)),AND(OR($F93="dividend",$F93="fee"),$N93&lt;0)),"Invalid value",IF(AND(OR($F93="sell_shares",$F93="called_away"),$AL93&lt;IF($F93="called_away",$AE93*$D93,$L93)),"Insufficient shares (capped)",IF(AND(OR($F93="buy_to_close",$F93="expire",$F93="roll",$F93="assignment",$F93="called_away"),$AF93&gt;0,$H93&gt;IF($AF93&gt;0,MAX(0,INDEX($AI$9:$AI$92,$AF93)-SUMIFS($AE$9:$AE$92,$G$9:$G$92,$G93,$B$9:$B$92,$B93)),0)),"Close quantity capped","OK")))))))))</f>
        <v/>
      </c>
      <c r="W93" s="48" t="str">
        <f t="shared" si="20"/>
        <v/>
      </c>
      <c r="X93" s="49" t="str">
        <f t="shared" si="21"/>
        <v/>
      </c>
      <c r="Y93" s="50" t="str">
        <f t="shared" si="22"/>
        <v/>
      </c>
      <c r="Z93" s="50" t="str">
        <f t="shared" si="23"/>
        <v/>
      </c>
      <c r="AA93" s="50" t="str">
        <f t="shared" si="24"/>
        <v/>
      </c>
      <c r="AB93" s="50" t="str">
        <f t="shared" si="25"/>
        <v/>
      </c>
      <c r="AC93" s="50" t="str">
        <f>IF($A93="","",IF($F93="assignment",IF($AF93&gt;0,INDEX($AH$9:$AH$92,$AF93),0)*$AE93*$D93,IF($F93="buy_shares",$M93*$AL93,0)))</f>
        <v/>
      </c>
      <c r="AD93" s="50" t="str">
        <f>IF($A93="","",IF($F93="called_away",IF($AF93&gt;0,INDEX($AH$9:$AH$92,$AF93),0)*$AL93,IF($F93="sell_shares",$M93*$AL93,0)))</f>
        <v/>
      </c>
      <c r="AE93" s="51" t="str">
        <f>IF($A93="","",IF(OR($F93="sell_put",$F93="sell_call"),IF(AND($H93&gt;0,$I93&gt;0,$J93&gt;=0),$H93,0),IF(OR($F93="buy_to_close",$F93="expire",$F93="roll",$F93="assignment",$F93="called_away"),IF(AND($AF93&gt;0,$H93&gt;0,IF($F93="assignment",IF($AF93&gt;0,INDEX($AG$9:$AG$92,$AF93),"")="put",TRUE),IF($F93="called_away",IF($AF93&gt;0,INDEX($AG$9:$AG$92,$AF93),"")="call",TRUE)),MIN($H93,IF($AF93&gt;0,MAX(0,INDEX($AI$9:$AI$92,$AF93)-SUMIFS($AE$9:$AE$92,$G$9:$G$92,$G93,$B$9:$B$92,$B93)),0)),0),0)))</f>
        <v/>
      </c>
      <c r="AF93" t="str">
        <f>IF($A93="","",IFERROR(MATCH(LEN($B93)&amp;":"&amp;$B93&amp;$G93,$AY$9:$AY$92,0),0))</f>
        <v/>
      </c>
      <c r="AG93" t="str">
        <f>IF($A93="","",IF($F93="sell_put","put",IF($F93="sell_call","call",IF($F93="roll",IF($AF93&gt;0,IF($AF93&gt;0,INDEX($AG$9:$AG$92,$AF93),""),""),IF($AF93&gt;0,IF($AF93&gt;0,INDEX($AG$9:$AG$92,$AF93),""),"")))))</f>
        <v/>
      </c>
      <c r="AH93" t="str">
        <f>IF($A93="","",IF(OR($F93="sell_put",$F93="sell_call",$F93="roll"),$I93,IF($AF93&gt;0,IF($AF93&gt;0,INDEX($AH$9:$AH$92,$AF93),0),0)))</f>
        <v/>
      </c>
      <c r="AI93" s="51" t="str">
        <f t="shared" si="26"/>
        <v/>
      </c>
      <c r="AJ93" s="51" t="str">
        <f>IF($A93="","",IFERROR(LOOKUP(2,1/($B$9:$B$92=$B93),$AM$9:$AM92),0))</f>
        <v/>
      </c>
      <c r="AK93" t="str">
        <f>IF($A93="","",IFERROR(LOOKUP(2,1/($B$9:$B$92=$B93),$AN$9:$AN92),0))</f>
        <v/>
      </c>
      <c r="AL93" s="51" t="str">
        <f t="shared" si="27"/>
        <v/>
      </c>
      <c r="AM93" s="51" t="str">
        <f t="shared" si="28"/>
        <v/>
      </c>
      <c r="AN93" t="str">
        <f t="shared" si="29"/>
        <v/>
      </c>
      <c r="AO93" s="50" t="str">
        <f>IF($A93="","",IFERROR(LOOKUP(2,1/($B$9:$B$92=$B93),$AO$9:$AO92),0)+IF($F93="sell_put",$I93*$AE93*$D93,IF($F93="roll",IF($AG93="put",($I93-IF($AF93&gt;0,INDEX($AH$9:$AH$92,$AF93),0))*$AE93*$D93,0),IF(AND(OR($F93="buy_to_close",$F93="expire",$F93="roll",$F93="assignment",$F93="called_away"),$F93&lt;&gt;"roll",$AG93="put"),-IF($AF93&gt;0,INDEX($AH$9:$AH$92,$AF93),0)*$AE93*$D93,0))))</f>
        <v/>
      </c>
      <c r="AP93" s="51" t="str">
        <f>IF($A93="","",IFERROR(LOOKUP(2,1/($B$9:$B$92=$B93),$AP$9:$AP92),0)+IF($F93="sell_put",$AE93*$D93,IF(AND(OR($F93="buy_to_close",$F93="expire",$F93="roll",$F93="assignment",$F93="called_away"),$F93&lt;&gt;"roll",$AG93="put"),-$AE93*$D93,0)))</f>
        <v/>
      </c>
      <c r="AQ93" s="51" t="str">
        <f>IF($A93="","",IFERROR(LOOKUP(2,1/($B$9:$B$92=$B93),$AQ$9:$AQ92),0)+IF(OR($F93="sell_put",$F93="sell_call"),$AE93,0)-IF(AND(OR($F93="buy_to_close",$F93="expire",$F93="roll",$F93="assignment",$F93="called_away"),$F93&lt;&gt;"roll"),$AE93,0))</f>
        <v/>
      </c>
      <c r="AR93" t="str">
        <f t="shared" si="30"/>
        <v/>
      </c>
      <c r="AS93" s="50" t="str">
        <f t="shared" si="31"/>
        <v/>
      </c>
      <c r="AT93" s="50" t="str">
        <f>IF($A93="","",MAX(IF($T93=IFERROR(LOOKUP(2,1/($B$9:$B$92=$B93),$T$9:$T92),0),IFERROR(LOOKUP(2,1/($B$9:$B$92=$B93),$AT$9:$AT92),0),0),$AS93))</f>
        <v/>
      </c>
      <c r="AU93" t="str">
        <f t="shared" si="32"/>
        <v/>
      </c>
      <c r="AV93" s="51">
        <f>IF($AU93="",0,IF(AND(IFERROR(LOOKUP(2,1/($B$9:$B$92=$B93),$AR$9:$AR92),1),NOT(AND(OR($F93="dividend",$F93="fee"),IFERROR(LOOKUP(2,1/($B$9:$B$92=$B93),$T$9:$T92),0)&gt;0))),ROW(),0))</f>
        <v>0</v>
      </c>
      <c r="AW93">
        <f>IF($A93="",0,IF($AV93&gt;0,MAX($AW$9:$AW$92)+1,MAX($AW$9:$AW$92)))</f>
        <v>0</v>
      </c>
      <c r="AX93">
        <f>IF($AU93="",0,IF(AND($AR93,OR(NOT(IFERROR(LOOKUP(2,1/($B$9:$B$92=$B93),$AR$9:$AR92),1)),IFERROR(LOOKUP(2,1/($B$9:$B$92=$B93),$T$9:$T92),0)=0)),ROW(),0))</f>
        <v>0</v>
      </c>
      <c r="AY93" t="str">
        <f t="shared" si="33"/>
        <v/>
      </c>
    </row>
    <row r="94" spans="1:51" ht="15" x14ac:dyDescent="0.25">
      <c r="A94" s="52" t="str">
        <f>IF(Trades!$A94="","",Trades!O94)</f>
        <v/>
      </c>
      <c r="B94" s="52" t="str">
        <f>IF(Trades!$A94="","",Trades!B94)</f>
        <v/>
      </c>
      <c r="C94" s="52" t="str">
        <f>IF(Trades!$A94="","",Trades!C94)</f>
        <v/>
      </c>
      <c r="D94" s="53" t="str">
        <f>IF(Trades!$A94="","",IF(Trades!$L94&gt;0,Trades!$L94,Trades!$C$6))</f>
        <v/>
      </c>
      <c r="E94" s="54" t="str">
        <f>IF(Trades!$A94="","",Trades!A94)</f>
        <v/>
      </c>
      <c r="F94" s="52" t="str">
        <f>IF(Trades!$A94="","",IFERROR(INDEX(Trades!$V$2:$V$14,MATCH(Trades!$E94,Trades!$U$2:$U$14,0)),""))</f>
        <v/>
      </c>
      <c r="G94" s="52" t="str">
        <f>IF(Trades!$A94="","",Trades!N94)</f>
        <v/>
      </c>
      <c r="H94" s="53" t="str">
        <f>IF(Trades!$A94="","",Trades!F94)</f>
        <v/>
      </c>
      <c r="I94" s="55" t="str">
        <f>IF(Trades!$A94="","",Trades!G94)</f>
        <v/>
      </c>
      <c r="J94" s="55" t="str">
        <f>IF(Trades!$A94="","",Trades!I94)</f>
        <v/>
      </c>
      <c r="K94" s="55" t="str">
        <f>IF(Trades!$A94="","",Trades!Q94)</f>
        <v/>
      </c>
      <c r="L94" s="53" t="str">
        <f>IF(Trades!$A94="","",Trades!F94)</f>
        <v/>
      </c>
      <c r="M94" s="55" t="str">
        <f>IF(Trades!$A94="","",Trades!M94)</f>
        <v/>
      </c>
      <c r="N94" s="55" t="str">
        <f>IF(Trades!$A94="","",Trades!R94)</f>
        <v/>
      </c>
      <c r="O94" s="55" t="str">
        <f>IF(Trades!$A94="","",Trades!J94)</f>
        <v/>
      </c>
      <c r="P94" s="54" t="str">
        <f>IF(Trades!$A94="","",Trades!H94)</f>
        <v/>
      </c>
      <c r="Q94" s="52" t="str">
        <f>IF(Trades!$A94="","",Trades!P94)</f>
        <v/>
      </c>
      <c r="R94" s="56" t="str">
        <f t="shared" si="17"/>
        <v/>
      </c>
      <c r="S94" s="56" t="str">
        <f t="shared" si="18"/>
        <v/>
      </c>
      <c r="T94" s="57" t="str">
        <f>IF(OR($A94="",$B94=""),"",IF(AND(IFERROR(LOOKUP(2,1/($B$9:$B$93=$B94),$AR$9:$AR93),1),NOT(AND(OR($F94="dividend",$F94="fee"),IFERROR(LOOKUP(2,1/($B$9:$B$93=$B94),$T$9:$T93),0)&gt;0))),IFERROR(LOOKUP(2,1/($B$9:$B$93=$B94),$T$9:$T93),0)+1,IFERROR(LOOKUP(2,1/($B$9:$B$93=$B94),$T$9:$T93),0)))</f>
        <v/>
      </c>
      <c r="U94" s="58" t="str">
        <f t="shared" si="19"/>
        <v/>
      </c>
      <c r="V94" s="58" t="str">
        <f>IF($A94="","",IF(OR($B94="",$C94="",$D94="",$E94="",$F94=""),"Missing required field",IF(COUNTIFS($A$9:$A94,$A94,$B$9:$B94,$B94)&gt;1,"Duplicate event ID",IF(AND($E94&lt;&gt;IFERROR(LOOKUP(2,1/($B$9:$B$93=$B94),$E$9:$E93),0),IFERROR(LOOKUP(2,1/($B$9:$B$93=$B94),$E$9:$E93),0)&gt;$E94),"Date out of order",IF(AND(OR($F94="buy_to_close",$F94="expire",$F94="roll",$F94="assignment",$F94="called_away"),$AF94=0),"Unknown lot",IF(OR(AND($F94="assignment",$AF94&gt;0,IF($AF94&gt;0,INDEX($AG$9:$AG$93,$AF94),"")&lt;&gt;"put"),AND($F94="called_away",$AF94&gt;0,IF($AF94&gt;0,INDEX($AG$9:$AG$93,$AF94),"")&lt;&gt;"call")),"Wrong option leg",IF(OR(AND(OR($F94="sell_put",$F94="sell_call"),OR($H94&lt;=0,$I94&lt;=0,$J94&lt;0)),AND(OR($F94="buy_to_close",$F94="expire",$F94="assignment",$F94="called_away"),OR($H94&lt;=0,$J94&lt;0)),AND($F94="roll",OR($H94&lt;=0,$I94&lt;=0,$J94&lt;0,$K94&lt;0)),AND(OR($F94="buy_shares",$F94="sell_shares"),OR($L94&lt;=0,$M94&lt;0)),AND(OR($F94="dividend",$F94="fee"),$N94&lt;0)),"Invalid value",IF(AND(OR($F94="sell_shares",$F94="called_away"),$AL94&lt;IF($F94="called_away",$AE94*$D94,$L94)),"Insufficient shares (capped)",IF(AND(OR($F94="buy_to_close",$F94="expire",$F94="roll",$F94="assignment",$F94="called_away"),$AF94&gt;0,$H94&gt;IF($AF94&gt;0,MAX(0,INDEX($AI$9:$AI$93,$AF94)-SUMIFS($AE$9:$AE$93,$G$9:$G$93,$G94,$B$9:$B$93,$B94)),0)),"Close quantity capped","OK")))))))))</f>
        <v/>
      </c>
      <c r="W94" s="59" t="str">
        <f t="shared" si="20"/>
        <v/>
      </c>
      <c r="X94" s="60" t="str">
        <f t="shared" si="21"/>
        <v/>
      </c>
      <c r="Y94" s="50" t="str">
        <f t="shared" si="22"/>
        <v/>
      </c>
      <c r="Z94" s="50" t="str">
        <f t="shared" si="23"/>
        <v/>
      </c>
      <c r="AA94" s="50" t="str">
        <f t="shared" si="24"/>
        <v/>
      </c>
      <c r="AB94" s="50" t="str">
        <f t="shared" si="25"/>
        <v/>
      </c>
      <c r="AC94" s="50" t="str">
        <f>IF($A94="","",IF($F94="assignment",IF($AF94&gt;0,INDEX($AH$9:$AH$93,$AF94),0)*$AE94*$D94,IF($F94="buy_shares",$M94*$AL94,0)))</f>
        <v/>
      </c>
      <c r="AD94" s="50" t="str">
        <f>IF($A94="","",IF($F94="called_away",IF($AF94&gt;0,INDEX($AH$9:$AH$93,$AF94),0)*$AL94,IF($F94="sell_shares",$M94*$AL94,0)))</f>
        <v/>
      </c>
      <c r="AE94" s="51" t="str">
        <f>IF($A94="","",IF(OR($F94="sell_put",$F94="sell_call"),IF(AND($H94&gt;0,$I94&gt;0,$J94&gt;=0),$H94,0),IF(OR($F94="buy_to_close",$F94="expire",$F94="roll",$F94="assignment",$F94="called_away"),IF(AND($AF94&gt;0,$H94&gt;0,IF($F94="assignment",IF($AF94&gt;0,INDEX($AG$9:$AG$93,$AF94),"")="put",TRUE),IF($F94="called_away",IF($AF94&gt;0,INDEX($AG$9:$AG$93,$AF94),"")="call",TRUE)),MIN($H94,IF($AF94&gt;0,MAX(0,INDEX($AI$9:$AI$93,$AF94)-SUMIFS($AE$9:$AE$93,$G$9:$G$93,$G94,$B$9:$B$93,$B94)),0)),0),0)))</f>
        <v/>
      </c>
      <c r="AF94" t="str">
        <f>IF($A94="","",IFERROR(MATCH(LEN($B94)&amp;":"&amp;$B94&amp;$G94,$AY$9:$AY$93,0),0))</f>
        <v/>
      </c>
      <c r="AG94" t="str">
        <f>IF($A94="","",IF($F94="sell_put","put",IF($F94="sell_call","call",IF($F94="roll",IF($AF94&gt;0,IF($AF94&gt;0,INDEX($AG$9:$AG$93,$AF94),""),""),IF($AF94&gt;0,IF($AF94&gt;0,INDEX($AG$9:$AG$93,$AF94),""),"")))))</f>
        <v/>
      </c>
      <c r="AH94" t="str">
        <f>IF($A94="","",IF(OR($F94="sell_put",$F94="sell_call",$F94="roll"),$I94,IF($AF94&gt;0,IF($AF94&gt;0,INDEX($AH$9:$AH$93,$AF94),0),0)))</f>
        <v/>
      </c>
      <c r="AI94" s="51" t="str">
        <f t="shared" si="26"/>
        <v/>
      </c>
      <c r="AJ94" s="51" t="str">
        <f>IF($A94="","",IFERROR(LOOKUP(2,1/($B$9:$B$93=$B94),$AM$9:$AM93),0))</f>
        <v/>
      </c>
      <c r="AK94" t="str">
        <f>IF($A94="","",IFERROR(LOOKUP(2,1/($B$9:$B$93=$B94),$AN$9:$AN93),0))</f>
        <v/>
      </c>
      <c r="AL94" s="51" t="str">
        <f t="shared" si="27"/>
        <v/>
      </c>
      <c r="AM94" s="51" t="str">
        <f t="shared" si="28"/>
        <v/>
      </c>
      <c r="AN94" t="str">
        <f t="shared" si="29"/>
        <v/>
      </c>
      <c r="AO94" s="50" t="str">
        <f>IF($A94="","",IFERROR(LOOKUP(2,1/($B$9:$B$93=$B94),$AO$9:$AO93),0)+IF($F94="sell_put",$I94*$AE94*$D94,IF($F94="roll",IF($AG94="put",($I94-IF($AF94&gt;0,INDEX($AH$9:$AH$93,$AF94),0))*$AE94*$D94,0),IF(AND(OR($F94="buy_to_close",$F94="expire",$F94="roll",$F94="assignment",$F94="called_away"),$F94&lt;&gt;"roll",$AG94="put"),-IF($AF94&gt;0,INDEX($AH$9:$AH$93,$AF94),0)*$AE94*$D94,0))))</f>
        <v/>
      </c>
      <c r="AP94" s="51" t="str">
        <f>IF($A94="","",IFERROR(LOOKUP(2,1/($B$9:$B$93=$B94),$AP$9:$AP93),0)+IF($F94="sell_put",$AE94*$D94,IF(AND(OR($F94="buy_to_close",$F94="expire",$F94="roll",$F94="assignment",$F94="called_away"),$F94&lt;&gt;"roll",$AG94="put"),-$AE94*$D94,0)))</f>
        <v/>
      </c>
      <c r="AQ94" s="51" t="str">
        <f>IF($A94="","",IFERROR(LOOKUP(2,1/($B$9:$B$93=$B94),$AQ$9:$AQ93),0)+IF(OR($F94="sell_put",$F94="sell_call"),$AE94,0)-IF(AND(OR($F94="buy_to_close",$F94="expire",$F94="roll",$F94="assignment",$F94="called_away"),$F94&lt;&gt;"roll"),$AE94,0))</f>
        <v/>
      </c>
      <c r="AR94" t="str">
        <f t="shared" si="30"/>
        <v/>
      </c>
      <c r="AS94" s="50" t="str">
        <f t="shared" si="31"/>
        <v/>
      </c>
      <c r="AT94" s="50" t="str">
        <f>IF($A94="","",MAX(IF($T94=IFERROR(LOOKUP(2,1/($B$9:$B$93=$B94),$T$9:$T93),0),IFERROR(LOOKUP(2,1/($B$9:$B$93=$B94),$AT$9:$AT93),0),0),$AS94))</f>
        <v/>
      </c>
      <c r="AU94" t="str">
        <f t="shared" si="32"/>
        <v/>
      </c>
      <c r="AV94" s="51">
        <f>IF($AU94="",0,IF(AND(IFERROR(LOOKUP(2,1/($B$9:$B$93=$B94),$AR$9:$AR93),1),NOT(AND(OR($F94="dividend",$F94="fee"),IFERROR(LOOKUP(2,1/($B$9:$B$93=$B94),$T$9:$T93),0)&gt;0))),ROW(),0))</f>
        <v>0</v>
      </c>
      <c r="AW94">
        <f>IF($A94="",0,IF($AV94&gt;0,MAX($AW$9:$AW$93)+1,MAX($AW$9:$AW$93)))</f>
        <v>0</v>
      </c>
      <c r="AX94">
        <f>IF($AU94="",0,IF(AND($AR94,OR(NOT(IFERROR(LOOKUP(2,1/($B$9:$B$93=$B94),$AR$9:$AR93),1)),IFERROR(LOOKUP(2,1/($B$9:$B$93=$B94),$T$9:$T93),0)=0)),ROW(),0))</f>
        <v>0</v>
      </c>
      <c r="AY94" t="str">
        <f t="shared" si="33"/>
        <v/>
      </c>
    </row>
    <row r="95" spans="1:51" ht="15" x14ac:dyDescent="0.25">
      <c r="A95" s="41" t="str">
        <f>IF(Trades!$A95="","",Trades!O95)</f>
        <v/>
      </c>
      <c r="B95" s="41" t="str">
        <f>IF(Trades!$A95="","",Trades!B95)</f>
        <v/>
      </c>
      <c r="C95" s="41" t="str">
        <f>IF(Trades!$A95="","",Trades!C95)</f>
        <v/>
      </c>
      <c r="D95" s="42" t="str">
        <f>IF(Trades!$A95="","",IF(Trades!$L95&gt;0,Trades!$L95,Trades!$C$6))</f>
        <v/>
      </c>
      <c r="E95" s="43" t="str">
        <f>IF(Trades!$A95="","",Trades!A95)</f>
        <v/>
      </c>
      <c r="F95" s="41" t="str">
        <f>IF(Trades!$A95="","",IFERROR(INDEX(Trades!$V$2:$V$14,MATCH(Trades!$E95,Trades!$U$2:$U$14,0)),""))</f>
        <v/>
      </c>
      <c r="G95" s="41" t="str">
        <f>IF(Trades!$A95="","",Trades!N95)</f>
        <v/>
      </c>
      <c r="H95" s="42" t="str">
        <f>IF(Trades!$A95="","",Trades!F95)</f>
        <v/>
      </c>
      <c r="I95" s="44" t="str">
        <f>IF(Trades!$A95="","",Trades!G95)</f>
        <v/>
      </c>
      <c r="J95" s="44" t="str">
        <f>IF(Trades!$A95="","",Trades!I95)</f>
        <v/>
      </c>
      <c r="K95" s="44" t="str">
        <f>IF(Trades!$A95="","",Trades!Q95)</f>
        <v/>
      </c>
      <c r="L95" s="42" t="str">
        <f>IF(Trades!$A95="","",Trades!F95)</f>
        <v/>
      </c>
      <c r="M95" s="44" t="str">
        <f>IF(Trades!$A95="","",Trades!M95)</f>
        <v/>
      </c>
      <c r="N95" s="44" t="str">
        <f>IF(Trades!$A95="","",Trades!R95)</f>
        <v/>
      </c>
      <c r="O95" s="44" t="str">
        <f>IF(Trades!$A95="","",Trades!J95)</f>
        <v/>
      </c>
      <c r="P95" s="43" t="str">
        <f>IF(Trades!$A95="","",Trades!H95)</f>
        <v/>
      </c>
      <c r="Q95" s="41" t="str">
        <f>IF(Trades!$A95="","",Trades!P95)</f>
        <v/>
      </c>
      <c r="R95" s="45" t="str">
        <f t="shared" si="17"/>
        <v/>
      </c>
      <c r="S95" s="45" t="str">
        <f t="shared" si="18"/>
        <v/>
      </c>
      <c r="T95" s="46" t="str">
        <f>IF(OR($A95="",$B95=""),"",IF(AND(IFERROR(LOOKUP(2,1/($B$9:$B$94=$B95),$AR$9:$AR94),1),NOT(AND(OR($F95="dividend",$F95="fee"),IFERROR(LOOKUP(2,1/($B$9:$B$94=$B95),$T$9:$T94),0)&gt;0))),IFERROR(LOOKUP(2,1/($B$9:$B$94=$B95),$T$9:$T94),0)+1,IFERROR(LOOKUP(2,1/($B$9:$B$94=$B95),$T$9:$T94),0)))</f>
        <v/>
      </c>
      <c r="U95" s="47" t="str">
        <f t="shared" si="19"/>
        <v/>
      </c>
      <c r="V95" s="47" t="str">
        <f>IF($A95="","",IF(OR($B95="",$C95="",$D95="",$E95="",$F95=""),"Missing required field",IF(COUNTIFS($A$9:$A95,$A95,$B$9:$B95,$B95)&gt;1,"Duplicate event ID",IF(AND($E95&lt;&gt;IFERROR(LOOKUP(2,1/($B$9:$B$94=$B95),$E$9:$E94),0),IFERROR(LOOKUP(2,1/($B$9:$B$94=$B95),$E$9:$E94),0)&gt;$E95),"Date out of order",IF(AND(OR($F95="buy_to_close",$F95="expire",$F95="roll",$F95="assignment",$F95="called_away"),$AF95=0),"Unknown lot",IF(OR(AND($F95="assignment",$AF95&gt;0,IF($AF95&gt;0,INDEX($AG$9:$AG$94,$AF95),"")&lt;&gt;"put"),AND($F95="called_away",$AF95&gt;0,IF($AF95&gt;0,INDEX($AG$9:$AG$94,$AF95),"")&lt;&gt;"call")),"Wrong option leg",IF(OR(AND(OR($F95="sell_put",$F95="sell_call"),OR($H95&lt;=0,$I95&lt;=0,$J95&lt;0)),AND(OR($F95="buy_to_close",$F95="expire",$F95="assignment",$F95="called_away"),OR($H95&lt;=0,$J95&lt;0)),AND($F95="roll",OR($H95&lt;=0,$I95&lt;=0,$J95&lt;0,$K95&lt;0)),AND(OR($F95="buy_shares",$F95="sell_shares"),OR($L95&lt;=0,$M95&lt;0)),AND(OR($F95="dividend",$F95="fee"),$N95&lt;0)),"Invalid value",IF(AND(OR($F95="sell_shares",$F95="called_away"),$AL95&lt;IF($F95="called_away",$AE95*$D95,$L95)),"Insufficient shares (capped)",IF(AND(OR($F95="buy_to_close",$F95="expire",$F95="roll",$F95="assignment",$F95="called_away"),$AF95&gt;0,$H95&gt;IF($AF95&gt;0,MAX(0,INDEX($AI$9:$AI$94,$AF95)-SUMIFS($AE$9:$AE$94,$G$9:$G$94,$G95,$B$9:$B$94,$B95)),0)),"Close quantity capped","OK")))))))))</f>
        <v/>
      </c>
      <c r="W95" s="48" t="str">
        <f t="shared" si="20"/>
        <v/>
      </c>
      <c r="X95" s="49" t="str">
        <f t="shared" si="21"/>
        <v/>
      </c>
      <c r="Y95" s="50" t="str">
        <f t="shared" si="22"/>
        <v/>
      </c>
      <c r="Z95" s="50" t="str">
        <f t="shared" si="23"/>
        <v/>
      </c>
      <c r="AA95" s="50" t="str">
        <f t="shared" si="24"/>
        <v/>
      </c>
      <c r="AB95" s="50" t="str">
        <f t="shared" si="25"/>
        <v/>
      </c>
      <c r="AC95" s="50" t="str">
        <f>IF($A95="","",IF($F95="assignment",IF($AF95&gt;0,INDEX($AH$9:$AH$94,$AF95),0)*$AE95*$D95,IF($F95="buy_shares",$M95*$AL95,0)))</f>
        <v/>
      </c>
      <c r="AD95" s="50" t="str">
        <f>IF($A95="","",IF($F95="called_away",IF($AF95&gt;0,INDEX($AH$9:$AH$94,$AF95),0)*$AL95,IF($F95="sell_shares",$M95*$AL95,0)))</f>
        <v/>
      </c>
      <c r="AE95" s="51" t="str">
        <f>IF($A95="","",IF(OR($F95="sell_put",$F95="sell_call"),IF(AND($H95&gt;0,$I95&gt;0,$J95&gt;=0),$H95,0),IF(OR($F95="buy_to_close",$F95="expire",$F95="roll",$F95="assignment",$F95="called_away"),IF(AND($AF95&gt;0,$H95&gt;0,IF($F95="assignment",IF($AF95&gt;0,INDEX($AG$9:$AG$94,$AF95),"")="put",TRUE),IF($F95="called_away",IF($AF95&gt;0,INDEX($AG$9:$AG$94,$AF95),"")="call",TRUE)),MIN($H95,IF($AF95&gt;0,MAX(0,INDEX($AI$9:$AI$94,$AF95)-SUMIFS($AE$9:$AE$94,$G$9:$G$94,$G95,$B$9:$B$94,$B95)),0)),0),0)))</f>
        <v/>
      </c>
      <c r="AF95" t="str">
        <f>IF($A95="","",IFERROR(MATCH(LEN($B95)&amp;":"&amp;$B95&amp;$G95,$AY$9:$AY$94,0),0))</f>
        <v/>
      </c>
      <c r="AG95" t="str">
        <f>IF($A95="","",IF($F95="sell_put","put",IF($F95="sell_call","call",IF($F95="roll",IF($AF95&gt;0,IF($AF95&gt;0,INDEX($AG$9:$AG$94,$AF95),""),""),IF($AF95&gt;0,IF($AF95&gt;0,INDEX($AG$9:$AG$94,$AF95),""),"")))))</f>
        <v/>
      </c>
      <c r="AH95" t="str">
        <f>IF($A95="","",IF(OR($F95="sell_put",$F95="sell_call",$F95="roll"),$I95,IF($AF95&gt;0,IF($AF95&gt;0,INDEX($AH$9:$AH$94,$AF95),0),0)))</f>
        <v/>
      </c>
      <c r="AI95" s="51" t="str">
        <f t="shared" si="26"/>
        <v/>
      </c>
      <c r="AJ95" s="51" t="str">
        <f>IF($A95="","",IFERROR(LOOKUP(2,1/($B$9:$B$94=$B95),$AM$9:$AM94),0))</f>
        <v/>
      </c>
      <c r="AK95" t="str">
        <f>IF($A95="","",IFERROR(LOOKUP(2,1/($B$9:$B$94=$B95),$AN$9:$AN94),0))</f>
        <v/>
      </c>
      <c r="AL95" s="51" t="str">
        <f t="shared" si="27"/>
        <v/>
      </c>
      <c r="AM95" s="51" t="str">
        <f t="shared" si="28"/>
        <v/>
      </c>
      <c r="AN95" t="str">
        <f t="shared" si="29"/>
        <v/>
      </c>
      <c r="AO95" s="50" t="str">
        <f>IF($A95="","",IFERROR(LOOKUP(2,1/($B$9:$B$94=$B95),$AO$9:$AO94),0)+IF($F95="sell_put",$I95*$AE95*$D95,IF($F95="roll",IF($AG95="put",($I95-IF($AF95&gt;0,INDEX($AH$9:$AH$94,$AF95),0))*$AE95*$D95,0),IF(AND(OR($F95="buy_to_close",$F95="expire",$F95="roll",$F95="assignment",$F95="called_away"),$F95&lt;&gt;"roll",$AG95="put"),-IF($AF95&gt;0,INDEX($AH$9:$AH$94,$AF95),0)*$AE95*$D95,0))))</f>
        <v/>
      </c>
      <c r="AP95" s="51" t="str">
        <f>IF($A95="","",IFERROR(LOOKUP(2,1/($B$9:$B$94=$B95),$AP$9:$AP94),0)+IF($F95="sell_put",$AE95*$D95,IF(AND(OR($F95="buy_to_close",$F95="expire",$F95="roll",$F95="assignment",$F95="called_away"),$F95&lt;&gt;"roll",$AG95="put"),-$AE95*$D95,0)))</f>
        <v/>
      </c>
      <c r="AQ95" s="51" t="str">
        <f>IF($A95="","",IFERROR(LOOKUP(2,1/($B$9:$B$94=$B95),$AQ$9:$AQ94),0)+IF(OR($F95="sell_put",$F95="sell_call"),$AE95,0)-IF(AND(OR($F95="buy_to_close",$F95="expire",$F95="roll",$F95="assignment",$F95="called_away"),$F95&lt;&gt;"roll"),$AE95,0))</f>
        <v/>
      </c>
      <c r="AR95" t="str">
        <f t="shared" si="30"/>
        <v/>
      </c>
      <c r="AS95" s="50" t="str">
        <f t="shared" si="31"/>
        <v/>
      </c>
      <c r="AT95" s="50" t="str">
        <f>IF($A95="","",MAX(IF($T95=IFERROR(LOOKUP(2,1/($B$9:$B$94=$B95),$T$9:$T94),0),IFERROR(LOOKUP(2,1/($B$9:$B$94=$B95),$AT$9:$AT94),0),0),$AS95))</f>
        <v/>
      </c>
      <c r="AU95" t="str">
        <f t="shared" si="32"/>
        <v/>
      </c>
      <c r="AV95" s="51">
        <f>IF($AU95="",0,IF(AND(IFERROR(LOOKUP(2,1/($B$9:$B$94=$B95),$AR$9:$AR94),1),NOT(AND(OR($F95="dividend",$F95="fee"),IFERROR(LOOKUP(2,1/($B$9:$B$94=$B95),$T$9:$T94),0)&gt;0))),ROW(),0))</f>
        <v>0</v>
      </c>
      <c r="AW95">
        <f>IF($A95="",0,IF($AV95&gt;0,MAX($AW$9:$AW$94)+1,MAX($AW$9:$AW$94)))</f>
        <v>0</v>
      </c>
      <c r="AX95">
        <f>IF($AU95="",0,IF(AND($AR95,OR(NOT(IFERROR(LOOKUP(2,1/($B$9:$B$94=$B95),$AR$9:$AR94),1)),IFERROR(LOOKUP(2,1/($B$9:$B$94=$B95),$T$9:$T94),0)=0)),ROW(),0))</f>
        <v>0</v>
      </c>
      <c r="AY95" t="str">
        <f t="shared" si="33"/>
        <v/>
      </c>
    </row>
    <row r="96" spans="1:51" ht="15" x14ac:dyDescent="0.25">
      <c r="A96" s="52" t="str">
        <f>IF(Trades!$A96="","",Trades!O96)</f>
        <v/>
      </c>
      <c r="B96" s="52" t="str">
        <f>IF(Trades!$A96="","",Trades!B96)</f>
        <v/>
      </c>
      <c r="C96" s="52" t="str">
        <f>IF(Trades!$A96="","",Trades!C96)</f>
        <v/>
      </c>
      <c r="D96" s="53" t="str">
        <f>IF(Trades!$A96="","",IF(Trades!$L96&gt;0,Trades!$L96,Trades!$C$6))</f>
        <v/>
      </c>
      <c r="E96" s="54" t="str">
        <f>IF(Trades!$A96="","",Trades!A96)</f>
        <v/>
      </c>
      <c r="F96" s="52" t="str">
        <f>IF(Trades!$A96="","",IFERROR(INDEX(Trades!$V$2:$V$14,MATCH(Trades!$E96,Trades!$U$2:$U$14,0)),""))</f>
        <v/>
      </c>
      <c r="G96" s="52" t="str">
        <f>IF(Trades!$A96="","",Trades!N96)</f>
        <v/>
      </c>
      <c r="H96" s="53" t="str">
        <f>IF(Trades!$A96="","",Trades!F96)</f>
        <v/>
      </c>
      <c r="I96" s="55" t="str">
        <f>IF(Trades!$A96="","",Trades!G96)</f>
        <v/>
      </c>
      <c r="J96" s="55" t="str">
        <f>IF(Trades!$A96="","",Trades!I96)</f>
        <v/>
      </c>
      <c r="K96" s="55" t="str">
        <f>IF(Trades!$A96="","",Trades!Q96)</f>
        <v/>
      </c>
      <c r="L96" s="53" t="str">
        <f>IF(Trades!$A96="","",Trades!F96)</f>
        <v/>
      </c>
      <c r="M96" s="55" t="str">
        <f>IF(Trades!$A96="","",Trades!M96)</f>
        <v/>
      </c>
      <c r="N96" s="55" t="str">
        <f>IF(Trades!$A96="","",Trades!R96)</f>
        <v/>
      </c>
      <c r="O96" s="55" t="str">
        <f>IF(Trades!$A96="","",Trades!J96)</f>
        <v/>
      </c>
      <c r="P96" s="54" t="str">
        <f>IF(Trades!$A96="","",Trades!H96)</f>
        <v/>
      </c>
      <c r="Q96" s="52" t="str">
        <f>IF(Trades!$A96="","",Trades!P96)</f>
        <v/>
      </c>
      <c r="R96" s="56" t="str">
        <f t="shared" si="17"/>
        <v/>
      </c>
      <c r="S96" s="56" t="str">
        <f t="shared" si="18"/>
        <v/>
      </c>
      <c r="T96" s="57" t="str">
        <f>IF(OR($A96="",$B96=""),"",IF(AND(IFERROR(LOOKUP(2,1/($B$9:$B$95=$B96),$AR$9:$AR95),1),NOT(AND(OR($F96="dividend",$F96="fee"),IFERROR(LOOKUP(2,1/($B$9:$B$95=$B96),$T$9:$T95),0)&gt;0))),IFERROR(LOOKUP(2,1/($B$9:$B$95=$B96),$T$9:$T95),0)+1,IFERROR(LOOKUP(2,1/($B$9:$B$95=$B96),$T$9:$T95),0)))</f>
        <v/>
      </c>
      <c r="U96" s="58" t="str">
        <f t="shared" si="19"/>
        <v/>
      </c>
      <c r="V96" s="58" t="str">
        <f>IF($A96="","",IF(OR($B96="",$C96="",$D96="",$E96="",$F96=""),"Missing required field",IF(COUNTIFS($A$9:$A96,$A96,$B$9:$B96,$B96)&gt;1,"Duplicate event ID",IF(AND($E96&lt;&gt;IFERROR(LOOKUP(2,1/($B$9:$B$95=$B96),$E$9:$E95),0),IFERROR(LOOKUP(2,1/($B$9:$B$95=$B96),$E$9:$E95),0)&gt;$E96),"Date out of order",IF(AND(OR($F96="buy_to_close",$F96="expire",$F96="roll",$F96="assignment",$F96="called_away"),$AF96=0),"Unknown lot",IF(OR(AND($F96="assignment",$AF96&gt;0,IF($AF96&gt;0,INDEX($AG$9:$AG$95,$AF96),"")&lt;&gt;"put"),AND($F96="called_away",$AF96&gt;0,IF($AF96&gt;0,INDEX($AG$9:$AG$95,$AF96),"")&lt;&gt;"call")),"Wrong option leg",IF(OR(AND(OR($F96="sell_put",$F96="sell_call"),OR($H96&lt;=0,$I96&lt;=0,$J96&lt;0)),AND(OR($F96="buy_to_close",$F96="expire",$F96="assignment",$F96="called_away"),OR($H96&lt;=0,$J96&lt;0)),AND($F96="roll",OR($H96&lt;=0,$I96&lt;=0,$J96&lt;0,$K96&lt;0)),AND(OR($F96="buy_shares",$F96="sell_shares"),OR($L96&lt;=0,$M96&lt;0)),AND(OR($F96="dividend",$F96="fee"),$N96&lt;0)),"Invalid value",IF(AND(OR($F96="sell_shares",$F96="called_away"),$AL96&lt;IF($F96="called_away",$AE96*$D96,$L96)),"Insufficient shares (capped)",IF(AND(OR($F96="buy_to_close",$F96="expire",$F96="roll",$F96="assignment",$F96="called_away"),$AF96&gt;0,$H96&gt;IF($AF96&gt;0,MAX(0,INDEX($AI$9:$AI$95,$AF96)-SUMIFS($AE$9:$AE$95,$G$9:$G$95,$G96,$B$9:$B$95,$B96)),0)),"Close quantity capped","OK")))))))))</f>
        <v/>
      </c>
      <c r="W96" s="59" t="str">
        <f t="shared" si="20"/>
        <v/>
      </c>
      <c r="X96" s="60" t="str">
        <f t="shared" si="21"/>
        <v/>
      </c>
      <c r="Y96" s="50" t="str">
        <f t="shared" si="22"/>
        <v/>
      </c>
      <c r="Z96" s="50" t="str">
        <f t="shared" si="23"/>
        <v/>
      </c>
      <c r="AA96" s="50" t="str">
        <f t="shared" si="24"/>
        <v/>
      </c>
      <c r="AB96" s="50" t="str">
        <f t="shared" si="25"/>
        <v/>
      </c>
      <c r="AC96" s="50" t="str">
        <f>IF($A96="","",IF($F96="assignment",IF($AF96&gt;0,INDEX($AH$9:$AH$95,$AF96),0)*$AE96*$D96,IF($F96="buy_shares",$M96*$AL96,0)))</f>
        <v/>
      </c>
      <c r="AD96" s="50" t="str">
        <f>IF($A96="","",IF($F96="called_away",IF($AF96&gt;0,INDEX($AH$9:$AH$95,$AF96),0)*$AL96,IF($F96="sell_shares",$M96*$AL96,0)))</f>
        <v/>
      </c>
      <c r="AE96" s="51" t="str">
        <f>IF($A96="","",IF(OR($F96="sell_put",$F96="sell_call"),IF(AND($H96&gt;0,$I96&gt;0,$J96&gt;=0),$H96,0),IF(OR($F96="buy_to_close",$F96="expire",$F96="roll",$F96="assignment",$F96="called_away"),IF(AND($AF96&gt;0,$H96&gt;0,IF($F96="assignment",IF($AF96&gt;0,INDEX($AG$9:$AG$95,$AF96),"")="put",TRUE),IF($F96="called_away",IF($AF96&gt;0,INDEX($AG$9:$AG$95,$AF96),"")="call",TRUE)),MIN($H96,IF($AF96&gt;0,MAX(0,INDEX($AI$9:$AI$95,$AF96)-SUMIFS($AE$9:$AE$95,$G$9:$G$95,$G96,$B$9:$B$95,$B96)),0)),0),0)))</f>
        <v/>
      </c>
      <c r="AF96" t="str">
        <f>IF($A96="","",IFERROR(MATCH(LEN($B96)&amp;":"&amp;$B96&amp;$G96,$AY$9:$AY$95,0),0))</f>
        <v/>
      </c>
      <c r="AG96" t="str">
        <f>IF($A96="","",IF($F96="sell_put","put",IF($F96="sell_call","call",IF($F96="roll",IF($AF96&gt;0,IF($AF96&gt;0,INDEX($AG$9:$AG$95,$AF96),""),""),IF($AF96&gt;0,IF($AF96&gt;0,INDEX($AG$9:$AG$95,$AF96),""),"")))))</f>
        <v/>
      </c>
      <c r="AH96" t="str">
        <f>IF($A96="","",IF(OR($F96="sell_put",$F96="sell_call",$F96="roll"),$I96,IF($AF96&gt;0,IF($AF96&gt;0,INDEX($AH$9:$AH$95,$AF96),0),0)))</f>
        <v/>
      </c>
      <c r="AI96" s="51" t="str">
        <f t="shared" si="26"/>
        <v/>
      </c>
      <c r="AJ96" s="51" t="str">
        <f>IF($A96="","",IFERROR(LOOKUP(2,1/($B$9:$B$95=$B96),$AM$9:$AM95),0))</f>
        <v/>
      </c>
      <c r="AK96" t="str">
        <f>IF($A96="","",IFERROR(LOOKUP(2,1/($B$9:$B$95=$B96),$AN$9:$AN95),0))</f>
        <v/>
      </c>
      <c r="AL96" s="51" t="str">
        <f t="shared" si="27"/>
        <v/>
      </c>
      <c r="AM96" s="51" t="str">
        <f t="shared" si="28"/>
        <v/>
      </c>
      <c r="AN96" t="str">
        <f t="shared" si="29"/>
        <v/>
      </c>
      <c r="AO96" s="50" t="str">
        <f>IF($A96="","",IFERROR(LOOKUP(2,1/($B$9:$B$95=$B96),$AO$9:$AO95),0)+IF($F96="sell_put",$I96*$AE96*$D96,IF($F96="roll",IF($AG96="put",($I96-IF($AF96&gt;0,INDEX($AH$9:$AH$95,$AF96),0))*$AE96*$D96,0),IF(AND(OR($F96="buy_to_close",$F96="expire",$F96="roll",$F96="assignment",$F96="called_away"),$F96&lt;&gt;"roll",$AG96="put"),-IF($AF96&gt;0,INDEX($AH$9:$AH$95,$AF96),0)*$AE96*$D96,0))))</f>
        <v/>
      </c>
      <c r="AP96" s="51" t="str">
        <f>IF($A96="","",IFERROR(LOOKUP(2,1/($B$9:$B$95=$B96),$AP$9:$AP95),0)+IF($F96="sell_put",$AE96*$D96,IF(AND(OR($F96="buy_to_close",$F96="expire",$F96="roll",$F96="assignment",$F96="called_away"),$F96&lt;&gt;"roll",$AG96="put"),-$AE96*$D96,0)))</f>
        <v/>
      </c>
      <c r="AQ96" s="51" t="str">
        <f>IF($A96="","",IFERROR(LOOKUP(2,1/($B$9:$B$95=$B96),$AQ$9:$AQ95),0)+IF(OR($F96="sell_put",$F96="sell_call"),$AE96,0)-IF(AND(OR($F96="buy_to_close",$F96="expire",$F96="roll",$F96="assignment",$F96="called_away"),$F96&lt;&gt;"roll"),$AE96,0))</f>
        <v/>
      </c>
      <c r="AR96" t="str">
        <f t="shared" si="30"/>
        <v/>
      </c>
      <c r="AS96" s="50" t="str">
        <f t="shared" si="31"/>
        <v/>
      </c>
      <c r="AT96" s="50" t="str">
        <f>IF($A96="","",MAX(IF($T96=IFERROR(LOOKUP(2,1/($B$9:$B$95=$B96),$T$9:$T95),0),IFERROR(LOOKUP(2,1/($B$9:$B$95=$B96),$AT$9:$AT95),0),0),$AS96))</f>
        <v/>
      </c>
      <c r="AU96" t="str">
        <f t="shared" si="32"/>
        <v/>
      </c>
      <c r="AV96" s="51">
        <f>IF($AU96="",0,IF(AND(IFERROR(LOOKUP(2,1/($B$9:$B$95=$B96),$AR$9:$AR95),1),NOT(AND(OR($F96="dividend",$F96="fee"),IFERROR(LOOKUP(2,1/($B$9:$B$95=$B96),$T$9:$T95),0)&gt;0))),ROW(),0))</f>
        <v>0</v>
      </c>
      <c r="AW96">
        <f>IF($A96="",0,IF($AV96&gt;0,MAX($AW$9:$AW$95)+1,MAX($AW$9:$AW$95)))</f>
        <v>0</v>
      </c>
      <c r="AX96">
        <f>IF($AU96="",0,IF(AND($AR96,OR(NOT(IFERROR(LOOKUP(2,1/($B$9:$B$95=$B96),$AR$9:$AR95),1)),IFERROR(LOOKUP(2,1/($B$9:$B$95=$B96),$T$9:$T95),0)=0)),ROW(),0))</f>
        <v>0</v>
      </c>
      <c r="AY96" t="str">
        <f t="shared" si="33"/>
        <v/>
      </c>
    </row>
    <row r="97" spans="1:51" ht="15" x14ac:dyDescent="0.25">
      <c r="A97" s="41" t="str">
        <f>IF(Trades!$A97="","",Trades!O97)</f>
        <v/>
      </c>
      <c r="B97" s="41" t="str">
        <f>IF(Trades!$A97="","",Trades!B97)</f>
        <v/>
      </c>
      <c r="C97" s="41" t="str">
        <f>IF(Trades!$A97="","",Trades!C97)</f>
        <v/>
      </c>
      <c r="D97" s="42" t="str">
        <f>IF(Trades!$A97="","",IF(Trades!$L97&gt;0,Trades!$L97,Trades!$C$6))</f>
        <v/>
      </c>
      <c r="E97" s="43" t="str">
        <f>IF(Trades!$A97="","",Trades!A97)</f>
        <v/>
      </c>
      <c r="F97" s="41" t="str">
        <f>IF(Trades!$A97="","",IFERROR(INDEX(Trades!$V$2:$V$14,MATCH(Trades!$E97,Trades!$U$2:$U$14,0)),""))</f>
        <v/>
      </c>
      <c r="G97" s="41" t="str">
        <f>IF(Trades!$A97="","",Trades!N97)</f>
        <v/>
      </c>
      <c r="H97" s="42" t="str">
        <f>IF(Trades!$A97="","",Trades!F97)</f>
        <v/>
      </c>
      <c r="I97" s="44" t="str">
        <f>IF(Trades!$A97="","",Trades!G97)</f>
        <v/>
      </c>
      <c r="J97" s="44" t="str">
        <f>IF(Trades!$A97="","",Trades!I97)</f>
        <v/>
      </c>
      <c r="K97" s="44" t="str">
        <f>IF(Trades!$A97="","",Trades!Q97)</f>
        <v/>
      </c>
      <c r="L97" s="42" t="str">
        <f>IF(Trades!$A97="","",Trades!F97)</f>
        <v/>
      </c>
      <c r="M97" s="44" t="str">
        <f>IF(Trades!$A97="","",Trades!M97)</f>
        <v/>
      </c>
      <c r="N97" s="44" t="str">
        <f>IF(Trades!$A97="","",Trades!R97)</f>
        <v/>
      </c>
      <c r="O97" s="44" t="str">
        <f>IF(Trades!$A97="","",Trades!J97)</f>
        <v/>
      </c>
      <c r="P97" s="43" t="str">
        <f>IF(Trades!$A97="","",Trades!H97)</f>
        <v/>
      </c>
      <c r="Q97" s="41" t="str">
        <f>IF(Trades!$A97="","",Trades!P97)</f>
        <v/>
      </c>
      <c r="R97" s="45" t="str">
        <f t="shared" si="17"/>
        <v/>
      </c>
      <c r="S97" s="45" t="str">
        <f t="shared" si="18"/>
        <v/>
      </c>
      <c r="T97" s="46" t="str">
        <f>IF(OR($A97="",$B97=""),"",IF(AND(IFERROR(LOOKUP(2,1/($B$9:$B$96=$B97),$AR$9:$AR96),1),NOT(AND(OR($F97="dividend",$F97="fee"),IFERROR(LOOKUP(2,1/($B$9:$B$96=$B97),$T$9:$T96),0)&gt;0))),IFERROR(LOOKUP(2,1/($B$9:$B$96=$B97),$T$9:$T96),0)+1,IFERROR(LOOKUP(2,1/($B$9:$B$96=$B97),$T$9:$T96),0)))</f>
        <v/>
      </c>
      <c r="U97" s="47" t="str">
        <f t="shared" si="19"/>
        <v/>
      </c>
      <c r="V97" s="47" t="str">
        <f>IF($A97="","",IF(OR($B97="",$C97="",$D97="",$E97="",$F97=""),"Missing required field",IF(COUNTIFS($A$9:$A97,$A97,$B$9:$B97,$B97)&gt;1,"Duplicate event ID",IF(AND($E97&lt;&gt;IFERROR(LOOKUP(2,1/($B$9:$B$96=$B97),$E$9:$E96),0),IFERROR(LOOKUP(2,1/($B$9:$B$96=$B97),$E$9:$E96),0)&gt;$E97),"Date out of order",IF(AND(OR($F97="buy_to_close",$F97="expire",$F97="roll",$F97="assignment",$F97="called_away"),$AF97=0),"Unknown lot",IF(OR(AND($F97="assignment",$AF97&gt;0,IF($AF97&gt;0,INDEX($AG$9:$AG$96,$AF97),"")&lt;&gt;"put"),AND($F97="called_away",$AF97&gt;0,IF($AF97&gt;0,INDEX($AG$9:$AG$96,$AF97),"")&lt;&gt;"call")),"Wrong option leg",IF(OR(AND(OR($F97="sell_put",$F97="sell_call"),OR($H97&lt;=0,$I97&lt;=0,$J97&lt;0)),AND(OR($F97="buy_to_close",$F97="expire",$F97="assignment",$F97="called_away"),OR($H97&lt;=0,$J97&lt;0)),AND($F97="roll",OR($H97&lt;=0,$I97&lt;=0,$J97&lt;0,$K97&lt;0)),AND(OR($F97="buy_shares",$F97="sell_shares"),OR($L97&lt;=0,$M97&lt;0)),AND(OR($F97="dividend",$F97="fee"),$N97&lt;0)),"Invalid value",IF(AND(OR($F97="sell_shares",$F97="called_away"),$AL97&lt;IF($F97="called_away",$AE97*$D97,$L97)),"Insufficient shares (capped)",IF(AND(OR($F97="buy_to_close",$F97="expire",$F97="roll",$F97="assignment",$F97="called_away"),$AF97&gt;0,$H97&gt;IF($AF97&gt;0,MAX(0,INDEX($AI$9:$AI$96,$AF97)-SUMIFS($AE$9:$AE$96,$G$9:$G$96,$G97,$B$9:$B$96,$B97)),0)),"Close quantity capped","OK")))))))))</f>
        <v/>
      </c>
      <c r="W97" s="48" t="str">
        <f t="shared" si="20"/>
        <v/>
      </c>
      <c r="X97" s="49" t="str">
        <f t="shared" si="21"/>
        <v/>
      </c>
      <c r="Y97" s="50" t="str">
        <f t="shared" si="22"/>
        <v/>
      </c>
      <c r="Z97" s="50" t="str">
        <f t="shared" si="23"/>
        <v/>
      </c>
      <c r="AA97" s="50" t="str">
        <f t="shared" si="24"/>
        <v/>
      </c>
      <c r="AB97" s="50" t="str">
        <f t="shared" si="25"/>
        <v/>
      </c>
      <c r="AC97" s="50" t="str">
        <f>IF($A97="","",IF($F97="assignment",IF($AF97&gt;0,INDEX($AH$9:$AH$96,$AF97),0)*$AE97*$D97,IF($F97="buy_shares",$M97*$AL97,0)))</f>
        <v/>
      </c>
      <c r="AD97" s="50" t="str">
        <f>IF($A97="","",IF($F97="called_away",IF($AF97&gt;0,INDEX($AH$9:$AH$96,$AF97),0)*$AL97,IF($F97="sell_shares",$M97*$AL97,0)))</f>
        <v/>
      </c>
      <c r="AE97" s="51" t="str">
        <f>IF($A97="","",IF(OR($F97="sell_put",$F97="sell_call"),IF(AND($H97&gt;0,$I97&gt;0,$J97&gt;=0),$H97,0),IF(OR($F97="buy_to_close",$F97="expire",$F97="roll",$F97="assignment",$F97="called_away"),IF(AND($AF97&gt;0,$H97&gt;0,IF($F97="assignment",IF($AF97&gt;0,INDEX($AG$9:$AG$96,$AF97),"")="put",TRUE),IF($F97="called_away",IF($AF97&gt;0,INDEX($AG$9:$AG$96,$AF97),"")="call",TRUE)),MIN($H97,IF($AF97&gt;0,MAX(0,INDEX($AI$9:$AI$96,$AF97)-SUMIFS($AE$9:$AE$96,$G$9:$G$96,$G97,$B$9:$B$96,$B97)),0)),0),0)))</f>
        <v/>
      </c>
      <c r="AF97" t="str">
        <f>IF($A97="","",IFERROR(MATCH(LEN($B97)&amp;":"&amp;$B97&amp;$G97,$AY$9:$AY$96,0),0))</f>
        <v/>
      </c>
      <c r="AG97" t="str">
        <f>IF($A97="","",IF($F97="sell_put","put",IF($F97="sell_call","call",IF($F97="roll",IF($AF97&gt;0,IF($AF97&gt;0,INDEX($AG$9:$AG$96,$AF97),""),""),IF($AF97&gt;0,IF($AF97&gt;0,INDEX($AG$9:$AG$96,$AF97),""),"")))))</f>
        <v/>
      </c>
      <c r="AH97" t="str">
        <f>IF($A97="","",IF(OR($F97="sell_put",$F97="sell_call",$F97="roll"),$I97,IF($AF97&gt;0,IF($AF97&gt;0,INDEX($AH$9:$AH$96,$AF97),0),0)))</f>
        <v/>
      </c>
      <c r="AI97" s="51" t="str">
        <f t="shared" si="26"/>
        <v/>
      </c>
      <c r="AJ97" s="51" t="str">
        <f>IF($A97="","",IFERROR(LOOKUP(2,1/($B$9:$B$96=$B97),$AM$9:$AM96),0))</f>
        <v/>
      </c>
      <c r="AK97" t="str">
        <f>IF($A97="","",IFERROR(LOOKUP(2,1/($B$9:$B$96=$B97),$AN$9:$AN96),0))</f>
        <v/>
      </c>
      <c r="AL97" s="51" t="str">
        <f t="shared" si="27"/>
        <v/>
      </c>
      <c r="AM97" s="51" t="str">
        <f t="shared" si="28"/>
        <v/>
      </c>
      <c r="AN97" t="str">
        <f t="shared" si="29"/>
        <v/>
      </c>
      <c r="AO97" s="50" t="str">
        <f>IF($A97="","",IFERROR(LOOKUP(2,1/($B$9:$B$96=$B97),$AO$9:$AO96),0)+IF($F97="sell_put",$I97*$AE97*$D97,IF($F97="roll",IF($AG97="put",($I97-IF($AF97&gt;0,INDEX($AH$9:$AH$96,$AF97),0))*$AE97*$D97,0),IF(AND(OR($F97="buy_to_close",$F97="expire",$F97="roll",$F97="assignment",$F97="called_away"),$F97&lt;&gt;"roll",$AG97="put"),-IF($AF97&gt;0,INDEX($AH$9:$AH$96,$AF97),0)*$AE97*$D97,0))))</f>
        <v/>
      </c>
      <c r="AP97" s="51" t="str">
        <f>IF($A97="","",IFERROR(LOOKUP(2,1/($B$9:$B$96=$B97),$AP$9:$AP96),0)+IF($F97="sell_put",$AE97*$D97,IF(AND(OR($F97="buy_to_close",$F97="expire",$F97="roll",$F97="assignment",$F97="called_away"),$F97&lt;&gt;"roll",$AG97="put"),-$AE97*$D97,0)))</f>
        <v/>
      </c>
      <c r="AQ97" s="51" t="str">
        <f>IF($A97="","",IFERROR(LOOKUP(2,1/($B$9:$B$96=$B97),$AQ$9:$AQ96),0)+IF(OR($F97="sell_put",$F97="sell_call"),$AE97,0)-IF(AND(OR($F97="buy_to_close",$F97="expire",$F97="roll",$F97="assignment",$F97="called_away"),$F97&lt;&gt;"roll"),$AE97,0))</f>
        <v/>
      </c>
      <c r="AR97" t="str">
        <f t="shared" si="30"/>
        <v/>
      </c>
      <c r="AS97" s="50" t="str">
        <f t="shared" si="31"/>
        <v/>
      </c>
      <c r="AT97" s="50" t="str">
        <f>IF($A97="","",MAX(IF($T97=IFERROR(LOOKUP(2,1/($B$9:$B$96=$B97),$T$9:$T96),0),IFERROR(LOOKUP(2,1/($B$9:$B$96=$B97),$AT$9:$AT96),0),0),$AS97))</f>
        <v/>
      </c>
      <c r="AU97" t="str">
        <f t="shared" si="32"/>
        <v/>
      </c>
      <c r="AV97" s="51">
        <f>IF($AU97="",0,IF(AND(IFERROR(LOOKUP(2,1/($B$9:$B$96=$B97),$AR$9:$AR96),1),NOT(AND(OR($F97="dividend",$F97="fee"),IFERROR(LOOKUP(2,1/($B$9:$B$96=$B97),$T$9:$T96),0)&gt;0))),ROW(),0))</f>
        <v>0</v>
      </c>
      <c r="AW97">
        <f>IF($A97="",0,IF($AV97&gt;0,MAX($AW$9:$AW$96)+1,MAX($AW$9:$AW$96)))</f>
        <v>0</v>
      </c>
      <c r="AX97">
        <f>IF($AU97="",0,IF(AND($AR97,OR(NOT(IFERROR(LOOKUP(2,1/($B$9:$B$96=$B97),$AR$9:$AR96),1)),IFERROR(LOOKUP(2,1/($B$9:$B$96=$B97),$T$9:$T96),0)=0)),ROW(),0))</f>
        <v>0</v>
      </c>
      <c r="AY97" t="str">
        <f t="shared" si="33"/>
        <v/>
      </c>
    </row>
    <row r="98" spans="1:51" ht="15" x14ac:dyDescent="0.25">
      <c r="A98" s="52" t="str">
        <f>IF(Trades!$A98="","",Trades!O98)</f>
        <v/>
      </c>
      <c r="B98" s="52" t="str">
        <f>IF(Trades!$A98="","",Trades!B98)</f>
        <v/>
      </c>
      <c r="C98" s="52" t="str">
        <f>IF(Trades!$A98="","",Trades!C98)</f>
        <v/>
      </c>
      <c r="D98" s="53" t="str">
        <f>IF(Trades!$A98="","",IF(Trades!$L98&gt;0,Trades!$L98,Trades!$C$6))</f>
        <v/>
      </c>
      <c r="E98" s="54" t="str">
        <f>IF(Trades!$A98="","",Trades!A98)</f>
        <v/>
      </c>
      <c r="F98" s="52" t="str">
        <f>IF(Trades!$A98="","",IFERROR(INDEX(Trades!$V$2:$V$14,MATCH(Trades!$E98,Trades!$U$2:$U$14,0)),""))</f>
        <v/>
      </c>
      <c r="G98" s="52" t="str">
        <f>IF(Trades!$A98="","",Trades!N98)</f>
        <v/>
      </c>
      <c r="H98" s="53" t="str">
        <f>IF(Trades!$A98="","",Trades!F98)</f>
        <v/>
      </c>
      <c r="I98" s="55" t="str">
        <f>IF(Trades!$A98="","",Trades!G98)</f>
        <v/>
      </c>
      <c r="J98" s="55" t="str">
        <f>IF(Trades!$A98="","",Trades!I98)</f>
        <v/>
      </c>
      <c r="K98" s="55" t="str">
        <f>IF(Trades!$A98="","",Trades!Q98)</f>
        <v/>
      </c>
      <c r="L98" s="53" t="str">
        <f>IF(Trades!$A98="","",Trades!F98)</f>
        <v/>
      </c>
      <c r="M98" s="55" t="str">
        <f>IF(Trades!$A98="","",Trades!M98)</f>
        <v/>
      </c>
      <c r="N98" s="55" t="str">
        <f>IF(Trades!$A98="","",Trades!R98)</f>
        <v/>
      </c>
      <c r="O98" s="55" t="str">
        <f>IF(Trades!$A98="","",Trades!J98)</f>
        <v/>
      </c>
      <c r="P98" s="54" t="str">
        <f>IF(Trades!$A98="","",Trades!H98)</f>
        <v/>
      </c>
      <c r="Q98" s="52" t="str">
        <f>IF(Trades!$A98="","",Trades!P98)</f>
        <v/>
      </c>
      <c r="R98" s="56" t="str">
        <f t="shared" si="17"/>
        <v/>
      </c>
      <c r="S98" s="56" t="str">
        <f t="shared" si="18"/>
        <v/>
      </c>
      <c r="T98" s="57" t="str">
        <f>IF(OR($A98="",$B98=""),"",IF(AND(IFERROR(LOOKUP(2,1/($B$9:$B$97=$B98),$AR$9:$AR97),1),NOT(AND(OR($F98="dividend",$F98="fee"),IFERROR(LOOKUP(2,1/($B$9:$B$97=$B98),$T$9:$T97),0)&gt;0))),IFERROR(LOOKUP(2,1/($B$9:$B$97=$B98),$T$9:$T97),0)+1,IFERROR(LOOKUP(2,1/($B$9:$B$97=$B98),$T$9:$T97),0)))</f>
        <v/>
      </c>
      <c r="U98" s="58" t="str">
        <f t="shared" si="19"/>
        <v/>
      </c>
      <c r="V98" s="58" t="str">
        <f>IF($A98="","",IF(OR($B98="",$C98="",$D98="",$E98="",$F98=""),"Missing required field",IF(COUNTIFS($A$9:$A98,$A98,$B$9:$B98,$B98)&gt;1,"Duplicate event ID",IF(AND($E98&lt;&gt;IFERROR(LOOKUP(2,1/($B$9:$B$97=$B98),$E$9:$E97),0),IFERROR(LOOKUP(2,1/($B$9:$B$97=$B98),$E$9:$E97),0)&gt;$E98),"Date out of order",IF(AND(OR($F98="buy_to_close",$F98="expire",$F98="roll",$F98="assignment",$F98="called_away"),$AF98=0),"Unknown lot",IF(OR(AND($F98="assignment",$AF98&gt;0,IF($AF98&gt;0,INDEX($AG$9:$AG$97,$AF98),"")&lt;&gt;"put"),AND($F98="called_away",$AF98&gt;0,IF($AF98&gt;0,INDEX($AG$9:$AG$97,$AF98),"")&lt;&gt;"call")),"Wrong option leg",IF(OR(AND(OR($F98="sell_put",$F98="sell_call"),OR($H98&lt;=0,$I98&lt;=0,$J98&lt;0)),AND(OR($F98="buy_to_close",$F98="expire",$F98="assignment",$F98="called_away"),OR($H98&lt;=0,$J98&lt;0)),AND($F98="roll",OR($H98&lt;=0,$I98&lt;=0,$J98&lt;0,$K98&lt;0)),AND(OR($F98="buy_shares",$F98="sell_shares"),OR($L98&lt;=0,$M98&lt;0)),AND(OR($F98="dividend",$F98="fee"),$N98&lt;0)),"Invalid value",IF(AND(OR($F98="sell_shares",$F98="called_away"),$AL98&lt;IF($F98="called_away",$AE98*$D98,$L98)),"Insufficient shares (capped)",IF(AND(OR($F98="buy_to_close",$F98="expire",$F98="roll",$F98="assignment",$F98="called_away"),$AF98&gt;0,$H98&gt;IF($AF98&gt;0,MAX(0,INDEX($AI$9:$AI$97,$AF98)-SUMIFS($AE$9:$AE$97,$G$9:$G$97,$G98,$B$9:$B$97,$B98)),0)),"Close quantity capped","OK")))))))))</f>
        <v/>
      </c>
      <c r="W98" s="59" t="str">
        <f t="shared" si="20"/>
        <v/>
      </c>
      <c r="X98" s="60" t="str">
        <f t="shared" si="21"/>
        <v/>
      </c>
      <c r="Y98" s="50" t="str">
        <f t="shared" si="22"/>
        <v/>
      </c>
      <c r="Z98" s="50" t="str">
        <f t="shared" si="23"/>
        <v/>
      </c>
      <c r="AA98" s="50" t="str">
        <f t="shared" si="24"/>
        <v/>
      </c>
      <c r="AB98" s="50" t="str">
        <f t="shared" si="25"/>
        <v/>
      </c>
      <c r="AC98" s="50" t="str">
        <f>IF($A98="","",IF($F98="assignment",IF($AF98&gt;0,INDEX($AH$9:$AH$97,$AF98),0)*$AE98*$D98,IF($F98="buy_shares",$M98*$AL98,0)))</f>
        <v/>
      </c>
      <c r="AD98" s="50" t="str">
        <f>IF($A98="","",IF($F98="called_away",IF($AF98&gt;0,INDEX($AH$9:$AH$97,$AF98),0)*$AL98,IF($F98="sell_shares",$M98*$AL98,0)))</f>
        <v/>
      </c>
      <c r="AE98" s="51" t="str">
        <f>IF($A98="","",IF(OR($F98="sell_put",$F98="sell_call"),IF(AND($H98&gt;0,$I98&gt;0,$J98&gt;=0),$H98,0),IF(OR($F98="buy_to_close",$F98="expire",$F98="roll",$F98="assignment",$F98="called_away"),IF(AND($AF98&gt;0,$H98&gt;0,IF($F98="assignment",IF($AF98&gt;0,INDEX($AG$9:$AG$97,$AF98),"")="put",TRUE),IF($F98="called_away",IF($AF98&gt;0,INDEX($AG$9:$AG$97,$AF98),"")="call",TRUE)),MIN($H98,IF($AF98&gt;0,MAX(0,INDEX($AI$9:$AI$97,$AF98)-SUMIFS($AE$9:$AE$97,$G$9:$G$97,$G98,$B$9:$B$97,$B98)),0)),0),0)))</f>
        <v/>
      </c>
      <c r="AF98" t="str">
        <f>IF($A98="","",IFERROR(MATCH(LEN($B98)&amp;":"&amp;$B98&amp;$G98,$AY$9:$AY$97,0),0))</f>
        <v/>
      </c>
      <c r="AG98" t="str">
        <f>IF($A98="","",IF($F98="sell_put","put",IF($F98="sell_call","call",IF($F98="roll",IF($AF98&gt;0,IF($AF98&gt;0,INDEX($AG$9:$AG$97,$AF98),""),""),IF($AF98&gt;0,IF($AF98&gt;0,INDEX($AG$9:$AG$97,$AF98),""),"")))))</f>
        <v/>
      </c>
      <c r="AH98" t="str">
        <f>IF($A98="","",IF(OR($F98="sell_put",$F98="sell_call",$F98="roll"),$I98,IF($AF98&gt;0,IF($AF98&gt;0,INDEX($AH$9:$AH$97,$AF98),0),0)))</f>
        <v/>
      </c>
      <c r="AI98" s="51" t="str">
        <f t="shared" si="26"/>
        <v/>
      </c>
      <c r="AJ98" s="51" t="str">
        <f>IF($A98="","",IFERROR(LOOKUP(2,1/($B$9:$B$97=$B98),$AM$9:$AM97),0))</f>
        <v/>
      </c>
      <c r="AK98" t="str">
        <f>IF($A98="","",IFERROR(LOOKUP(2,1/($B$9:$B$97=$B98),$AN$9:$AN97),0))</f>
        <v/>
      </c>
      <c r="AL98" s="51" t="str">
        <f t="shared" si="27"/>
        <v/>
      </c>
      <c r="AM98" s="51" t="str">
        <f t="shared" si="28"/>
        <v/>
      </c>
      <c r="AN98" t="str">
        <f t="shared" si="29"/>
        <v/>
      </c>
      <c r="AO98" s="50" t="str">
        <f>IF($A98="","",IFERROR(LOOKUP(2,1/($B$9:$B$97=$B98),$AO$9:$AO97),0)+IF($F98="sell_put",$I98*$AE98*$D98,IF($F98="roll",IF($AG98="put",($I98-IF($AF98&gt;0,INDEX($AH$9:$AH$97,$AF98),0))*$AE98*$D98,0),IF(AND(OR($F98="buy_to_close",$F98="expire",$F98="roll",$F98="assignment",$F98="called_away"),$F98&lt;&gt;"roll",$AG98="put"),-IF($AF98&gt;0,INDEX($AH$9:$AH$97,$AF98),0)*$AE98*$D98,0))))</f>
        <v/>
      </c>
      <c r="AP98" s="51" t="str">
        <f>IF($A98="","",IFERROR(LOOKUP(2,1/($B$9:$B$97=$B98),$AP$9:$AP97),0)+IF($F98="sell_put",$AE98*$D98,IF(AND(OR($F98="buy_to_close",$F98="expire",$F98="roll",$F98="assignment",$F98="called_away"),$F98&lt;&gt;"roll",$AG98="put"),-$AE98*$D98,0)))</f>
        <v/>
      </c>
      <c r="AQ98" s="51" t="str">
        <f>IF($A98="","",IFERROR(LOOKUP(2,1/($B$9:$B$97=$B98),$AQ$9:$AQ97),0)+IF(OR($F98="sell_put",$F98="sell_call"),$AE98,0)-IF(AND(OR($F98="buy_to_close",$F98="expire",$F98="roll",$F98="assignment",$F98="called_away"),$F98&lt;&gt;"roll"),$AE98,0))</f>
        <v/>
      </c>
      <c r="AR98" t="str">
        <f t="shared" si="30"/>
        <v/>
      </c>
      <c r="AS98" s="50" t="str">
        <f t="shared" si="31"/>
        <v/>
      </c>
      <c r="AT98" s="50" t="str">
        <f>IF($A98="","",MAX(IF($T98=IFERROR(LOOKUP(2,1/($B$9:$B$97=$B98),$T$9:$T97),0),IFERROR(LOOKUP(2,1/($B$9:$B$97=$B98),$AT$9:$AT97),0),0),$AS98))</f>
        <v/>
      </c>
      <c r="AU98" t="str">
        <f t="shared" si="32"/>
        <v/>
      </c>
      <c r="AV98" s="51">
        <f>IF($AU98="",0,IF(AND(IFERROR(LOOKUP(2,1/($B$9:$B$97=$B98),$AR$9:$AR97),1),NOT(AND(OR($F98="dividend",$F98="fee"),IFERROR(LOOKUP(2,1/($B$9:$B$97=$B98),$T$9:$T97),0)&gt;0))),ROW(),0))</f>
        <v>0</v>
      </c>
      <c r="AW98">
        <f>IF($A98="",0,IF($AV98&gt;0,MAX($AW$9:$AW$97)+1,MAX($AW$9:$AW$97)))</f>
        <v>0</v>
      </c>
      <c r="AX98">
        <f>IF($AU98="",0,IF(AND($AR98,OR(NOT(IFERROR(LOOKUP(2,1/($B$9:$B$97=$B98),$AR$9:$AR97),1)),IFERROR(LOOKUP(2,1/($B$9:$B$97=$B98),$T$9:$T97),0)=0)),ROW(),0))</f>
        <v>0</v>
      </c>
      <c r="AY98" t="str">
        <f t="shared" si="33"/>
        <v/>
      </c>
    </row>
    <row r="99" spans="1:51" ht="15" x14ac:dyDescent="0.25">
      <c r="A99" s="41" t="str">
        <f>IF(Trades!$A99="","",Trades!O99)</f>
        <v/>
      </c>
      <c r="B99" s="41" t="str">
        <f>IF(Trades!$A99="","",Trades!B99)</f>
        <v/>
      </c>
      <c r="C99" s="41" t="str">
        <f>IF(Trades!$A99="","",Trades!C99)</f>
        <v/>
      </c>
      <c r="D99" s="42" t="str">
        <f>IF(Trades!$A99="","",IF(Trades!$L99&gt;0,Trades!$L99,Trades!$C$6))</f>
        <v/>
      </c>
      <c r="E99" s="43" t="str">
        <f>IF(Trades!$A99="","",Trades!A99)</f>
        <v/>
      </c>
      <c r="F99" s="41" t="str">
        <f>IF(Trades!$A99="","",IFERROR(INDEX(Trades!$V$2:$V$14,MATCH(Trades!$E99,Trades!$U$2:$U$14,0)),""))</f>
        <v/>
      </c>
      <c r="G99" s="41" t="str">
        <f>IF(Trades!$A99="","",Trades!N99)</f>
        <v/>
      </c>
      <c r="H99" s="42" t="str">
        <f>IF(Trades!$A99="","",Trades!F99)</f>
        <v/>
      </c>
      <c r="I99" s="44" t="str">
        <f>IF(Trades!$A99="","",Trades!G99)</f>
        <v/>
      </c>
      <c r="J99" s="44" t="str">
        <f>IF(Trades!$A99="","",Trades!I99)</f>
        <v/>
      </c>
      <c r="K99" s="44" t="str">
        <f>IF(Trades!$A99="","",Trades!Q99)</f>
        <v/>
      </c>
      <c r="L99" s="42" t="str">
        <f>IF(Trades!$A99="","",Trades!F99)</f>
        <v/>
      </c>
      <c r="M99" s="44" t="str">
        <f>IF(Trades!$A99="","",Trades!M99)</f>
        <v/>
      </c>
      <c r="N99" s="44" t="str">
        <f>IF(Trades!$A99="","",Trades!R99)</f>
        <v/>
      </c>
      <c r="O99" s="44" t="str">
        <f>IF(Trades!$A99="","",Trades!J99)</f>
        <v/>
      </c>
      <c r="P99" s="43" t="str">
        <f>IF(Trades!$A99="","",Trades!H99)</f>
        <v/>
      </c>
      <c r="Q99" s="41" t="str">
        <f>IF(Trades!$A99="","",Trades!P99)</f>
        <v/>
      </c>
      <c r="R99" s="45" t="str">
        <f t="shared" si="17"/>
        <v/>
      </c>
      <c r="S99" s="45" t="str">
        <f t="shared" si="18"/>
        <v/>
      </c>
      <c r="T99" s="46" t="str">
        <f>IF(OR($A99="",$B99=""),"",IF(AND(IFERROR(LOOKUP(2,1/($B$9:$B$98=$B99),$AR$9:$AR98),1),NOT(AND(OR($F99="dividend",$F99="fee"),IFERROR(LOOKUP(2,1/($B$9:$B$98=$B99),$T$9:$T98),0)&gt;0))),IFERROR(LOOKUP(2,1/($B$9:$B$98=$B99),$T$9:$T98),0)+1,IFERROR(LOOKUP(2,1/($B$9:$B$98=$B99),$T$9:$T98),0)))</f>
        <v/>
      </c>
      <c r="U99" s="47" t="str">
        <f t="shared" si="19"/>
        <v/>
      </c>
      <c r="V99" s="47" t="str">
        <f>IF($A99="","",IF(OR($B99="",$C99="",$D99="",$E99="",$F99=""),"Missing required field",IF(COUNTIFS($A$9:$A99,$A99,$B$9:$B99,$B99)&gt;1,"Duplicate event ID",IF(AND($E99&lt;&gt;IFERROR(LOOKUP(2,1/($B$9:$B$98=$B99),$E$9:$E98),0),IFERROR(LOOKUP(2,1/($B$9:$B$98=$B99),$E$9:$E98),0)&gt;$E99),"Date out of order",IF(AND(OR($F99="buy_to_close",$F99="expire",$F99="roll",$F99="assignment",$F99="called_away"),$AF99=0),"Unknown lot",IF(OR(AND($F99="assignment",$AF99&gt;0,IF($AF99&gt;0,INDEX($AG$9:$AG$98,$AF99),"")&lt;&gt;"put"),AND($F99="called_away",$AF99&gt;0,IF($AF99&gt;0,INDEX($AG$9:$AG$98,$AF99),"")&lt;&gt;"call")),"Wrong option leg",IF(OR(AND(OR($F99="sell_put",$F99="sell_call"),OR($H99&lt;=0,$I99&lt;=0,$J99&lt;0)),AND(OR($F99="buy_to_close",$F99="expire",$F99="assignment",$F99="called_away"),OR($H99&lt;=0,$J99&lt;0)),AND($F99="roll",OR($H99&lt;=0,$I99&lt;=0,$J99&lt;0,$K99&lt;0)),AND(OR($F99="buy_shares",$F99="sell_shares"),OR($L99&lt;=0,$M99&lt;0)),AND(OR($F99="dividend",$F99="fee"),$N99&lt;0)),"Invalid value",IF(AND(OR($F99="sell_shares",$F99="called_away"),$AL99&lt;IF($F99="called_away",$AE99*$D99,$L99)),"Insufficient shares (capped)",IF(AND(OR($F99="buy_to_close",$F99="expire",$F99="roll",$F99="assignment",$F99="called_away"),$AF99&gt;0,$H99&gt;IF($AF99&gt;0,MAX(0,INDEX($AI$9:$AI$98,$AF99)-SUMIFS($AE$9:$AE$98,$G$9:$G$98,$G99,$B$9:$B$98,$B99)),0)),"Close quantity capped","OK")))))))))</f>
        <v/>
      </c>
      <c r="W99" s="48" t="str">
        <f t="shared" si="20"/>
        <v/>
      </c>
      <c r="X99" s="49" t="str">
        <f t="shared" si="21"/>
        <v/>
      </c>
      <c r="Y99" s="50" t="str">
        <f t="shared" si="22"/>
        <v/>
      </c>
      <c r="Z99" s="50" t="str">
        <f t="shared" si="23"/>
        <v/>
      </c>
      <c r="AA99" s="50" t="str">
        <f t="shared" si="24"/>
        <v/>
      </c>
      <c r="AB99" s="50" t="str">
        <f t="shared" si="25"/>
        <v/>
      </c>
      <c r="AC99" s="50" t="str">
        <f>IF($A99="","",IF($F99="assignment",IF($AF99&gt;0,INDEX($AH$9:$AH$98,$AF99),0)*$AE99*$D99,IF($F99="buy_shares",$M99*$AL99,0)))</f>
        <v/>
      </c>
      <c r="AD99" s="50" t="str">
        <f>IF($A99="","",IF($F99="called_away",IF($AF99&gt;0,INDEX($AH$9:$AH$98,$AF99),0)*$AL99,IF($F99="sell_shares",$M99*$AL99,0)))</f>
        <v/>
      </c>
      <c r="AE99" s="51" t="str">
        <f>IF($A99="","",IF(OR($F99="sell_put",$F99="sell_call"),IF(AND($H99&gt;0,$I99&gt;0,$J99&gt;=0),$H99,0),IF(OR($F99="buy_to_close",$F99="expire",$F99="roll",$F99="assignment",$F99="called_away"),IF(AND($AF99&gt;0,$H99&gt;0,IF($F99="assignment",IF($AF99&gt;0,INDEX($AG$9:$AG$98,$AF99),"")="put",TRUE),IF($F99="called_away",IF($AF99&gt;0,INDEX($AG$9:$AG$98,$AF99),"")="call",TRUE)),MIN($H99,IF($AF99&gt;0,MAX(0,INDEX($AI$9:$AI$98,$AF99)-SUMIFS($AE$9:$AE$98,$G$9:$G$98,$G99,$B$9:$B$98,$B99)),0)),0),0)))</f>
        <v/>
      </c>
      <c r="AF99" t="str">
        <f>IF($A99="","",IFERROR(MATCH(LEN($B99)&amp;":"&amp;$B99&amp;$G99,$AY$9:$AY$98,0),0))</f>
        <v/>
      </c>
      <c r="AG99" t="str">
        <f>IF($A99="","",IF($F99="sell_put","put",IF($F99="sell_call","call",IF($F99="roll",IF($AF99&gt;0,IF($AF99&gt;0,INDEX($AG$9:$AG$98,$AF99),""),""),IF($AF99&gt;0,IF($AF99&gt;0,INDEX($AG$9:$AG$98,$AF99),""),"")))))</f>
        <v/>
      </c>
      <c r="AH99" t="str">
        <f>IF($A99="","",IF(OR($F99="sell_put",$F99="sell_call",$F99="roll"),$I99,IF($AF99&gt;0,IF($AF99&gt;0,INDEX($AH$9:$AH$98,$AF99),0),0)))</f>
        <v/>
      </c>
      <c r="AI99" s="51" t="str">
        <f t="shared" si="26"/>
        <v/>
      </c>
      <c r="AJ99" s="51" t="str">
        <f>IF($A99="","",IFERROR(LOOKUP(2,1/($B$9:$B$98=$B99),$AM$9:$AM98),0))</f>
        <v/>
      </c>
      <c r="AK99" t="str">
        <f>IF($A99="","",IFERROR(LOOKUP(2,1/($B$9:$B$98=$B99),$AN$9:$AN98),0))</f>
        <v/>
      </c>
      <c r="AL99" s="51" t="str">
        <f t="shared" si="27"/>
        <v/>
      </c>
      <c r="AM99" s="51" t="str">
        <f t="shared" si="28"/>
        <v/>
      </c>
      <c r="AN99" t="str">
        <f t="shared" si="29"/>
        <v/>
      </c>
      <c r="AO99" s="50" t="str">
        <f>IF($A99="","",IFERROR(LOOKUP(2,1/($B$9:$B$98=$B99),$AO$9:$AO98),0)+IF($F99="sell_put",$I99*$AE99*$D99,IF($F99="roll",IF($AG99="put",($I99-IF($AF99&gt;0,INDEX($AH$9:$AH$98,$AF99),0))*$AE99*$D99,0),IF(AND(OR($F99="buy_to_close",$F99="expire",$F99="roll",$F99="assignment",$F99="called_away"),$F99&lt;&gt;"roll",$AG99="put"),-IF($AF99&gt;0,INDEX($AH$9:$AH$98,$AF99),0)*$AE99*$D99,0))))</f>
        <v/>
      </c>
      <c r="AP99" s="51" t="str">
        <f>IF($A99="","",IFERROR(LOOKUP(2,1/($B$9:$B$98=$B99),$AP$9:$AP98),0)+IF($F99="sell_put",$AE99*$D99,IF(AND(OR($F99="buy_to_close",$F99="expire",$F99="roll",$F99="assignment",$F99="called_away"),$F99&lt;&gt;"roll",$AG99="put"),-$AE99*$D99,0)))</f>
        <v/>
      </c>
      <c r="AQ99" s="51" t="str">
        <f>IF($A99="","",IFERROR(LOOKUP(2,1/($B$9:$B$98=$B99),$AQ$9:$AQ98),0)+IF(OR($F99="sell_put",$F99="sell_call"),$AE99,0)-IF(AND(OR($F99="buy_to_close",$F99="expire",$F99="roll",$F99="assignment",$F99="called_away"),$F99&lt;&gt;"roll"),$AE99,0))</f>
        <v/>
      </c>
      <c r="AR99" t="str">
        <f t="shared" si="30"/>
        <v/>
      </c>
      <c r="AS99" s="50" t="str">
        <f t="shared" si="31"/>
        <v/>
      </c>
      <c r="AT99" s="50" t="str">
        <f>IF($A99="","",MAX(IF($T99=IFERROR(LOOKUP(2,1/($B$9:$B$98=$B99),$T$9:$T98),0),IFERROR(LOOKUP(2,1/($B$9:$B$98=$B99),$AT$9:$AT98),0),0),$AS99))</f>
        <v/>
      </c>
      <c r="AU99" t="str">
        <f t="shared" si="32"/>
        <v/>
      </c>
      <c r="AV99" s="51">
        <f>IF($AU99="",0,IF(AND(IFERROR(LOOKUP(2,1/($B$9:$B$98=$B99),$AR$9:$AR98),1),NOT(AND(OR($F99="dividend",$F99="fee"),IFERROR(LOOKUP(2,1/($B$9:$B$98=$B99),$T$9:$T98),0)&gt;0))),ROW(),0))</f>
        <v>0</v>
      </c>
      <c r="AW99">
        <f>IF($A99="",0,IF($AV99&gt;0,MAX($AW$9:$AW$98)+1,MAX($AW$9:$AW$98)))</f>
        <v>0</v>
      </c>
      <c r="AX99">
        <f>IF($AU99="",0,IF(AND($AR99,OR(NOT(IFERROR(LOOKUP(2,1/($B$9:$B$98=$B99),$AR$9:$AR98),1)),IFERROR(LOOKUP(2,1/($B$9:$B$98=$B99),$T$9:$T98),0)=0)),ROW(),0))</f>
        <v>0</v>
      </c>
      <c r="AY99" t="str">
        <f t="shared" si="33"/>
        <v/>
      </c>
    </row>
    <row r="100" spans="1:51" ht="15" x14ac:dyDescent="0.25">
      <c r="A100" s="52" t="str">
        <f>IF(Trades!$A100="","",Trades!O100)</f>
        <v/>
      </c>
      <c r="B100" s="52" t="str">
        <f>IF(Trades!$A100="","",Trades!B100)</f>
        <v/>
      </c>
      <c r="C100" s="52" t="str">
        <f>IF(Trades!$A100="","",Trades!C100)</f>
        <v/>
      </c>
      <c r="D100" s="53" t="str">
        <f>IF(Trades!$A100="","",IF(Trades!$L100&gt;0,Trades!$L100,Trades!$C$6))</f>
        <v/>
      </c>
      <c r="E100" s="54" t="str">
        <f>IF(Trades!$A100="","",Trades!A100)</f>
        <v/>
      </c>
      <c r="F100" s="52" t="str">
        <f>IF(Trades!$A100="","",IFERROR(INDEX(Trades!$V$2:$V$14,MATCH(Trades!$E100,Trades!$U$2:$U$14,0)),""))</f>
        <v/>
      </c>
      <c r="G100" s="52" t="str">
        <f>IF(Trades!$A100="","",Trades!N100)</f>
        <v/>
      </c>
      <c r="H100" s="53" t="str">
        <f>IF(Trades!$A100="","",Trades!F100)</f>
        <v/>
      </c>
      <c r="I100" s="55" t="str">
        <f>IF(Trades!$A100="","",Trades!G100)</f>
        <v/>
      </c>
      <c r="J100" s="55" t="str">
        <f>IF(Trades!$A100="","",Trades!I100)</f>
        <v/>
      </c>
      <c r="K100" s="55" t="str">
        <f>IF(Trades!$A100="","",Trades!Q100)</f>
        <v/>
      </c>
      <c r="L100" s="53" t="str">
        <f>IF(Trades!$A100="","",Trades!F100)</f>
        <v/>
      </c>
      <c r="M100" s="55" t="str">
        <f>IF(Trades!$A100="","",Trades!M100)</f>
        <v/>
      </c>
      <c r="N100" s="55" t="str">
        <f>IF(Trades!$A100="","",Trades!R100)</f>
        <v/>
      </c>
      <c r="O100" s="55" t="str">
        <f>IF(Trades!$A100="","",Trades!J100)</f>
        <v/>
      </c>
      <c r="P100" s="54" t="str">
        <f>IF(Trades!$A100="","",Trades!H100)</f>
        <v/>
      </c>
      <c r="Q100" s="52" t="str">
        <f>IF(Trades!$A100="","",Trades!P100)</f>
        <v/>
      </c>
      <c r="R100" s="56" t="str">
        <f t="shared" si="17"/>
        <v/>
      </c>
      <c r="S100" s="56" t="str">
        <f t="shared" si="18"/>
        <v/>
      </c>
      <c r="T100" s="57" t="str">
        <f>IF(OR($A100="",$B100=""),"",IF(AND(IFERROR(LOOKUP(2,1/($B$9:$B$99=$B100),$AR$9:$AR99),1),NOT(AND(OR($F100="dividend",$F100="fee"),IFERROR(LOOKUP(2,1/($B$9:$B$99=$B100),$T$9:$T99),0)&gt;0))),IFERROR(LOOKUP(2,1/($B$9:$B$99=$B100),$T$9:$T99),0)+1,IFERROR(LOOKUP(2,1/($B$9:$B$99=$B100),$T$9:$T99),0)))</f>
        <v/>
      </c>
      <c r="U100" s="58" t="str">
        <f t="shared" si="19"/>
        <v/>
      </c>
      <c r="V100" s="58" t="str">
        <f>IF($A100="","",IF(OR($B100="",$C100="",$D100="",$E100="",$F100=""),"Missing required field",IF(COUNTIFS($A$9:$A100,$A100,$B$9:$B100,$B100)&gt;1,"Duplicate event ID",IF(AND($E100&lt;&gt;IFERROR(LOOKUP(2,1/($B$9:$B$99=$B100),$E$9:$E99),0),IFERROR(LOOKUP(2,1/($B$9:$B$99=$B100),$E$9:$E99),0)&gt;$E100),"Date out of order",IF(AND(OR($F100="buy_to_close",$F100="expire",$F100="roll",$F100="assignment",$F100="called_away"),$AF100=0),"Unknown lot",IF(OR(AND($F100="assignment",$AF100&gt;0,IF($AF100&gt;0,INDEX($AG$9:$AG$99,$AF100),"")&lt;&gt;"put"),AND($F100="called_away",$AF100&gt;0,IF($AF100&gt;0,INDEX($AG$9:$AG$99,$AF100),"")&lt;&gt;"call")),"Wrong option leg",IF(OR(AND(OR($F100="sell_put",$F100="sell_call"),OR($H100&lt;=0,$I100&lt;=0,$J100&lt;0)),AND(OR($F100="buy_to_close",$F100="expire",$F100="assignment",$F100="called_away"),OR($H100&lt;=0,$J100&lt;0)),AND($F100="roll",OR($H100&lt;=0,$I100&lt;=0,$J100&lt;0,$K100&lt;0)),AND(OR($F100="buy_shares",$F100="sell_shares"),OR($L100&lt;=0,$M100&lt;0)),AND(OR($F100="dividend",$F100="fee"),$N100&lt;0)),"Invalid value",IF(AND(OR($F100="sell_shares",$F100="called_away"),$AL100&lt;IF($F100="called_away",$AE100*$D100,$L100)),"Insufficient shares (capped)",IF(AND(OR($F100="buy_to_close",$F100="expire",$F100="roll",$F100="assignment",$F100="called_away"),$AF100&gt;0,$H100&gt;IF($AF100&gt;0,MAX(0,INDEX($AI$9:$AI$99,$AF100)-SUMIFS($AE$9:$AE$99,$G$9:$G$99,$G100,$B$9:$B$99,$B100)),0)),"Close quantity capped","OK")))))))))</f>
        <v/>
      </c>
      <c r="W100" s="59" t="str">
        <f t="shared" si="20"/>
        <v/>
      </c>
      <c r="X100" s="60" t="str">
        <f t="shared" si="21"/>
        <v/>
      </c>
      <c r="Y100" s="50" t="str">
        <f t="shared" si="22"/>
        <v/>
      </c>
      <c r="Z100" s="50" t="str">
        <f t="shared" si="23"/>
        <v/>
      </c>
      <c r="AA100" s="50" t="str">
        <f t="shared" si="24"/>
        <v/>
      </c>
      <c r="AB100" s="50" t="str">
        <f t="shared" si="25"/>
        <v/>
      </c>
      <c r="AC100" s="50" t="str">
        <f>IF($A100="","",IF($F100="assignment",IF($AF100&gt;0,INDEX($AH$9:$AH$99,$AF100),0)*$AE100*$D100,IF($F100="buy_shares",$M100*$AL100,0)))</f>
        <v/>
      </c>
      <c r="AD100" s="50" t="str">
        <f>IF($A100="","",IF($F100="called_away",IF($AF100&gt;0,INDEX($AH$9:$AH$99,$AF100),0)*$AL100,IF($F100="sell_shares",$M100*$AL100,0)))</f>
        <v/>
      </c>
      <c r="AE100" s="51" t="str">
        <f>IF($A100="","",IF(OR($F100="sell_put",$F100="sell_call"),IF(AND($H100&gt;0,$I100&gt;0,$J100&gt;=0),$H100,0),IF(OR($F100="buy_to_close",$F100="expire",$F100="roll",$F100="assignment",$F100="called_away"),IF(AND($AF100&gt;0,$H100&gt;0,IF($F100="assignment",IF($AF100&gt;0,INDEX($AG$9:$AG$99,$AF100),"")="put",TRUE),IF($F100="called_away",IF($AF100&gt;0,INDEX($AG$9:$AG$99,$AF100),"")="call",TRUE)),MIN($H100,IF($AF100&gt;0,MAX(0,INDEX($AI$9:$AI$99,$AF100)-SUMIFS($AE$9:$AE$99,$G$9:$G$99,$G100,$B$9:$B$99,$B100)),0)),0),0)))</f>
        <v/>
      </c>
      <c r="AF100" t="str">
        <f>IF($A100="","",IFERROR(MATCH(LEN($B100)&amp;":"&amp;$B100&amp;$G100,$AY$9:$AY$99,0),0))</f>
        <v/>
      </c>
      <c r="AG100" t="str">
        <f>IF($A100="","",IF($F100="sell_put","put",IF($F100="sell_call","call",IF($F100="roll",IF($AF100&gt;0,IF($AF100&gt;0,INDEX($AG$9:$AG$99,$AF100),""),""),IF($AF100&gt;0,IF($AF100&gt;0,INDEX($AG$9:$AG$99,$AF100),""),"")))))</f>
        <v/>
      </c>
      <c r="AH100" t="str">
        <f>IF($A100="","",IF(OR($F100="sell_put",$F100="sell_call",$F100="roll"),$I100,IF($AF100&gt;0,IF($AF100&gt;0,INDEX($AH$9:$AH$99,$AF100),0),0)))</f>
        <v/>
      </c>
      <c r="AI100" s="51" t="str">
        <f t="shared" si="26"/>
        <v/>
      </c>
      <c r="AJ100" s="51" t="str">
        <f>IF($A100="","",IFERROR(LOOKUP(2,1/($B$9:$B$99=$B100),$AM$9:$AM99),0))</f>
        <v/>
      </c>
      <c r="AK100" t="str">
        <f>IF($A100="","",IFERROR(LOOKUP(2,1/($B$9:$B$99=$B100),$AN$9:$AN99),0))</f>
        <v/>
      </c>
      <c r="AL100" s="51" t="str">
        <f t="shared" si="27"/>
        <v/>
      </c>
      <c r="AM100" s="51" t="str">
        <f t="shared" si="28"/>
        <v/>
      </c>
      <c r="AN100" t="str">
        <f t="shared" si="29"/>
        <v/>
      </c>
      <c r="AO100" s="50" t="str">
        <f>IF($A100="","",IFERROR(LOOKUP(2,1/($B$9:$B$99=$B100),$AO$9:$AO99),0)+IF($F100="sell_put",$I100*$AE100*$D100,IF($F100="roll",IF($AG100="put",($I100-IF($AF100&gt;0,INDEX($AH$9:$AH$99,$AF100),0))*$AE100*$D100,0),IF(AND(OR($F100="buy_to_close",$F100="expire",$F100="roll",$F100="assignment",$F100="called_away"),$F100&lt;&gt;"roll",$AG100="put"),-IF($AF100&gt;0,INDEX($AH$9:$AH$99,$AF100),0)*$AE100*$D100,0))))</f>
        <v/>
      </c>
      <c r="AP100" s="51" t="str">
        <f>IF($A100="","",IFERROR(LOOKUP(2,1/($B$9:$B$99=$B100),$AP$9:$AP99),0)+IF($F100="sell_put",$AE100*$D100,IF(AND(OR($F100="buy_to_close",$F100="expire",$F100="roll",$F100="assignment",$F100="called_away"),$F100&lt;&gt;"roll",$AG100="put"),-$AE100*$D100,0)))</f>
        <v/>
      </c>
      <c r="AQ100" s="51" t="str">
        <f>IF($A100="","",IFERROR(LOOKUP(2,1/($B$9:$B$99=$B100),$AQ$9:$AQ99),0)+IF(OR($F100="sell_put",$F100="sell_call"),$AE100,0)-IF(AND(OR($F100="buy_to_close",$F100="expire",$F100="roll",$F100="assignment",$F100="called_away"),$F100&lt;&gt;"roll"),$AE100,0))</f>
        <v/>
      </c>
      <c r="AR100" t="str">
        <f t="shared" si="30"/>
        <v/>
      </c>
      <c r="AS100" s="50" t="str">
        <f t="shared" si="31"/>
        <v/>
      </c>
      <c r="AT100" s="50" t="str">
        <f>IF($A100="","",MAX(IF($T100=IFERROR(LOOKUP(2,1/($B$9:$B$99=$B100),$T$9:$T99),0),IFERROR(LOOKUP(2,1/($B$9:$B$99=$B100),$AT$9:$AT99),0),0),$AS100))</f>
        <v/>
      </c>
      <c r="AU100" t="str">
        <f t="shared" si="32"/>
        <v/>
      </c>
      <c r="AV100" s="51">
        <f>IF($AU100="",0,IF(AND(IFERROR(LOOKUP(2,1/($B$9:$B$99=$B100),$AR$9:$AR99),1),NOT(AND(OR($F100="dividend",$F100="fee"),IFERROR(LOOKUP(2,1/($B$9:$B$99=$B100),$T$9:$T99),0)&gt;0))),ROW(),0))</f>
        <v>0</v>
      </c>
      <c r="AW100">
        <f>IF($A100="",0,IF($AV100&gt;0,MAX($AW$9:$AW$99)+1,MAX($AW$9:$AW$99)))</f>
        <v>0</v>
      </c>
      <c r="AX100">
        <f>IF($AU100="",0,IF(AND($AR100,OR(NOT(IFERROR(LOOKUP(2,1/($B$9:$B$99=$B100),$AR$9:$AR99),1)),IFERROR(LOOKUP(2,1/($B$9:$B$99=$B100),$T$9:$T99),0)=0)),ROW(),0))</f>
        <v>0</v>
      </c>
      <c r="AY100" t="str">
        <f t="shared" si="33"/>
        <v/>
      </c>
    </row>
    <row r="101" spans="1:51" ht="15" x14ac:dyDescent="0.25">
      <c r="A101" s="41" t="str">
        <f>IF(Trades!$A101="","",Trades!O101)</f>
        <v/>
      </c>
      <c r="B101" s="41" t="str">
        <f>IF(Trades!$A101="","",Trades!B101)</f>
        <v/>
      </c>
      <c r="C101" s="41" t="str">
        <f>IF(Trades!$A101="","",Trades!C101)</f>
        <v/>
      </c>
      <c r="D101" s="42" t="str">
        <f>IF(Trades!$A101="","",IF(Trades!$L101&gt;0,Trades!$L101,Trades!$C$6))</f>
        <v/>
      </c>
      <c r="E101" s="43" t="str">
        <f>IF(Trades!$A101="","",Trades!A101)</f>
        <v/>
      </c>
      <c r="F101" s="41" t="str">
        <f>IF(Trades!$A101="","",IFERROR(INDEX(Trades!$V$2:$V$14,MATCH(Trades!$E101,Trades!$U$2:$U$14,0)),""))</f>
        <v/>
      </c>
      <c r="G101" s="41" t="str">
        <f>IF(Trades!$A101="","",Trades!N101)</f>
        <v/>
      </c>
      <c r="H101" s="42" t="str">
        <f>IF(Trades!$A101="","",Trades!F101)</f>
        <v/>
      </c>
      <c r="I101" s="44" t="str">
        <f>IF(Trades!$A101="","",Trades!G101)</f>
        <v/>
      </c>
      <c r="J101" s="44" t="str">
        <f>IF(Trades!$A101="","",Trades!I101)</f>
        <v/>
      </c>
      <c r="K101" s="44" t="str">
        <f>IF(Trades!$A101="","",Trades!Q101)</f>
        <v/>
      </c>
      <c r="L101" s="42" t="str">
        <f>IF(Trades!$A101="","",Trades!F101)</f>
        <v/>
      </c>
      <c r="M101" s="44" t="str">
        <f>IF(Trades!$A101="","",Trades!M101)</f>
        <v/>
      </c>
      <c r="N101" s="44" t="str">
        <f>IF(Trades!$A101="","",Trades!R101)</f>
        <v/>
      </c>
      <c r="O101" s="44" t="str">
        <f>IF(Trades!$A101="","",Trades!J101)</f>
        <v/>
      </c>
      <c r="P101" s="43" t="str">
        <f>IF(Trades!$A101="","",Trades!H101)</f>
        <v/>
      </c>
      <c r="Q101" s="41" t="str">
        <f>IF(Trades!$A101="","",Trades!P101)</f>
        <v/>
      </c>
      <c r="R101" s="45" t="str">
        <f t="shared" si="17"/>
        <v/>
      </c>
      <c r="S101" s="45" t="str">
        <f t="shared" si="18"/>
        <v/>
      </c>
      <c r="T101" s="46" t="str">
        <f>IF(OR($A101="",$B101=""),"",IF(AND(IFERROR(LOOKUP(2,1/($B$9:$B$100=$B101),$AR$9:$AR100),1),NOT(AND(OR($F101="dividend",$F101="fee"),IFERROR(LOOKUP(2,1/($B$9:$B$100=$B101),$T$9:$T100),0)&gt;0))),IFERROR(LOOKUP(2,1/($B$9:$B$100=$B101),$T$9:$T100),0)+1,IFERROR(LOOKUP(2,1/($B$9:$B$100=$B101),$T$9:$T100),0)))</f>
        <v/>
      </c>
      <c r="U101" s="47" t="str">
        <f t="shared" si="19"/>
        <v/>
      </c>
      <c r="V101" s="47" t="str">
        <f>IF($A101="","",IF(OR($B101="",$C101="",$D101="",$E101="",$F101=""),"Missing required field",IF(COUNTIFS($A$9:$A101,$A101,$B$9:$B101,$B101)&gt;1,"Duplicate event ID",IF(AND($E101&lt;&gt;IFERROR(LOOKUP(2,1/($B$9:$B$100=$B101),$E$9:$E100),0),IFERROR(LOOKUP(2,1/($B$9:$B$100=$B101),$E$9:$E100),0)&gt;$E101),"Date out of order",IF(AND(OR($F101="buy_to_close",$F101="expire",$F101="roll",$F101="assignment",$F101="called_away"),$AF101=0),"Unknown lot",IF(OR(AND($F101="assignment",$AF101&gt;0,IF($AF101&gt;0,INDEX($AG$9:$AG$100,$AF101),"")&lt;&gt;"put"),AND($F101="called_away",$AF101&gt;0,IF($AF101&gt;0,INDEX($AG$9:$AG$100,$AF101),"")&lt;&gt;"call")),"Wrong option leg",IF(OR(AND(OR($F101="sell_put",$F101="sell_call"),OR($H101&lt;=0,$I101&lt;=0,$J101&lt;0)),AND(OR($F101="buy_to_close",$F101="expire",$F101="assignment",$F101="called_away"),OR($H101&lt;=0,$J101&lt;0)),AND($F101="roll",OR($H101&lt;=0,$I101&lt;=0,$J101&lt;0,$K101&lt;0)),AND(OR($F101="buy_shares",$F101="sell_shares"),OR($L101&lt;=0,$M101&lt;0)),AND(OR($F101="dividend",$F101="fee"),$N101&lt;0)),"Invalid value",IF(AND(OR($F101="sell_shares",$F101="called_away"),$AL101&lt;IF($F101="called_away",$AE101*$D101,$L101)),"Insufficient shares (capped)",IF(AND(OR($F101="buy_to_close",$F101="expire",$F101="roll",$F101="assignment",$F101="called_away"),$AF101&gt;0,$H101&gt;IF($AF101&gt;0,MAX(0,INDEX($AI$9:$AI$100,$AF101)-SUMIFS($AE$9:$AE$100,$G$9:$G$100,$G101,$B$9:$B$100,$B101)),0)),"Close quantity capped","OK")))))))))</f>
        <v/>
      </c>
      <c r="W101" s="48" t="str">
        <f t="shared" si="20"/>
        <v/>
      </c>
      <c r="X101" s="49" t="str">
        <f t="shared" si="21"/>
        <v/>
      </c>
      <c r="Y101" s="50" t="str">
        <f t="shared" si="22"/>
        <v/>
      </c>
      <c r="Z101" s="50" t="str">
        <f t="shared" si="23"/>
        <v/>
      </c>
      <c r="AA101" s="50" t="str">
        <f t="shared" si="24"/>
        <v/>
      </c>
      <c r="AB101" s="50" t="str">
        <f t="shared" si="25"/>
        <v/>
      </c>
      <c r="AC101" s="50" t="str">
        <f>IF($A101="","",IF($F101="assignment",IF($AF101&gt;0,INDEX($AH$9:$AH$100,$AF101),0)*$AE101*$D101,IF($F101="buy_shares",$M101*$AL101,0)))</f>
        <v/>
      </c>
      <c r="AD101" s="50" t="str">
        <f>IF($A101="","",IF($F101="called_away",IF($AF101&gt;0,INDEX($AH$9:$AH$100,$AF101),0)*$AL101,IF($F101="sell_shares",$M101*$AL101,0)))</f>
        <v/>
      </c>
      <c r="AE101" s="51" t="str">
        <f>IF($A101="","",IF(OR($F101="sell_put",$F101="sell_call"),IF(AND($H101&gt;0,$I101&gt;0,$J101&gt;=0),$H101,0),IF(OR($F101="buy_to_close",$F101="expire",$F101="roll",$F101="assignment",$F101="called_away"),IF(AND($AF101&gt;0,$H101&gt;0,IF($F101="assignment",IF($AF101&gt;0,INDEX($AG$9:$AG$100,$AF101),"")="put",TRUE),IF($F101="called_away",IF($AF101&gt;0,INDEX($AG$9:$AG$100,$AF101),"")="call",TRUE)),MIN($H101,IF($AF101&gt;0,MAX(0,INDEX($AI$9:$AI$100,$AF101)-SUMIFS($AE$9:$AE$100,$G$9:$G$100,$G101,$B$9:$B$100,$B101)),0)),0),0)))</f>
        <v/>
      </c>
      <c r="AF101" t="str">
        <f>IF($A101="","",IFERROR(MATCH(LEN($B101)&amp;":"&amp;$B101&amp;$G101,$AY$9:$AY$100,0),0))</f>
        <v/>
      </c>
      <c r="AG101" t="str">
        <f>IF($A101="","",IF($F101="sell_put","put",IF($F101="sell_call","call",IF($F101="roll",IF($AF101&gt;0,IF($AF101&gt;0,INDEX($AG$9:$AG$100,$AF101),""),""),IF($AF101&gt;0,IF($AF101&gt;0,INDEX($AG$9:$AG$100,$AF101),""),"")))))</f>
        <v/>
      </c>
      <c r="AH101" t="str">
        <f>IF($A101="","",IF(OR($F101="sell_put",$F101="sell_call",$F101="roll"),$I101,IF($AF101&gt;0,IF($AF101&gt;0,INDEX($AH$9:$AH$100,$AF101),0),0)))</f>
        <v/>
      </c>
      <c r="AI101" s="51" t="str">
        <f t="shared" si="26"/>
        <v/>
      </c>
      <c r="AJ101" s="51" t="str">
        <f>IF($A101="","",IFERROR(LOOKUP(2,1/($B$9:$B$100=$B101),$AM$9:$AM100),0))</f>
        <v/>
      </c>
      <c r="AK101" t="str">
        <f>IF($A101="","",IFERROR(LOOKUP(2,1/($B$9:$B$100=$B101),$AN$9:$AN100),0))</f>
        <v/>
      </c>
      <c r="AL101" s="51" t="str">
        <f t="shared" si="27"/>
        <v/>
      </c>
      <c r="AM101" s="51" t="str">
        <f t="shared" si="28"/>
        <v/>
      </c>
      <c r="AN101" t="str">
        <f t="shared" si="29"/>
        <v/>
      </c>
      <c r="AO101" s="50" t="str">
        <f>IF($A101="","",IFERROR(LOOKUP(2,1/($B$9:$B$100=$B101),$AO$9:$AO100),0)+IF($F101="sell_put",$I101*$AE101*$D101,IF($F101="roll",IF($AG101="put",($I101-IF($AF101&gt;0,INDEX($AH$9:$AH$100,$AF101),0))*$AE101*$D101,0),IF(AND(OR($F101="buy_to_close",$F101="expire",$F101="roll",$F101="assignment",$F101="called_away"),$F101&lt;&gt;"roll",$AG101="put"),-IF($AF101&gt;0,INDEX($AH$9:$AH$100,$AF101),0)*$AE101*$D101,0))))</f>
        <v/>
      </c>
      <c r="AP101" s="51" t="str">
        <f>IF($A101="","",IFERROR(LOOKUP(2,1/($B$9:$B$100=$B101),$AP$9:$AP100),0)+IF($F101="sell_put",$AE101*$D101,IF(AND(OR($F101="buy_to_close",$F101="expire",$F101="roll",$F101="assignment",$F101="called_away"),$F101&lt;&gt;"roll",$AG101="put"),-$AE101*$D101,0)))</f>
        <v/>
      </c>
      <c r="AQ101" s="51" t="str">
        <f>IF($A101="","",IFERROR(LOOKUP(2,1/($B$9:$B$100=$B101),$AQ$9:$AQ100),0)+IF(OR($F101="sell_put",$F101="sell_call"),$AE101,0)-IF(AND(OR($F101="buy_to_close",$F101="expire",$F101="roll",$F101="assignment",$F101="called_away"),$F101&lt;&gt;"roll"),$AE101,0))</f>
        <v/>
      </c>
      <c r="AR101" t="str">
        <f t="shared" si="30"/>
        <v/>
      </c>
      <c r="AS101" s="50" t="str">
        <f t="shared" si="31"/>
        <v/>
      </c>
      <c r="AT101" s="50" t="str">
        <f>IF($A101="","",MAX(IF($T101=IFERROR(LOOKUP(2,1/($B$9:$B$100=$B101),$T$9:$T100),0),IFERROR(LOOKUP(2,1/($B$9:$B$100=$B101),$AT$9:$AT100),0),0),$AS101))</f>
        <v/>
      </c>
      <c r="AU101" t="str">
        <f t="shared" si="32"/>
        <v/>
      </c>
      <c r="AV101" s="51">
        <f>IF($AU101="",0,IF(AND(IFERROR(LOOKUP(2,1/($B$9:$B$100=$B101),$AR$9:$AR100),1),NOT(AND(OR($F101="dividend",$F101="fee"),IFERROR(LOOKUP(2,1/($B$9:$B$100=$B101),$T$9:$T100),0)&gt;0))),ROW(),0))</f>
        <v>0</v>
      </c>
      <c r="AW101">
        <f>IF($A101="",0,IF($AV101&gt;0,MAX($AW$9:$AW$100)+1,MAX($AW$9:$AW$100)))</f>
        <v>0</v>
      </c>
      <c r="AX101">
        <f>IF($AU101="",0,IF(AND($AR101,OR(NOT(IFERROR(LOOKUP(2,1/($B$9:$B$100=$B101),$AR$9:$AR100),1)),IFERROR(LOOKUP(2,1/($B$9:$B$100=$B101),$T$9:$T100),0)=0)),ROW(),0))</f>
        <v>0</v>
      </c>
      <c r="AY101" t="str">
        <f t="shared" si="33"/>
        <v/>
      </c>
    </row>
    <row r="102" spans="1:51" ht="15" x14ac:dyDescent="0.25">
      <c r="A102" s="52" t="str">
        <f>IF(Trades!$A102="","",Trades!O102)</f>
        <v/>
      </c>
      <c r="B102" s="52" t="str">
        <f>IF(Trades!$A102="","",Trades!B102)</f>
        <v/>
      </c>
      <c r="C102" s="52" t="str">
        <f>IF(Trades!$A102="","",Trades!C102)</f>
        <v/>
      </c>
      <c r="D102" s="53" t="str">
        <f>IF(Trades!$A102="","",IF(Trades!$L102&gt;0,Trades!$L102,Trades!$C$6))</f>
        <v/>
      </c>
      <c r="E102" s="54" t="str">
        <f>IF(Trades!$A102="","",Trades!A102)</f>
        <v/>
      </c>
      <c r="F102" s="52" t="str">
        <f>IF(Trades!$A102="","",IFERROR(INDEX(Trades!$V$2:$V$14,MATCH(Trades!$E102,Trades!$U$2:$U$14,0)),""))</f>
        <v/>
      </c>
      <c r="G102" s="52" t="str">
        <f>IF(Trades!$A102="","",Trades!N102)</f>
        <v/>
      </c>
      <c r="H102" s="53" t="str">
        <f>IF(Trades!$A102="","",Trades!F102)</f>
        <v/>
      </c>
      <c r="I102" s="55" t="str">
        <f>IF(Trades!$A102="","",Trades!G102)</f>
        <v/>
      </c>
      <c r="J102" s="55" t="str">
        <f>IF(Trades!$A102="","",Trades!I102)</f>
        <v/>
      </c>
      <c r="K102" s="55" t="str">
        <f>IF(Trades!$A102="","",Trades!Q102)</f>
        <v/>
      </c>
      <c r="L102" s="53" t="str">
        <f>IF(Trades!$A102="","",Trades!F102)</f>
        <v/>
      </c>
      <c r="M102" s="55" t="str">
        <f>IF(Trades!$A102="","",Trades!M102)</f>
        <v/>
      </c>
      <c r="N102" s="55" t="str">
        <f>IF(Trades!$A102="","",Trades!R102)</f>
        <v/>
      </c>
      <c r="O102" s="55" t="str">
        <f>IF(Trades!$A102="","",Trades!J102)</f>
        <v/>
      </c>
      <c r="P102" s="54" t="str">
        <f>IF(Trades!$A102="","",Trades!H102)</f>
        <v/>
      </c>
      <c r="Q102" s="52" t="str">
        <f>IF(Trades!$A102="","",Trades!P102)</f>
        <v/>
      </c>
      <c r="R102" s="56" t="str">
        <f t="shared" si="17"/>
        <v/>
      </c>
      <c r="S102" s="56" t="str">
        <f t="shared" si="18"/>
        <v/>
      </c>
      <c r="T102" s="57" t="str">
        <f>IF(OR($A102="",$B102=""),"",IF(AND(IFERROR(LOOKUP(2,1/($B$9:$B$101=$B102),$AR$9:$AR101),1),NOT(AND(OR($F102="dividend",$F102="fee"),IFERROR(LOOKUP(2,1/($B$9:$B$101=$B102),$T$9:$T101),0)&gt;0))),IFERROR(LOOKUP(2,1/($B$9:$B$101=$B102),$T$9:$T101),0)+1,IFERROR(LOOKUP(2,1/($B$9:$B$101=$B102),$T$9:$T101),0)))</f>
        <v/>
      </c>
      <c r="U102" s="58" t="str">
        <f t="shared" si="19"/>
        <v/>
      </c>
      <c r="V102" s="58" t="str">
        <f>IF($A102="","",IF(OR($B102="",$C102="",$D102="",$E102="",$F102=""),"Missing required field",IF(COUNTIFS($A$9:$A102,$A102,$B$9:$B102,$B102)&gt;1,"Duplicate event ID",IF(AND($E102&lt;&gt;IFERROR(LOOKUP(2,1/($B$9:$B$101=$B102),$E$9:$E101),0),IFERROR(LOOKUP(2,1/($B$9:$B$101=$B102),$E$9:$E101),0)&gt;$E102),"Date out of order",IF(AND(OR($F102="buy_to_close",$F102="expire",$F102="roll",$F102="assignment",$F102="called_away"),$AF102=0),"Unknown lot",IF(OR(AND($F102="assignment",$AF102&gt;0,IF($AF102&gt;0,INDEX($AG$9:$AG$101,$AF102),"")&lt;&gt;"put"),AND($F102="called_away",$AF102&gt;0,IF($AF102&gt;0,INDEX($AG$9:$AG$101,$AF102),"")&lt;&gt;"call")),"Wrong option leg",IF(OR(AND(OR($F102="sell_put",$F102="sell_call"),OR($H102&lt;=0,$I102&lt;=0,$J102&lt;0)),AND(OR($F102="buy_to_close",$F102="expire",$F102="assignment",$F102="called_away"),OR($H102&lt;=0,$J102&lt;0)),AND($F102="roll",OR($H102&lt;=0,$I102&lt;=0,$J102&lt;0,$K102&lt;0)),AND(OR($F102="buy_shares",$F102="sell_shares"),OR($L102&lt;=0,$M102&lt;0)),AND(OR($F102="dividend",$F102="fee"),$N102&lt;0)),"Invalid value",IF(AND(OR($F102="sell_shares",$F102="called_away"),$AL102&lt;IF($F102="called_away",$AE102*$D102,$L102)),"Insufficient shares (capped)",IF(AND(OR($F102="buy_to_close",$F102="expire",$F102="roll",$F102="assignment",$F102="called_away"),$AF102&gt;0,$H102&gt;IF($AF102&gt;0,MAX(0,INDEX($AI$9:$AI$101,$AF102)-SUMIFS($AE$9:$AE$101,$G$9:$G$101,$G102,$B$9:$B$101,$B102)),0)),"Close quantity capped","OK")))))))))</f>
        <v/>
      </c>
      <c r="W102" s="59" t="str">
        <f t="shared" si="20"/>
        <v/>
      </c>
      <c r="X102" s="60" t="str">
        <f t="shared" si="21"/>
        <v/>
      </c>
      <c r="Y102" s="50" t="str">
        <f t="shared" si="22"/>
        <v/>
      </c>
      <c r="Z102" s="50" t="str">
        <f t="shared" si="23"/>
        <v/>
      </c>
      <c r="AA102" s="50" t="str">
        <f t="shared" si="24"/>
        <v/>
      </c>
      <c r="AB102" s="50" t="str">
        <f t="shared" si="25"/>
        <v/>
      </c>
      <c r="AC102" s="50" t="str">
        <f>IF($A102="","",IF($F102="assignment",IF($AF102&gt;0,INDEX($AH$9:$AH$101,$AF102),0)*$AE102*$D102,IF($F102="buy_shares",$M102*$AL102,0)))</f>
        <v/>
      </c>
      <c r="AD102" s="50" t="str">
        <f>IF($A102="","",IF($F102="called_away",IF($AF102&gt;0,INDEX($AH$9:$AH$101,$AF102),0)*$AL102,IF($F102="sell_shares",$M102*$AL102,0)))</f>
        <v/>
      </c>
      <c r="AE102" s="51" t="str">
        <f>IF($A102="","",IF(OR($F102="sell_put",$F102="sell_call"),IF(AND($H102&gt;0,$I102&gt;0,$J102&gt;=0),$H102,0),IF(OR($F102="buy_to_close",$F102="expire",$F102="roll",$F102="assignment",$F102="called_away"),IF(AND($AF102&gt;0,$H102&gt;0,IF($F102="assignment",IF($AF102&gt;0,INDEX($AG$9:$AG$101,$AF102),"")="put",TRUE),IF($F102="called_away",IF($AF102&gt;0,INDEX($AG$9:$AG$101,$AF102),"")="call",TRUE)),MIN($H102,IF($AF102&gt;0,MAX(0,INDEX($AI$9:$AI$101,$AF102)-SUMIFS($AE$9:$AE$101,$G$9:$G$101,$G102,$B$9:$B$101,$B102)),0)),0),0)))</f>
        <v/>
      </c>
      <c r="AF102" t="str">
        <f>IF($A102="","",IFERROR(MATCH(LEN($B102)&amp;":"&amp;$B102&amp;$G102,$AY$9:$AY$101,0),0))</f>
        <v/>
      </c>
      <c r="AG102" t="str">
        <f>IF($A102="","",IF($F102="sell_put","put",IF($F102="sell_call","call",IF($F102="roll",IF($AF102&gt;0,IF($AF102&gt;0,INDEX($AG$9:$AG$101,$AF102),""),""),IF($AF102&gt;0,IF($AF102&gt;0,INDEX($AG$9:$AG$101,$AF102),""),"")))))</f>
        <v/>
      </c>
      <c r="AH102" t="str">
        <f>IF($A102="","",IF(OR($F102="sell_put",$F102="sell_call",$F102="roll"),$I102,IF($AF102&gt;0,IF($AF102&gt;0,INDEX($AH$9:$AH$101,$AF102),0),0)))</f>
        <v/>
      </c>
      <c r="AI102" s="51" t="str">
        <f t="shared" si="26"/>
        <v/>
      </c>
      <c r="AJ102" s="51" t="str">
        <f>IF($A102="","",IFERROR(LOOKUP(2,1/($B$9:$B$101=$B102),$AM$9:$AM101),0))</f>
        <v/>
      </c>
      <c r="AK102" t="str">
        <f>IF($A102="","",IFERROR(LOOKUP(2,1/($B$9:$B$101=$B102),$AN$9:$AN101),0))</f>
        <v/>
      </c>
      <c r="AL102" s="51" t="str">
        <f t="shared" si="27"/>
        <v/>
      </c>
      <c r="AM102" s="51" t="str">
        <f t="shared" si="28"/>
        <v/>
      </c>
      <c r="AN102" t="str">
        <f t="shared" si="29"/>
        <v/>
      </c>
      <c r="AO102" s="50" t="str">
        <f>IF($A102="","",IFERROR(LOOKUP(2,1/($B$9:$B$101=$B102),$AO$9:$AO101),0)+IF($F102="sell_put",$I102*$AE102*$D102,IF($F102="roll",IF($AG102="put",($I102-IF($AF102&gt;0,INDEX($AH$9:$AH$101,$AF102),0))*$AE102*$D102,0),IF(AND(OR($F102="buy_to_close",$F102="expire",$F102="roll",$F102="assignment",$F102="called_away"),$F102&lt;&gt;"roll",$AG102="put"),-IF($AF102&gt;0,INDEX($AH$9:$AH$101,$AF102),0)*$AE102*$D102,0))))</f>
        <v/>
      </c>
      <c r="AP102" s="51" t="str">
        <f>IF($A102="","",IFERROR(LOOKUP(2,1/($B$9:$B$101=$B102),$AP$9:$AP101),0)+IF($F102="sell_put",$AE102*$D102,IF(AND(OR($F102="buy_to_close",$F102="expire",$F102="roll",$F102="assignment",$F102="called_away"),$F102&lt;&gt;"roll",$AG102="put"),-$AE102*$D102,0)))</f>
        <v/>
      </c>
      <c r="AQ102" s="51" t="str">
        <f>IF($A102="","",IFERROR(LOOKUP(2,1/($B$9:$B$101=$B102),$AQ$9:$AQ101),0)+IF(OR($F102="sell_put",$F102="sell_call"),$AE102,0)-IF(AND(OR($F102="buy_to_close",$F102="expire",$F102="roll",$F102="assignment",$F102="called_away"),$F102&lt;&gt;"roll"),$AE102,0))</f>
        <v/>
      </c>
      <c r="AR102" t="str">
        <f t="shared" si="30"/>
        <v/>
      </c>
      <c r="AS102" s="50" t="str">
        <f t="shared" si="31"/>
        <v/>
      </c>
      <c r="AT102" s="50" t="str">
        <f>IF($A102="","",MAX(IF($T102=IFERROR(LOOKUP(2,1/($B$9:$B$101=$B102),$T$9:$T101),0),IFERROR(LOOKUP(2,1/($B$9:$B$101=$B102),$AT$9:$AT101),0),0),$AS102))</f>
        <v/>
      </c>
      <c r="AU102" t="str">
        <f t="shared" si="32"/>
        <v/>
      </c>
      <c r="AV102" s="51">
        <f>IF($AU102="",0,IF(AND(IFERROR(LOOKUP(2,1/($B$9:$B$101=$B102),$AR$9:$AR101),1),NOT(AND(OR($F102="dividend",$F102="fee"),IFERROR(LOOKUP(2,1/($B$9:$B$101=$B102),$T$9:$T101),0)&gt;0))),ROW(),0))</f>
        <v>0</v>
      </c>
      <c r="AW102">
        <f>IF($A102="",0,IF($AV102&gt;0,MAX($AW$9:$AW$101)+1,MAX($AW$9:$AW$101)))</f>
        <v>0</v>
      </c>
      <c r="AX102">
        <f>IF($AU102="",0,IF(AND($AR102,OR(NOT(IFERROR(LOOKUP(2,1/($B$9:$B$101=$B102),$AR$9:$AR101),1)),IFERROR(LOOKUP(2,1/($B$9:$B$101=$B102),$T$9:$T101),0)=0)),ROW(),0))</f>
        <v>0</v>
      </c>
      <c r="AY102" t="str">
        <f t="shared" si="33"/>
        <v/>
      </c>
    </row>
    <row r="103" spans="1:51" ht="15" x14ac:dyDescent="0.25">
      <c r="A103" s="41" t="str">
        <f>IF(Trades!$A103="","",Trades!O103)</f>
        <v/>
      </c>
      <c r="B103" s="41" t="str">
        <f>IF(Trades!$A103="","",Trades!B103)</f>
        <v/>
      </c>
      <c r="C103" s="41" t="str">
        <f>IF(Trades!$A103="","",Trades!C103)</f>
        <v/>
      </c>
      <c r="D103" s="42" t="str">
        <f>IF(Trades!$A103="","",IF(Trades!$L103&gt;0,Trades!$L103,Trades!$C$6))</f>
        <v/>
      </c>
      <c r="E103" s="43" t="str">
        <f>IF(Trades!$A103="","",Trades!A103)</f>
        <v/>
      </c>
      <c r="F103" s="41" t="str">
        <f>IF(Trades!$A103="","",IFERROR(INDEX(Trades!$V$2:$V$14,MATCH(Trades!$E103,Trades!$U$2:$U$14,0)),""))</f>
        <v/>
      </c>
      <c r="G103" s="41" t="str">
        <f>IF(Trades!$A103="","",Trades!N103)</f>
        <v/>
      </c>
      <c r="H103" s="42" t="str">
        <f>IF(Trades!$A103="","",Trades!F103)</f>
        <v/>
      </c>
      <c r="I103" s="44" t="str">
        <f>IF(Trades!$A103="","",Trades!G103)</f>
        <v/>
      </c>
      <c r="J103" s="44" t="str">
        <f>IF(Trades!$A103="","",Trades!I103)</f>
        <v/>
      </c>
      <c r="K103" s="44" t="str">
        <f>IF(Trades!$A103="","",Trades!Q103)</f>
        <v/>
      </c>
      <c r="L103" s="42" t="str">
        <f>IF(Trades!$A103="","",Trades!F103)</f>
        <v/>
      </c>
      <c r="M103" s="44" t="str">
        <f>IF(Trades!$A103="","",Trades!M103)</f>
        <v/>
      </c>
      <c r="N103" s="44" t="str">
        <f>IF(Trades!$A103="","",Trades!R103)</f>
        <v/>
      </c>
      <c r="O103" s="44" t="str">
        <f>IF(Trades!$A103="","",Trades!J103)</f>
        <v/>
      </c>
      <c r="P103" s="43" t="str">
        <f>IF(Trades!$A103="","",Trades!H103)</f>
        <v/>
      </c>
      <c r="Q103" s="41" t="str">
        <f>IF(Trades!$A103="","",Trades!P103)</f>
        <v/>
      </c>
      <c r="R103" s="45" t="str">
        <f t="shared" si="17"/>
        <v/>
      </c>
      <c r="S103" s="45" t="str">
        <f t="shared" si="18"/>
        <v/>
      </c>
      <c r="T103" s="46" t="str">
        <f>IF(OR($A103="",$B103=""),"",IF(AND(IFERROR(LOOKUP(2,1/($B$9:$B$102=$B103),$AR$9:$AR102),1),NOT(AND(OR($F103="dividend",$F103="fee"),IFERROR(LOOKUP(2,1/($B$9:$B$102=$B103),$T$9:$T102),0)&gt;0))),IFERROR(LOOKUP(2,1/($B$9:$B$102=$B103),$T$9:$T102),0)+1,IFERROR(LOOKUP(2,1/($B$9:$B$102=$B103),$T$9:$T102),0)))</f>
        <v/>
      </c>
      <c r="U103" s="47" t="str">
        <f t="shared" si="19"/>
        <v/>
      </c>
      <c r="V103" s="47" t="str">
        <f>IF($A103="","",IF(OR($B103="",$C103="",$D103="",$E103="",$F103=""),"Missing required field",IF(COUNTIFS($A$9:$A103,$A103,$B$9:$B103,$B103)&gt;1,"Duplicate event ID",IF(AND($E103&lt;&gt;IFERROR(LOOKUP(2,1/($B$9:$B$102=$B103),$E$9:$E102),0),IFERROR(LOOKUP(2,1/($B$9:$B$102=$B103),$E$9:$E102),0)&gt;$E103),"Date out of order",IF(AND(OR($F103="buy_to_close",$F103="expire",$F103="roll",$F103="assignment",$F103="called_away"),$AF103=0),"Unknown lot",IF(OR(AND($F103="assignment",$AF103&gt;0,IF($AF103&gt;0,INDEX($AG$9:$AG$102,$AF103),"")&lt;&gt;"put"),AND($F103="called_away",$AF103&gt;0,IF($AF103&gt;0,INDEX($AG$9:$AG$102,$AF103),"")&lt;&gt;"call")),"Wrong option leg",IF(OR(AND(OR($F103="sell_put",$F103="sell_call"),OR($H103&lt;=0,$I103&lt;=0,$J103&lt;0)),AND(OR($F103="buy_to_close",$F103="expire",$F103="assignment",$F103="called_away"),OR($H103&lt;=0,$J103&lt;0)),AND($F103="roll",OR($H103&lt;=0,$I103&lt;=0,$J103&lt;0,$K103&lt;0)),AND(OR($F103="buy_shares",$F103="sell_shares"),OR($L103&lt;=0,$M103&lt;0)),AND(OR($F103="dividend",$F103="fee"),$N103&lt;0)),"Invalid value",IF(AND(OR($F103="sell_shares",$F103="called_away"),$AL103&lt;IF($F103="called_away",$AE103*$D103,$L103)),"Insufficient shares (capped)",IF(AND(OR($F103="buy_to_close",$F103="expire",$F103="roll",$F103="assignment",$F103="called_away"),$AF103&gt;0,$H103&gt;IF($AF103&gt;0,MAX(0,INDEX($AI$9:$AI$102,$AF103)-SUMIFS($AE$9:$AE$102,$G$9:$G$102,$G103,$B$9:$B$102,$B103)),0)),"Close quantity capped","OK")))))))))</f>
        <v/>
      </c>
      <c r="W103" s="48" t="str">
        <f t="shared" si="20"/>
        <v/>
      </c>
      <c r="X103" s="49" t="str">
        <f t="shared" si="21"/>
        <v/>
      </c>
      <c r="Y103" s="50" t="str">
        <f t="shared" si="22"/>
        <v/>
      </c>
      <c r="Z103" s="50" t="str">
        <f t="shared" si="23"/>
        <v/>
      </c>
      <c r="AA103" s="50" t="str">
        <f t="shared" si="24"/>
        <v/>
      </c>
      <c r="AB103" s="50" t="str">
        <f t="shared" si="25"/>
        <v/>
      </c>
      <c r="AC103" s="50" t="str">
        <f>IF($A103="","",IF($F103="assignment",IF($AF103&gt;0,INDEX($AH$9:$AH$102,$AF103),0)*$AE103*$D103,IF($F103="buy_shares",$M103*$AL103,0)))</f>
        <v/>
      </c>
      <c r="AD103" s="50" t="str">
        <f>IF($A103="","",IF($F103="called_away",IF($AF103&gt;0,INDEX($AH$9:$AH$102,$AF103),0)*$AL103,IF($F103="sell_shares",$M103*$AL103,0)))</f>
        <v/>
      </c>
      <c r="AE103" s="51" t="str">
        <f>IF($A103="","",IF(OR($F103="sell_put",$F103="sell_call"),IF(AND($H103&gt;0,$I103&gt;0,$J103&gt;=0),$H103,0),IF(OR($F103="buy_to_close",$F103="expire",$F103="roll",$F103="assignment",$F103="called_away"),IF(AND($AF103&gt;0,$H103&gt;0,IF($F103="assignment",IF($AF103&gt;0,INDEX($AG$9:$AG$102,$AF103),"")="put",TRUE),IF($F103="called_away",IF($AF103&gt;0,INDEX($AG$9:$AG$102,$AF103),"")="call",TRUE)),MIN($H103,IF($AF103&gt;0,MAX(0,INDEX($AI$9:$AI$102,$AF103)-SUMIFS($AE$9:$AE$102,$G$9:$G$102,$G103,$B$9:$B$102,$B103)),0)),0),0)))</f>
        <v/>
      </c>
      <c r="AF103" t="str">
        <f>IF($A103="","",IFERROR(MATCH(LEN($B103)&amp;":"&amp;$B103&amp;$G103,$AY$9:$AY$102,0),0))</f>
        <v/>
      </c>
      <c r="AG103" t="str">
        <f>IF($A103="","",IF($F103="sell_put","put",IF($F103="sell_call","call",IF($F103="roll",IF($AF103&gt;0,IF($AF103&gt;0,INDEX($AG$9:$AG$102,$AF103),""),""),IF($AF103&gt;0,IF($AF103&gt;0,INDEX($AG$9:$AG$102,$AF103),""),"")))))</f>
        <v/>
      </c>
      <c r="AH103" t="str">
        <f>IF($A103="","",IF(OR($F103="sell_put",$F103="sell_call",$F103="roll"),$I103,IF($AF103&gt;0,IF($AF103&gt;0,INDEX($AH$9:$AH$102,$AF103),0),0)))</f>
        <v/>
      </c>
      <c r="AI103" s="51" t="str">
        <f t="shared" si="26"/>
        <v/>
      </c>
      <c r="AJ103" s="51" t="str">
        <f>IF($A103="","",IFERROR(LOOKUP(2,1/($B$9:$B$102=$B103),$AM$9:$AM102),0))</f>
        <v/>
      </c>
      <c r="AK103" t="str">
        <f>IF($A103="","",IFERROR(LOOKUP(2,1/($B$9:$B$102=$B103),$AN$9:$AN102),0))</f>
        <v/>
      </c>
      <c r="AL103" s="51" t="str">
        <f t="shared" si="27"/>
        <v/>
      </c>
      <c r="AM103" s="51" t="str">
        <f t="shared" si="28"/>
        <v/>
      </c>
      <c r="AN103" t="str">
        <f t="shared" si="29"/>
        <v/>
      </c>
      <c r="AO103" s="50" t="str">
        <f>IF($A103="","",IFERROR(LOOKUP(2,1/($B$9:$B$102=$B103),$AO$9:$AO102),0)+IF($F103="sell_put",$I103*$AE103*$D103,IF($F103="roll",IF($AG103="put",($I103-IF($AF103&gt;0,INDEX($AH$9:$AH$102,$AF103),0))*$AE103*$D103,0),IF(AND(OR($F103="buy_to_close",$F103="expire",$F103="roll",$F103="assignment",$F103="called_away"),$F103&lt;&gt;"roll",$AG103="put"),-IF($AF103&gt;0,INDEX($AH$9:$AH$102,$AF103),0)*$AE103*$D103,0))))</f>
        <v/>
      </c>
      <c r="AP103" s="51" t="str">
        <f>IF($A103="","",IFERROR(LOOKUP(2,1/($B$9:$B$102=$B103),$AP$9:$AP102),0)+IF($F103="sell_put",$AE103*$D103,IF(AND(OR($F103="buy_to_close",$F103="expire",$F103="roll",$F103="assignment",$F103="called_away"),$F103&lt;&gt;"roll",$AG103="put"),-$AE103*$D103,0)))</f>
        <v/>
      </c>
      <c r="AQ103" s="51" t="str">
        <f>IF($A103="","",IFERROR(LOOKUP(2,1/($B$9:$B$102=$B103),$AQ$9:$AQ102),0)+IF(OR($F103="sell_put",$F103="sell_call"),$AE103,0)-IF(AND(OR($F103="buy_to_close",$F103="expire",$F103="roll",$F103="assignment",$F103="called_away"),$F103&lt;&gt;"roll"),$AE103,0))</f>
        <v/>
      </c>
      <c r="AR103" t="str">
        <f t="shared" si="30"/>
        <v/>
      </c>
      <c r="AS103" s="50" t="str">
        <f t="shared" si="31"/>
        <v/>
      </c>
      <c r="AT103" s="50" t="str">
        <f>IF($A103="","",MAX(IF($T103=IFERROR(LOOKUP(2,1/($B$9:$B$102=$B103),$T$9:$T102),0),IFERROR(LOOKUP(2,1/($B$9:$B$102=$B103),$AT$9:$AT102),0),0),$AS103))</f>
        <v/>
      </c>
      <c r="AU103" t="str">
        <f t="shared" si="32"/>
        <v/>
      </c>
      <c r="AV103" s="51">
        <f>IF($AU103="",0,IF(AND(IFERROR(LOOKUP(2,1/($B$9:$B$102=$B103),$AR$9:$AR102),1),NOT(AND(OR($F103="dividend",$F103="fee"),IFERROR(LOOKUP(2,1/($B$9:$B$102=$B103),$T$9:$T102),0)&gt;0))),ROW(),0))</f>
        <v>0</v>
      </c>
      <c r="AW103">
        <f>IF($A103="",0,IF($AV103&gt;0,MAX($AW$9:$AW$102)+1,MAX($AW$9:$AW$102)))</f>
        <v>0</v>
      </c>
      <c r="AX103">
        <f>IF($AU103="",0,IF(AND($AR103,OR(NOT(IFERROR(LOOKUP(2,1/($B$9:$B$102=$B103),$AR$9:$AR102),1)),IFERROR(LOOKUP(2,1/($B$9:$B$102=$B103),$T$9:$T102),0)=0)),ROW(),0))</f>
        <v>0</v>
      </c>
      <c r="AY103" t="str">
        <f t="shared" si="33"/>
        <v/>
      </c>
    </row>
    <row r="104" spans="1:51" ht="15" x14ac:dyDescent="0.25">
      <c r="A104" s="52" t="str">
        <f>IF(Trades!$A104="","",Trades!O104)</f>
        <v/>
      </c>
      <c r="B104" s="52" t="str">
        <f>IF(Trades!$A104="","",Trades!B104)</f>
        <v/>
      </c>
      <c r="C104" s="52" t="str">
        <f>IF(Trades!$A104="","",Trades!C104)</f>
        <v/>
      </c>
      <c r="D104" s="53" t="str">
        <f>IF(Trades!$A104="","",IF(Trades!$L104&gt;0,Trades!$L104,Trades!$C$6))</f>
        <v/>
      </c>
      <c r="E104" s="54" t="str">
        <f>IF(Trades!$A104="","",Trades!A104)</f>
        <v/>
      </c>
      <c r="F104" s="52" t="str">
        <f>IF(Trades!$A104="","",IFERROR(INDEX(Trades!$V$2:$V$14,MATCH(Trades!$E104,Trades!$U$2:$U$14,0)),""))</f>
        <v/>
      </c>
      <c r="G104" s="52" t="str">
        <f>IF(Trades!$A104="","",Trades!N104)</f>
        <v/>
      </c>
      <c r="H104" s="53" t="str">
        <f>IF(Trades!$A104="","",Trades!F104)</f>
        <v/>
      </c>
      <c r="I104" s="55" t="str">
        <f>IF(Trades!$A104="","",Trades!G104)</f>
        <v/>
      </c>
      <c r="J104" s="55" t="str">
        <f>IF(Trades!$A104="","",Trades!I104)</f>
        <v/>
      </c>
      <c r="K104" s="55" t="str">
        <f>IF(Trades!$A104="","",Trades!Q104)</f>
        <v/>
      </c>
      <c r="L104" s="53" t="str">
        <f>IF(Trades!$A104="","",Trades!F104)</f>
        <v/>
      </c>
      <c r="M104" s="55" t="str">
        <f>IF(Trades!$A104="","",Trades!M104)</f>
        <v/>
      </c>
      <c r="N104" s="55" t="str">
        <f>IF(Trades!$A104="","",Trades!R104)</f>
        <v/>
      </c>
      <c r="O104" s="55" t="str">
        <f>IF(Trades!$A104="","",Trades!J104)</f>
        <v/>
      </c>
      <c r="P104" s="54" t="str">
        <f>IF(Trades!$A104="","",Trades!H104)</f>
        <v/>
      </c>
      <c r="Q104" s="52" t="str">
        <f>IF(Trades!$A104="","",Trades!P104)</f>
        <v/>
      </c>
      <c r="R104" s="56" t="str">
        <f t="shared" si="17"/>
        <v/>
      </c>
      <c r="S104" s="56" t="str">
        <f t="shared" si="18"/>
        <v/>
      </c>
      <c r="T104" s="57" t="str">
        <f>IF(OR($A104="",$B104=""),"",IF(AND(IFERROR(LOOKUP(2,1/($B$9:$B$103=$B104),$AR$9:$AR103),1),NOT(AND(OR($F104="dividend",$F104="fee"),IFERROR(LOOKUP(2,1/($B$9:$B$103=$B104),$T$9:$T103),0)&gt;0))),IFERROR(LOOKUP(2,1/($B$9:$B$103=$B104),$T$9:$T103),0)+1,IFERROR(LOOKUP(2,1/($B$9:$B$103=$B104),$T$9:$T103),0)))</f>
        <v/>
      </c>
      <c r="U104" s="58" t="str">
        <f t="shared" si="19"/>
        <v/>
      </c>
      <c r="V104" s="58" t="str">
        <f>IF($A104="","",IF(OR($B104="",$C104="",$D104="",$E104="",$F104=""),"Missing required field",IF(COUNTIFS($A$9:$A104,$A104,$B$9:$B104,$B104)&gt;1,"Duplicate event ID",IF(AND($E104&lt;&gt;IFERROR(LOOKUP(2,1/($B$9:$B$103=$B104),$E$9:$E103),0),IFERROR(LOOKUP(2,1/($B$9:$B$103=$B104),$E$9:$E103),0)&gt;$E104),"Date out of order",IF(AND(OR($F104="buy_to_close",$F104="expire",$F104="roll",$F104="assignment",$F104="called_away"),$AF104=0),"Unknown lot",IF(OR(AND($F104="assignment",$AF104&gt;0,IF($AF104&gt;0,INDEX($AG$9:$AG$103,$AF104),"")&lt;&gt;"put"),AND($F104="called_away",$AF104&gt;0,IF($AF104&gt;0,INDEX($AG$9:$AG$103,$AF104),"")&lt;&gt;"call")),"Wrong option leg",IF(OR(AND(OR($F104="sell_put",$F104="sell_call"),OR($H104&lt;=0,$I104&lt;=0,$J104&lt;0)),AND(OR($F104="buy_to_close",$F104="expire",$F104="assignment",$F104="called_away"),OR($H104&lt;=0,$J104&lt;0)),AND($F104="roll",OR($H104&lt;=0,$I104&lt;=0,$J104&lt;0,$K104&lt;0)),AND(OR($F104="buy_shares",$F104="sell_shares"),OR($L104&lt;=0,$M104&lt;0)),AND(OR($F104="dividend",$F104="fee"),$N104&lt;0)),"Invalid value",IF(AND(OR($F104="sell_shares",$F104="called_away"),$AL104&lt;IF($F104="called_away",$AE104*$D104,$L104)),"Insufficient shares (capped)",IF(AND(OR($F104="buy_to_close",$F104="expire",$F104="roll",$F104="assignment",$F104="called_away"),$AF104&gt;0,$H104&gt;IF($AF104&gt;0,MAX(0,INDEX($AI$9:$AI$103,$AF104)-SUMIFS($AE$9:$AE$103,$G$9:$G$103,$G104,$B$9:$B$103,$B104)),0)),"Close quantity capped","OK")))))))))</f>
        <v/>
      </c>
      <c r="W104" s="59" t="str">
        <f t="shared" si="20"/>
        <v/>
      </c>
      <c r="X104" s="60" t="str">
        <f t="shared" si="21"/>
        <v/>
      </c>
      <c r="Y104" s="50" t="str">
        <f t="shared" si="22"/>
        <v/>
      </c>
      <c r="Z104" s="50" t="str">
        <f t="shared" si="23"/>
        <v/>
      </c>
      <c r="AA104" s="50" t="str">
        <f t="shared" si="24"/>
        <v/>
      </c>
      <c r="AB104" s="50" t="str">
        <f t="shared" si="25"/>
        <v/>
      </c>
      <c r="AC104" s="50" t="str">
        <f>IF($A104="","",IF($F104="assignment",IF($AF104&gt;0,INDEX($AH$9:$AH$103,$AF104),0)*$AE104*$D104,IF($F104="buy_shares",$M104*$AL104,0)))</f>
        <v/>
      </c>
      <c r="AD104" s="50" t="str">
        <f>IF($A104="","",IF($F104="called_away",IF($AF104&gt;0,INDEX($AH$9:$AH$103,$AF104),0)*$AL104,IF($F104="sell_shares",$M104*$AL104,0)))</f>
        <v/>
      </c>
      <c r="AE104" s="51" t="str">
        <f>IF($A104="","",IF(OR($F104="sell_put",$F104="sell_call"),IF(AND($H104&gt;0,$I104&gt;0,$J104&gt;=0),$H104,0),IF(OR($F104="buy_to_close",$F104="expire",$F104="roll",$F104="assignment",$F104="called_away"),IF(AND($AF104&gt;0,$H104&gt;0,IF($F104="assignment",IF($AF104&gt;0,INDEX($AG$9:$AG$103,$AF104),"")="put",TRUE),IF($F104="called_away",IF($AF104&gt;0,INDEX($AG$9:$AG$103,$AF104),"")="call",TRUE)),MIN($H104,IF($AF104&gt;0,MAX(0,INDEX($AI$9:$AI$103,$AF104)-SUMIFS($AE$9:$AE$103,$G$9:$G$103,$G104,$B$9:$B$103,$B104)),0)),0),0)))</f>
        <v/>
      </c>
      <c r="AF104" t="str">
        <f>IF($A104="","",IFERROR(MATCH(LEN($B104)&amp;":"&amp;$B104&amp;$G104,$AY$9:$AY$103,0),0))</f>
        <v/>
      </c>
      <c r="AG104" t="str">
        <f>IF($A104="","",IF($F104="sell_put","put",IF($F104="sell_call","call",IF($F104="roll",IF($AF104&gt;0,IF($AF104&gt;0,INDEX($AG$9:$AG$103,$AF104),""),""),IF($AF104&gt;0,IF($AF104&gt;0,INDEX($AG$9:$AG$103,$AF104),""),"")))))</f>
        <v/>
      </c>
      <c r="AH104" t="str">
        <f>IF($A104="","",IF(OR($F104="sell_put",$F104="sell_call",$F104="roll"),$I104,IF($AF104&gt;0,IF($AF104&gt;0,INDEX($AH$9:$AH$103,$AF104),0),0)))</f>
        <v/>
      </c>
      <c r="AI104" s="51" t="str">
        <f t="shared" si="26"/>
        <v/>
      </c>
      <c r="AJ104" s="51" t="str">
        <f>IF($A104="","",IFERROR(LOOKUP(2,1/($B$9:$B$103=$B104),$AM$9:$AM103),0))</f>
        <v/>
      </c>
      <c r="AK104" t="str">
        <f>IF($A104="","",IFERROR(LOOKUP(2,1/($B$9:$B$103=$B104),$AN$9:$AN103),0))</f>
        <v/>
      </c>
      <c r="AL104" s="51" t="str">
        <f t="shared" si="27"/>
        <v/>
      </c>
      <c r="AM104" s="51" t="str">
        <f t="shared" si="28"/>
        <v/>
      </c>
      <c r="AN104" t="str">
        <f t="shared" si="29"/>
        <v/>
      </c>
      <c r="AO104" s="50" t="str">
        <f>IF($A104="","",IFERROR(LOOKUP(2,1/($B$9:$B$103=$B104),$AO$9:$AO103),0)+IF($F104="sell_put",$I104*$AE104*$D104,IF($F104="roll",IF($AG104="put",($I104-IF($AF104&gt;0,INDEX($AH$9:$AH$103,$AF104),0))*$AE104*$D104,0),IF(AND(OR($F104="buy_to_close",$F104="expire",$F104="roll",$F104="assignment",$F104="called_away"),$F104&lt;&gt;"roll",$AG104="put"),-IF($AF104&gt;0,INDEX($AH$9:$AH$103,$AF104),0)*$AE104*$D104,0))))</f>
        <v/>
      </c>
      <c r="AP104" s="51" t="str">
        <f>IF($A104="","",IFERROR(LOOKUP(2,1/($B$9:$B$103=$B104),$AP$9:$AP103),0)+IF($F104="sell_put",$AE104*$D104,IF(AND(OR($F104="buy_to_close",$F104="expire",$F104="roll",$F104="assignment",$F104="called_away"),$F104&lt;&gt;"roll",$AG104="put"),-$AE104*$D104,0)))</f>
        <v/>
      </c>
      <c r="AQ104" s="51" t="str">
        <f>IF($A104="","",IFERROR(LOOKUP(2,1/($B$9:$B$103=$B104),$AQ$9:$AQ103),0)+IF(OR($F104="sell_put",$F104="sell_call"),$AE104,0)-IF(AND(OR($F104="buy_to_close",$F104="expire",$F104="roll",$F104="assignment",$F104="called_away"),$F104&lt;&gt;"roll"),$AE104,0))</f>
        <v/>
      </c>
      <c r="AR104" t="str">
        <f t="shared" si="30"/>
        <v/>
      </c>
      <c r="AS104" s="50" t="str">
        <f t="shared" si="31"/>
        <v/>
      </c>
      <c r="AT104" s="50" t="str">
        <f>IF($A104="","",MAX(IF($T104=IFERROR(LOOKUP(2,1/($B$9:$B$103=$B104),$T$9:$T103),0),IFERROR(LOOKUP(2,1/($B$9:$B$103=$B104),$AT$9:$AT103),0),0),$AS104))</f>
        <v/>
      </c>
      <c r="AU104" t="str">
        <f t="shared" si="32"/>
        <v/>
      </c>
      <c r="AV104" s="51">
        <f>IF($AU104="",0,IF(AND(IFERROR(LOOKUP(2,1/($B$9:$B$103=$B104),$AR$9:$AR103),1),NOT(AND(OR($F104="dividend",$F104="fee"),IFERROR(LOOKUP(2,1/($B$9:$B$103=$B104),$T$9:$T103),0)&gt;0))),ROW(),0))</f>
        <v>0</v>
      </c>
      <c r="AW104">
        <f>IF($A104="",0,IF($AV104&gt;0,MAX($AW$9:$AW$103)+1,MAX($AW$9:$AW$103)))</f>
        <v>0</v>
      </c>
      <c r="AX104">
        <f>IF($AU104="",0,IF(AND($AR104,OR(NOT(IFERROR(LOOKUP(2,1/($B$9:$B$103=$B104),$AR$9:$AR103),1)),IFERROR(LOOKUP(2,1/($B$9:$B$103=$B104),$T$9:$T103),0)=0)),ROW(),0))</f>
        <v>0</v>
      </c>
      <c r="AY104" t="str">
        <f t="shared" si="33"/>
        <v/>
      </c>
    </row>
    <row r="105" spans="1:51" ht="15" x14ac:dyDescent="0.25">
      <c r="A105" s="41" t="str">
        <f>IF(Trades!$A105="","",Trades!O105)</f>
        <v/>
      </c>
      <c r="B105" s="41" t="str">
        <f>IF(Trades!$A105="","",Trades!B105)</f>
        <v/>
      </c>
      <c r="C105" s="41" t="str">
        <f>IF(Trades!$A105="","",Trades!C105)</f>
        <v/>
      </c>
      <c r="D105" s="42" t="str">
        <f>IF(Trades!$A105="","",IF(Trades!$L105&gt;0,Trades!$L105,Trades!$C$6))</f>
        <v/>
      </c>
      <c r="E105" s="43" t="str">
        <f>IF(Trades!$A105="","",Trades!A105)</f>
        <v/>
      </c>
      <c r="F105" s="41" t="str">
        <f>IF(Trades!$A105="","",IFERROR(INDEX(Trades!$V$2:$V$14,MATCH(Trades!$E105,Trades!$U$2:$U$14,0)),""))</f>
        <v/>
      </c>
      <c r="G105" s="41" t="str">
        <f>IF(Trades!$A105="","",Trades!N105)</f>
        <v/>
      </c>
      <c r="H105" s="42" t="str">
        <f>IF(Trades!$A105="","",Trades!F105)</f>
        <v/>
      </c>
      <c r="I105" s="44" t="str">
        <f>IF(Trades!$A105="","",Trades!G105)</f>
        <v/>
      </c>
      <c r="J105" s="44" t="str">
        <f>IF(Trades!$A105="","",Trades!I105)</f>
        <v/>
      </c>
      <c r="K105" s="44" t="str">
        <f>IF(Trades!$A105="","",Trades!Q105)</f>
        <v/>
      </c>
      <c r="L105" s="42" t="str">
        <f>IF(Trades!$A105="","",Trades!F105)</f>
        <v/>
      </c>
      <c r="M105" s="44" t="str">
        <f>IF(Trades!$A105="","",Trades!M105)</f>
        <v/>
      </c>
      <c r="N105" s="44" t="str">
        <f>IF(Trades!$A105="","",Trades!R105)</f>
        <v/>
      </c>
      <c r="O105" s="44" t="str">
        <f>IF(Trades!$A105="","",Trades!J105)</f>
        <v/>
      </c>
      <c r="P105" s="43" t="str">
        <f>IF(Trades!$A105="","",Trades!H105)</f>
        <v/>
      </c>
      <c r="Q105" s="41" t="str">
        <f>IF(Trades!$A105="","",Trades!P105)</f>
        <v/>
      </c>
      <c r="R105" s="45" t="str">
        <f t="shared" si="17"/>
        <v/>
      </c>
      <c r="S105" s="45" t="str">
        <f t="shared" si="18"/>
        <v/>
      </c>
      <c r="T105" s="46" t="str">
        <f>IF(OR($A105="",$B105=""),"",IF(AND(IFERROR(LOOKUP(2,1/($B$9:$B$104=$B105),$AR$9:$AR104),1),NOT(AND(OR($F105="dividend",$F105="fee"),IFERROR(LOOKUP(2,1/($B$9:$B$104=$B105),$T$9:$T104),0)&gt;0))),IFERROR(LOOKUP(2,1/($B$9:$B$104=$B105),$T$9:$T104),0)+1,IFERROR(LOOKUP(2,1/($B$9:$B$104=$B105),$T$9:$T104),0)))</f>
        <v/>
      </c>
      <c r="U105" s="47" t="str">
        <f t="shared" si="19"/>
        <v/>
      </c>
      <c r="V105" s="47" t="str">
        <f>IF($A105="","",IF(OR($B105="",$C105="",$D105="",$E105="",$F105=""),"Missing required field",IF(COUNTIFS($A$9:$A105,$A105,$B$9:$B105,$B105)&gt;1,"Duplicate event ID",IF(AND($E105&lt;&gt;IFERROR(LOOKUP(2,1/($B$9:$B$104=$B105),$E$9:$E104),0),IFERROR(LOOKUP(2,1/($B$9:$B$104=$B105),$E$9:$E104),0)&gt;$E105),"Date out of order",IF(AND(OR($F105="buy_to_close",$F105="expire",$F105="roll",$F105="assignment",$F105="called_away"),$AF105=0),"Unknown lot",IF(OR(AND($F105="assignment",$AF105&gt;0,IF($AF105&gt;0,INDEX($AG$9:$AG$104,$AF105),"")&lt;&gt;"put"),AND($F105="called_away",$AF105&gt;0,IF($AF105&gt;0,INDEX($AG$9:$AG$104,$AF105),"")&lt;&gt;"call")),"Wrong option leg",IF(OR(AND(OR($F105="sell_put",$F105="sell_call"),OR($H105&lt;=0,$I105&lt;=0,$J105&lt;0)),AND(OR($F105="buy_to_close",$F105="expire",$F105="assignment",$F105="called_away"),OR($H105&lt;=0,$J105&lt;0)),AND($F105="roll",OR($H105&lt;=0,$I105&lt;=0,$J105&lt;0,$K105&lt;0)),AND(OR($F105="buy_shares",$F105="sell_shares"),OR($L105&lt;=0,$M105&lt;0)),AND(OR($F105="dividend",$F105="fee"),$N105&lt;0)),"Invalid value",IF(AND(OR($F105="sell_shares",$F105="called_away"),$AL105&lt;IF($F105="called_away",$AE105*$D105,$L105)),"Insufficient shares (capped)",IF(AND(OR($F105="buy_to_close",$F105="expire",$F105="roll",$F105="assignment",$F105="called_away"),$AF105&gt;0,$H105&gt;IF($AF105&gt;0,MAX(0,INDEX($AI$9:$AI$104,$AF105)-SUMIFS($AE$9:$AE$104,$G$9:$G$104,$G105,$B$9:$B$104,$B105)),0)),"Close quantity capped","OK")))))))))</f>
        <v/>
      </c>
      <c r="W105" s="48" t="str">
        <f t="shared" si="20"/>
        <v/>
      </c>
      <c r="X105" s="49" t="str">
        <f t="shared" si="21"/>
        <v/>
      </c>
      <c r="Y105" s="50" t="str">
        <f t="shared" si="22"/>
        <v/>
      </c>
      <c r="Z105" s="50" t="str">
        <f t="shared" si="23"/>
        <v/>
      </c>
      <c r="AA105" s="50" t="str">
        <f t="shared" si="24"/>
        <v/>
      </c>
      <c r="AB105" s="50" t="str">
        <f t="shared" si="25"/>
        <v/>
      </c>
      <c r="AC105" s="50" t="str">
        <f>IF($A105="","",IF($F105="assignment",IF($AF105&gt;0,INDEX($AH$9:$AH$104,$AF105),0)*$AE105*$D105,IF($F105="buy_shares",$M105*$AL105,0)))</f>
        <v/>
      </c>
      <c r="AD105" s="50" t="str">
        <f>IF($A105="","",IF($F105="called_away",IF($AF105&gt;0,INDEX($AH$9:$AH$104,$AF105),0)*$AL105,IF($F105="sell_shares",$M105*$AL105,0)))</f>
        <v/>
      </c>
      <c r="AE105" s="51" t="str">
        <f>IF($A105="","",IF(OR($F105="sell_put",$F105="sell_call"),IF(AND($H105&gt;0,$I105&gt;0,$J105&gt;=0),$H105,0),IF(OR($F105="buy_to_close",$F105="expire",$F105="roll",$F105="assignment",$F105="called_away"),IF(AND($AF105&gt;0,$H105&gt;0,IF($F105="assignment",IF($AF105&gt;0,INDEX($AG$9:$AG$104,$AF105),"")="put",TRUE),IF($F105="called_away",IF($AF105&gt;0,INDEX($AG$9:$AG$104,$AF105),"")="call",TRUE)),MIN($H105,IF($AF105&gt;0,MAX(0,INDEX($AI$9:$AI$104,$AF105)-SUMIFS($AE$9:$AE$104,$G$9:$G$104,$G105,$B$9:$B$104,$B105)),0)),0),0)))</f>
        <v/>
      </c>
      <c r="AF105" t="str">
        <f>IF($A105="","",IFERROR(MATCH(LEN($B105)&amp;":"&amp;$B105&amp;$G105,$AY$9:$AY$104,0),0))</f>
        <v/>
      </c>
      <c r="AG105" t="str">
        <f>IF($A105="","",IF($F105="sell_put","put",IF($F105="sell_call","call",IF($F105="roll",IF($AF105&gt;0,IF($AF105&gt;0,INDEX($AG$9:$AG$104,$AF105),""),""),IF($AF105&gt;0,IF($AF105&gt;0,INDEX($AG$9:$AG$104,$AF105),""),"")))))</f>
        <v/>
      </c>
      <c r="AH105" t="str">
        <f>IF($A105="","",IF(OR($F105="sell_put",$F105="sell_call",$F105="roll"),$I105,IF($AF105&gt;0,IF($AF105&gt;0,INDEX($AH$9:$AH$104,$AF105),0),0)))</f>
        <v/>
      </c>
      <c r="AI105" s="51" t="str">
        <f t="shared" si="26"/>
        <v/>
      </c>
      <c r="AJ105" s="51" t="str">
        <f>IF($A105="","",IFERROR(LOOKUP(2,1/($B$9:$B$104=$B105),$AM$9:$AM104),0))</f>
        <v/>
      </c>
      <c r="AK105" t="str">
        <f>IF($A105="","",IFERROR(LOOKUP(2,1/($B$9:$B$104=$B105),$AN$9:$AN104),0))</f>
        <v/>
      </c>
      <c r="AL105" s="51" t="str">
        <f t="shared" si="27"/>
        <v/>
      </c>
      <c r="AM105" s="51" t="str">
        <f t="shared" si="28"/>
        <v/>
      </c>
      <c r="AN105" t="str">
        <f t="shared" si="29"/>
        <v/>
      </c>
      <c r="AO105" s="50" t="str">
        <f>IF($A105="","",IFERROR(LOOKUP(2,1/($B$9:$B$104=$B105),$AO$9:$AO104),0)+IF($F105="sell_put",$I105*$AE105*$D105,IF($F105="roll",IF($AG105="put",($I105-IF($AF105&gt;0,INDEX($AH$9:$AH$104,$AF105),0))*$AE105*$D105,0),IF(AND(OR($F105="buy_to_close",$F105="expire",$F105="roll",$F105="assignment",$F105="called_away"),$F105&lt;&gt;"roll",$AG105="put"),-IF($AF105&gt;0,INDEX($AH$9:$AH$104,$AF105),0)*$AE105*$D105,0))))</f>
        <v/>
      </c>
      <c r="AP105" s="51" t="str">
        <f>IF($A105="","",IFERROR(LOOKUP(2,1/($B$9:$B$104=$B105),$AP$9:$AP104),0)+IF($F105="sell_put",$AE105*$D105,IF(AND(OR($F105="buy_to_close",$F105="expire",$F105="roll",$F105="assignment",$F105="called_away"),$F105&lt;&gt;"roll",$AG105="put"),-$AE105*$D105,0)))</f>
        <v/>
      </c>
      <c r="AQ105" s="51" t="str">
        <f>IF($A105="","",IFERROR(LOOKUP(2,1/($B$9:$B$104=$B105),$AQ$9:$AQ104),0)+IF(OR($F105="sell_put",$F105="sell_call"),$AE105,0)-IF(AND(OR($F105="buy_to_close",$F105="expire",$F105="roll",$F105="assignment",$F105="called_away"),$F105&lt;&gt;"roll"),$AE105,0))</f>
        <v/>
      </c>
      <c r="AR105" t="str">
        <f t="shared" si="30"/>
        <v/>
      </c>
      <c r="AS105" s="50" t="str">
        <f t="shared" si="31"/>
        <v/>
      </c>
      <c r="AT105" s="50" t="str">
        <f>IF($A105="","",MAX(IF($T105=IFERROR(LOOKUP(2,1/($B$9:$B$104=$B105),$T$9:$T104),0),IFERROR(LOOKUP(2,1/($B$9:$B$104=$B105),$AT$9:$AT104),0),0),$AS105))</f>
        <v/>
      </c>
      <c r="AU105" t="str">
        <f t="shared" si="32"/>
        <v/>
      </c>
      <c r="AV105" s="51">
        <f>IF($AU105="",0,IF(AND(IFERROR(LOOKUP(2,1/($B$9:$B$104=$B105),$AR$9:$AR104),1),NOT(AND(OR($F105="dividend",$F105="fee"),IFERROR(LOOKUP(2,1/($B$9:$B$104=$B105),$T$9:$T104),0)&gt;0))),ROW(),0))</f>
        <v>0</v>
      </c>
      <c r="AW105">
        <f>IF($A105="",0,IF($AV105&gt;0,MAX($AW$9:$AW$104)+1,MAX($AW$9:$AW$104)))</f>
        <v>0</v>
      </c>
      <c r="AX105">
        <f>IF($AU105="",0,IF(AND($AR105,OR(NOT(IFERROR(LOOKUP(2,1/($B$9:$B$104=$B105),$AR$9:$AR104),1)),IFERROR(LOOKUP(2,1/($B$9:$B$104=$B105),$T$9:$T104),0)=0)),ROW(),0))</f>
        <v>0</v>
      </c>
      <c r="AY105" t="str">
        <f t="shared" si="33"/>
        <v/>
      </c>
    </row>
    <row r="106" spans="1:51" ht="15" x14ac:dyDescent="0.25">
      <c r="A106" s="52" t="str">
        <f>IF(Trades!$A106="","",Trades!O106)</f>
        <v/>
      </c>
      <c r="B106" s="52" t="str">
        <f>IF(Trades!$A106="","",Trades!B106)</f>
        <v/>
      </c>
      <c r="C106" s="52" t="str">
        <f>IF(Trades!$A106="","",Trades!C106)</f>
        <v/>
      </c>
      <c r="D106" s="53" t="str">
        <f>IF(Trades!$A106="","",IF(Trades!$L106&gt;0,Trades!$L106,Trades!$C$6))</f>
        <v/>
      </c>
      <c r="E106" s="54" t="str">
        <f>IF(Trades!$A106="","",Trades!A106)</f>
        <v/>
      </c>
      <c r="F106" s="52" t="str">
        <f>IF(Trades!$A106="","",IFERROR(INDEX(Trades!$V$2:$V$14,MATCH(Trades!$E106,Trades!$U$2:$U$14,0)),""))</f>
        <v/>
      </c>
      <c r="G106" s="52" t="str">
        <f>IF(Trades!$A106="","",Trades!N106)</f>
        <v/>
      </c>
      <c r="H106" s="53" t="str">
        <f>IF(Trades!$A106="","",Trades!F106)</f>
        <v/>
      </c>
      <c r="I106" s="55" t="str">
        <f>IF(Trades!$A106="","",Trades!G106)</f>
        <v/>
      </c>
      <c r="J106" s="55" t="str">
        <f>IF(Trades!$A106="","",Trades!I106)</f>
        <v/>
      </c>
      <c r="K106" s="55" t="str">
        <f>IF(Trades!$A106="","",Trades!Q106)</f>
        <v/>
      </c>
      <c r="L106" s="53" t="str">
        <f>IF(Trades!$A106="","",Trades!F106)</f>
        <v/>
      </c>
      <c r="M106" s="55" t="str">
        <f>IF(Trades!$A106="","",Trades!M106)</f>
        <v/>
      </c>
      <c r="N106" s="55" t="str">
        <f>IF(Trades!$A106="","",Trades!R106)</f>
        <v/>
      </c>
      <c r="O106" s="55" t="str">
        <f>IF(Trades!$A106="","",Trades!J106)</f>
        <v/>
      </c>
      <c r="P106" s="54" t="str">
        <f>IF(Trades!$A106="","",Trades!H106)</f>
        <v/>
      </c>
      <c r="Q106" s="52" t="str">
        <f>IF(Trades!$A106="","",Trades!P106)</f>
        <v/>
      </c>
      <c r="R106" s="56" t="str">
        <f t="shared" si="17"/>
        <v/>
      </c>
      <c r="S106" s="56" t="str">
        <f t="shared" si="18"/>
        <v/>
      </c>
      <c r="T106" s="57" t="str">
        <f>IF(OR($A106="",$B106=""),"",IF(AND(IFERROR(LOOKUP(2,1/($B$9:$B$105=$B106),$AR$9:$AR105),1),NOT(AND(OR($F106="dividend",$F106="fee"),IFERROR(LOOKUP(2,1/($B$9:$B$105=$B106),$T$9:$T105),0)&gt;0))),IFERROR(LOOKUP(2,1/($B$9:$B$105=$B106),$T$9:$T105),0)+1,IFERROR(LOOKUP(2,1/($B$9:$B$105=$B106),$T$9:$T105),0)))</f>
        <v/>
      </c>
      <c r="U106" s="58" t="str">
        <f t="shared" si="19"/>
        <v/>
      </c>
      <c r="V106" s="58" t="str">
        <f>IF($A106="","",IF(OR($B106="",$C106="",$D106="",$E106="",$F106=""),"Missing required field",IF(COUNTIFS($A$9:$A106,$A106,$B$9:$B106,$B106)&gt;1,"Duplicate event ID",IF(AND($E106&lt;&gt;IFERROR(LOOKUP(2,1/($B$9:$B$105=$B106),$E$9:$E105),0),IFERROR(LOOKUP(2,1/($B$9:$B$105=$B106),$E$9:$E105),0)&gt;$E106),"Date out of order",IF(AND(OR($F106="buy_to_close",$F106="expire",$F106="roll",$F106="assignment",$F106="called_away"),$AF106=0),"Unknown lot",IF(OR(AND($F106="assignment",$AF106&gt;0,IF($AF106&gt;0,INDEX($AG$9:$AG$105,$AF106),"")&lt;&gt;"put"),AND($F106="called_away",$AF106&gt;0,IF($AF106&gt;0,INDEX($AG$9:$AG$105,$AF106),"")&lt;&gt;"call")),"Wrong option leg",IF(OR(AND(OR($F106="sell_put",$F106="sell_call"),OR($H106&lt;=0,$I106&lt;=0,$J106&lt;0)),AND(OR($F106="buy_to_close",$F106="expire",$F106="assignment",$F106="called_away"),OR($H106&lt;=0,$J106&lt;0)),AND($F106="roll",OR($H106&lt;=0,$I106&lt;=0,$J106&lt;0,$K106&lt;0)),AND(OR($F106="buy_shares",$F106="sell_shares"),OR($L106&lt;=0,$M106&lt;0)),AND(OR($F106="dividend",$F106="fee"),$N106&lt;0)),"Invalid value",IF(AND(OR($F106="sell_shares",$F106="called_away"),$AL106&lt;IF($F106="called_away",$AE106*$D106,$L106)),"Insufficient shares (capped)",IF(AND(OR($F106="buy_to_close",$F106="expire",$F106="roll",$F106="assignment",$F106="called_away"),$AF106&gt;0,$H106&gt;IF($AF106&gt;0,MAX(0,INDEX($AI$9:$AI$105,$AF106)-SUMIFS($AE$9:$AE$105,$G$9:$G$105,$G106,$B$9:$B$105,$B106)),0)),"Close quantity capped","OK")))))))))</f>
        <v/>
      </c>
      <c r="W106" s="59" t="str">
        <f t="shared" si="20"/>
        <v/>
      </c>
      <c r="X106" s="60" t="str">
        <f t="shared" si="21"/>
        <v/>
      </c>
      <c r="Y106" s="50" t="str">
        <f t="shared" si="22"/>
        <v/>
      </c>
      <c r="Z106" s="50" t="str">
        <f t="shared" si="23"/>
        <v/>
      </c>
      <c r="AA106" s="50" t="str">
        <f t="shared" si="24"/>
        <v/>
      </c>
      <c r="AB106" s="50" t="str">
        <f t="shared" si="25"/>
        <v/>
      </c>
      <c r="AC106" s="50" t="str">
        <f>IF($A106="","",IF($F106="assignment",IF($AF106&gt;0,INDEX($AH$9:$AH$105,$AF106),0)*$AE106*$D106,IF($F106="buy_shares",$M106*$AL106,0)))</f>
        <v/>
      </c>
      <c r="AD106" s="50" t="str">
        <f>IF($A106="","",IF($F106="called_away",IF($AF106&gt;0,INDEX($AH$9:$AH$105,$AF106),0)*$AL106,IF($F106="sell_shares",$M106*$AL106,0)))</f>
        <v/>
      </c>
      <c r="AE106" s="51" t="str">
        <f>IF($A106="","",IF(OR($F106="sell_put",$F106="sell_call"),IF(AND($H106&gt;0,$I106&gt;0,$J106&gt;=0),$H106,0),IF(OR($F106="buy_to_close",$F106="expire",$F106="roll",$F106="assignment",$F106="called_away"),IF(AND($AF106&gt;0,$H106&gt;0,IF($F106="assignment",IF($AF106&gt;0,INDEX($AG$9:$AG$105,$AF106),"")="put",TRUE),IF($F106="called_away",IF($AF106&gt;0,INDEX($AG$9:$AG$105,$AF106),"")="call",TRUE)),MIN($H106,IF($AF106&gt;0,MAX(0,INDEX($AI$9:$AI$105,$AF106)-SUMIFS($AE$9:$AE$105,$G$9:$G$105,$G106,$B$9:$B$105,$B106)),0)),0),0)))</f>
        <v/>
      </c>
      <c r="AF106" t="str">
        <f>IF($A106="","",IFERROR(MATCH(LEN($B106)&amp;":"&amp;$B106&amp;$G106,$AY$9:$AY$105,0),0))</f>
        <v/>
      </c>
      <c r="AG106" t="str">
        <f>IF($A106="","",IF($F106="sell_put","put",IF($F106="sell_call","call",IF($F106="roll",IF($AF106&gt;0,IF($AF106&gt;0,INDEX($AG$9:$AG$105,$AF106),""),""),IF($AF106&gt;0,IF($AF106&gt;0,INDEX($AG$9:$AG$105,$AF106),""),"")))))</f>
        <v/>
      </c>
      <c r="AH106" t="str">
        <f>IF($A106="","",IF(OR($F106="sell_put",$F106="sell_call",$F106="roll"),$I106,IF($AF106&gt;0,IF($AF106&gt;0,INDEX($AH$9:$AH$105,$AF106),0),0)))</f>
        <v/>
      </c>
      <c r="AI106" s="51" t="str">
        <f t="shared" si="26"/>
        <v/>
      </c>
      <c r="AJ106" s="51" t="str">
        <f>IF($A106="","",IFERROR(LOOKUP(2,1/($B$9:$B$105=$B106),$AM$9:$AM105),0))</f>
        <v/>
      </c>
      <c r="AK106" t="str">
        <f>IF($A106="","",IFERROR(LOOKUP(2,1/($B$9:$B$105=$B106),$AN$9:$AN105),0))</f>
        <v/>
      </c>
      <c r="AL106" s="51" t="str">
        <f t="shared" si="27"/>
        <v/>
      </c>
      <c r="AM106" s="51" t="str">
        <f t="shared" si="28"/>
        <v/>
      </c>
      <c r="AN106" t="str">
        <f t="shared" si="29"/>
        <v/>
      </c>
      <c r="AO106" s="50" t="str">
        <f>IF($A106="","",IFERROR(LOOKUP(2,1/($B$9:$B$105=$B106),$AO$9:$AO105),0)+IF($F106="sell_put",$I106*$AE106*$D106,IF($F106="roll",IF($AG106="put",($I106-IF($AF106&gt;0,INDEX($AH$9:$AH$105,$AF106),0))*$AE106*$D106,0),IF(AND(OR($F106="buy_to_close",$F106="expire",$F106="roll",$F106="assignment",$F106="called_away"),$F106&lt;&gt;"roll",$AG106="put"),-IF($AF106&gt;0,INDEX($AH$9:$AH$105,$AF106),0)*$AE106*$D106,0))))</f>
        <v/>
      </c>
      <c r="AP106" s="51" t="str">
        <f>IF($A106="","",IFERROR(LOOKUP(2,1/($B$9:$B$105=$B106),$AP$9:$AP105),0)+IF($F106="sell_put",$AE106*$D106,IF(AND(OR($F106="buy_to_close",$F106="expire",$F106="roll",$F106="assignment",$F106="called_away"),$F106&lt;&gt;"roll",$AG106="put"),-$AE106*$D106,0)))</f>
        <v/>
      </c>
      <c r="AQ106" s="51" t="str">
        <f>IF($A106="","",IFERROR(LOOKUP(2,1/($B$9:$B$105=$B106),$AQ$9:$AQ105),0)+IF(OR($F106="sell_put",$F106="sell_call"),$AE106,0)-IF(AND(OR($F106="buy_to_close",$F106="expire",$F106="roll",$F106="assignment",$F106="called_away"),$F106&lt;&gt;"roll"),$AE106,0))</f>
        <v/>
      </c>
      <c r="AR106" t="str">
        <f t="shared" si="30"/>
        <v/>
      </c>
      <c r="AS106" s="50" t="str">
        <f t="shared" si="31"/>
        <v/>
      </c>
      <c r="AT106" s="50" t="str">
        <f>IF($A106="","",MAX(IF($T106=IFERROR(LOOKUP(2,1/($B$9:$B$105=$B106),$T$9:$T105),0),IFERROR(LOOKUP(2,1/($B$9:$B$105=$B106),$AT$9:$AT105),0),0),$AS106))</f>
        <v/>
      </c>
      <c r="AU106" t="str">
        <f t="shared" si="32"/>
        <v/>
      </c>
      <c r="AV106" s="51">
        <f>IF($AU106="",0,IF(AND(IFERROR(LOOKUP(2,1/($B$9:$B$105=$B106),$AR$9:$AR105),1),NOT(AND(OR($F106="dividend",$F106="fee"),IFERROR(LOOKUP(2,1/($B$9:$B$105=$B106),$T$9:$T105),0)&gt;0))),ROW(),0))</f>
        <v>0</v>
      </c>
      <c r="AW106">
        <f>IF($A106="",0,IF($AV106&gt;0,MAX($AW$9:$AW$105)+1,MAX($AW$9:$AW$105)))</f>
        <v>0</v>
      </c>
      <c r="AX106">
        <f>IF($AU106="",0,IF(AND($AR106,OR(NOT(IFERROR(LOOKUP(2,1/($B$9:$B$105=$B106),$AR$9:$AR105),1)),IFERROR(LOOKUP(2,1/($B$9:$B$105=$B106),$T$9:$T105),0)=0)),ROW(),0))</f>
        <v>0</v>
      </c>
      <c r="AY106" t="str">
        <f t="shared" si="33"/>
        <v/>
      </c>
    </row>
    <row r="107" spans="1:51" ht="15" x14ac:dyDescent="0.25">
      <c r="A107" s="41" t="str">
        <f>IF(Trades!$A107="","",Trades!O107)</f>
        <v/>
      </c>
      <c r="B107" s="41" t="str">
        <f>IF(Trades!$A107="","",Trades!B107)</f>
        <v/>
      </c>
      <c r="C107" s="41" t="str">
        <f>IF(Trades!$A107="","",Trades!C107)</f>
        <v/>
      </c>
      <c r="D107" s="42" t="str">
        <f>IF(Trades!$A107="","",IF(Trades!$L107&gt;0,Trades!$L107,Trades!$C$6))</f>
        <v/>
      </c>
      <c r="E107" s="43" t="str">
        <f>IF(Trades!$A107="","",Trades!A107)</f>
        <v/>
      </c>
      <c r="F107" s="41" t="str">
        <f>IF(Trades!$A107="","",IFERROR(INDEX(Trades!$V$2:$V$14,MATCH(Trades!$E107,Trades!$U$2:$U$14,0)),""))</f>
        <v/>
      </c>
      <c r="G107" s="41" t="str">
        <f>IF(Trades!$A107="","",Trades!N107)</f>
        <v/>
      </c>
      <c r="H107" s="42" t="str">
        <f>IF(Trades!$A107="","",Trades!F107)</f>
        <v/>
      </c>
      <c r="I107" s="44" t="str">
        <f>IF(Trades!$A107="","",Trades!G107)</f>
        <v/>
      </c>
      <c r="J107" s="44" t="str">
        <f>IF(Trades!$A107="","",Trades!I107)</f>
        <v/>
      </c>
      <c r="K107" s="44" t="str">
        <f>IF(Trades!$A107="","",Trades!Q107)</f>
        <v/>
      </c>
      <c r="L107" s="42" t="str">
        <f>IF(Trades!$A107="","",Trades!F107)</f>
        <v/>
      </c>
      <c r="M107" s="44" t="str">
        <f>IF(Trades!$A107="","",Trades!M107)</f>
        <v/>
      </c>
      <c r="N107" s="44" t="str">
        <f>IF(Trades!$A107="","",Trades!R107)</f>
        <v/>
      </c>
      <c r="O107" s="44" t="str">
        <f>IF(Trades!$A107="","",Trades!J107)</f>
        <v/>
      </c>
      <c r="P107" s="43" t="str">
        <f>IF(Trades!$A107="","",Trades!H107)</f>
        <v/>
      </c>
      <c r="Q107" s="41" t="str">
        <f>IF(Trades!$A107="","",Trades!P107)</f>
        <v/>
      </c>
      <c r="R107" s="45" t="str">
        <f t="shared" si="17"/>
        <v/>
      </c>
      <c r="S107" s="45" t="str">
        <f t="shared" si="18"/>
        <v/>
      </c>
      <c r="T107" s="46" t="str">
        <f>IF(OR($A107="",$B107=""),"",IF(AND(IFERROR(LOOKUP(2,1/($B$9:$B$106=$B107),$AR$9:$AR106),1),NOT(AND(OR($F107="dividend",$F107="fee"),IFERROR(LOOKUP(2,1/($B$9:$B$106=$B107),$T$9:$T106),0)&gt;0))),IFERROR(LOOKUP(2,1/($B$9:$B$106=$B107),$T$9:$T106),0)+1,IFERROR(LOOKUP(2,1/($B$9:$B$106=$B107),$T$9:$T106),0)))</f>
        <v/>
      </c>
      <c r="U107" s="47" t="str">
        <f t="shared" si="19"/>
        <v/>
      </c>
      <c r="V107" s="47" t="str">
        <f>IF($A107="","",IF(OR($B107="",$C107="",$D107="",$E107="",$F107=""),"Missing required field",IF(COUNTIFS($A$9:$A107,$A107,$B$9:$B107,$B107)&gt;1,"Duplicate event ID",IF(AND($E107&lt;&gt;IFERROR(LOOKUP(2,1/($B$9:$B$106=$B107),$E$9:$E106),0),IFERROR(LOOKUP(2,1/($B$9:$B$106=$B107),$E$9:$E106),0)&gt;$E107),"Date out of order",IF(AND(OR($F107="buy_to_close",$F107="expire",$F107="roll",$F107="assignment",$F107="called_away"),$AF107=0),"Unknown lot",IF(OR(AND($F107="assignment",$AF107&gt;0,IF($AF107&gt;0,INDEX($AG$9:$AG$106,$AF107),"")&lt;&gt;"put"),AND($F107="called_away",$AF107&gt;0,IF($AF107&gt;0,INDEX($AG$9:$AG$106,$AF107),"")&lt;&gt;"call")),"Wrong option leg",IF(OR(AND(OR($F107="sell_put",$F107="sell_call"),OR($H107&lt;=0,$I107&lt;=0,$J107&lt;0)),AND(OR($F107="buy_to_close",$F107="expire",$F107="assignment",$F107="called_away"),OR($H107&lt;=0,$J107&lt;0)),AND($F107="roll",OR($H107&lt;=0,$I107&lt;=0,$J107&lt;0,$K107&lt;0)),AND(OR($F107="buy_shares",$F107="sell_shares"),OR($L107&lt;=0,$M107&lt;0)),AND(OR($F107="dividend",$F107="fee"),$N107&lt;0)),"Invalid value",IF(AND(OR($F107="sell_shares",$F107="called_away"),$AL107&lt;IF($F107="called_away",$AE107*$D107,$L107)),"Insufficient shares (capped)",IF(AND(OR($F107="buy_to_close",$F107="expire",$F107="roll",$F107="assignment",$F107="called_away"),$AF107&gt;0,$H107&gt;IF($AF107&gt;0,MAX(0,INDEX($AI$9:$AI$106,$AF107)-SUMIFS($AE$9:$AE$106,$G$9:$G$106,$G107,$B$9:$B$106,$B107)),0)),"Close quantity capped","OK")))))))))</f>
        <v/>
      </c>
      <c r="W107" s="48" t="str">
        <f t="shared" si="20"/>
        <v/>
      </c>
      <c r="X107" s="49" t="str">
        <f t="shared" si="21"/>
        <v/>
      </c>
      <c r="Y107" s="50" t="str">
        <f t="shared" si="22"/>
        <v/>
      </c>
      <c r="Z107" s="50" t="str">
        <f t="shared" si="23"/>
        <v/>
      </c>
      <c r="AA107" s="50" t="str">
        <f t="shared" si="24"/>
        <v/>
      </c>
      <c r="AB107" s="50" t="str">
        <f t="shared" si="25"/>
        <v/>
      </c>
      <c r="AC107" s="50" t="str">
        <f>IF($A107="","",IF($F107="assignment",IF($AF107&gt;0,INDEX($AH$9:$AH$106,$AF107),0)*$AE107*$D107,IF($F107="buy_shares",$M107*$AL107,0)))</f>
        <v/>
      </c>
      <c r="AD107" s="50" t="str">
        <f>IF($A107="","",IF($F107="called_away",IF($AF107&gt;0,INDEX($AH$9:$AH$106,$AF107),0)*$AL107,IF($F107="sell_shares",$M107*$AL107,0)))</f>
        <v/>
      </c>
      <c r="AE107" s="51" t="str">
        <f>IF($A107="","",IF(OR($F107="sell_put",$F107="sell_call"),IF(AND($H107&gt;0,$I107&gt;0,$J107&gt;=0),$H107,0),IF(OR($F107="buy_to_close",$F107="expire",$F107="roll",$F107="assignment",$F107="called_away"),IF(AND($AF107&gt;0,$H107&gt;0,IF($F107="assignment",IF($AF107&gt;0,INDEX($AG$9:$AG$106,$AF107),"")="put",TRUE),IF($F107="called_away",IF($AF107&gt;0,INDEX($AG$9:$AG$106,$AF107),"")="call",TRUE)),MIN($H107,IF($AF107&gt;0,MAX(0,INDEX($AI$9:$AI$106,$AF107)-SUMIFS($AE$9:$AE$106,$G$9:$G$106,$G107,$B$9:$B$106,$B107)),0)),0),0)))</f>
        <v/>
      </c>
      <c r="AF107" t="str">
        <f>IF($A107="","",IFERROR(MATCH(LEN($B107)&amp;":"&amp;$B107&amp;$G107,$AY$9:$AY$106,0),0))</f>
        <v/>
      </c>
      <c r="AG107" t="str">
        <f>IF($A107="","",IF($F107="sell_put","put",IF($F107="sell_call","call",IF($F107="roll",IF($AF107&gt;0,IF($AF107&gt;0,INDEX($AG$9:$AG$106,$AF107),""),""),IF($AF107&gt;0,IF($AF107&gt;0,INDEX($AG$9:$AG$106,$AF107),""),"")))))</f>
        <v/>
      </c>
      <c r="AH107" t="str">
        <f>IF($A107="","",IF(OR($F107="sell_put",$F107="sell_call",$F107="roll"),$I107,IF($AF107&gt;0,IF($AF107&gt;0,INDEX($AH$9:$AH$106,$AF107),0),0)))</f>
        <v/>
      </c>
      <c r="AI107" s="51" t="str">
        <f t="shared" si="26"/>
        <v/>
      </c>
      <c r="AJ107" s="51" t="str">
        <f>IF($A107="","",IFERROR(LOOKUP(2,1/($B$9:$B$106=$B107),$AM$9:$AM106),0))</f>
        <v/>
      </c>
      <c r="AK107" t="str">
        <f>IF($A107="","",IFERROR(LOOKUP(2,1/($B$9:$B$106=$B107),$AN$9:$AN106),0))</f>
        <v/>
      </c>
      <c r="AL107" s="51" t="str">
        <f t="shared" si="27"/>
        <v/>
      </c>
      <c r="AM107" s="51" t="str">
        <f t="shared" si="28"/>
        <v/>
      </c>
      <c r="AN107" t="str">
        <f t="shared" si="29"/>
        <v/>
      </c>
      <c r="AO107" s="50" t="str">
        <f>IF($A107="","",IFERROR(LOOKUP(2,1/($B$9:$B$106=$B107),$AO$9:$AO106),0)+IF($F107="sell_put",$I107*$AE107*$D107,IF($F107="roll",IF($AG107="put",($I107-IF($AF107&gt;0,INDEX($AH$9:$AH$106,$AF107),0))*$AE107*$D107,0),IF(AND(OR($F107="buy_to_close",$F107="expire",$F107="roll",$F107="assignment",$F107="called_away"),$F107&lt;&gt;"roll",$AG107="put"),-IF($AF107&gt;0,INDEX($AH$9:$AH$106,$AF107),0)*$AE107*$D107,0))))</f>
        <v/>
      </c>
      <c r="AP107" s="51" t="str">
        <f>IF($A107="","",IFERROR(LOOKUP(2,1/($B$9:$B$106=$B107),$AP$9:$AP106),0)+IF($F107="sell_put",$AE107*$D107,IF(AND(OR($F107="buy_to_close",$F107="expire",$F107="roll",$F107="assignment",$F107="called_away"),$F107&lt;&gt;"roll",$AG107="put"),-$AE107*$D107,0)))</f>
        <v/>
      </c>
      <c r="AQ107" s="51" t="str">
        <f>IF($A107="","",IFERROR(LOOKUP(2,1/($B$9:$B$106=$B107),$AQ$9:$AQ106),0)+IF(OR($F107="sell_put",$F107="sell_call"),$AE107,0)-IF(AND(OR($F107="buy_to_close",$F107="expire",$F107="roll",$F107="assignment",$F107="called_away"),$F107&lt;&gt;"roll"),$AE107,0))</f>
        <v/>
      </c>
      <c r="AR107" t="str">
        <f t="shared" si="30"/>
        <v/>
      </c>
      <c r="AS107" s="50" t="str">
        <f t="shared" si="31"/>
        <v/>
      </c>
      <c r="AT107" s="50" t="str">
        <f>IF($A107="","",MAX(IF($T107=IFERROR(LOOKUP(2,1/($B$9:$B$106=$B107),$T$9:$T106),0),IFERROR(LOOKUP(2,1/($B$9:$B$106=$B107),$AT$9:$AT106),0),0),$AS107))</f>
        <v/>
      </c>
      <c r="AU107" t="str">
        <f t="shared" si="32"/>
        <v/>
      </c>
      <c r="AV107" s="51">
        <f>IF($AU107="",0,IF(AND(IFERROR(LOOKUP(2,1/($B$9:$B$106=$B107),$AR$9:$AR106),1),NOT(AND(OR($F107="dividend",$F107="fee"),IFERROR(LOOKUP(2,1/($B$9:$B$106=$B107),$T$9:$T106),0)&gt;0))),ROW(),0))</f>
        <v>0</v>
      </c>
      <c r="AW107">
        <f>IF($A107="",0,IF($AV107&gt;0,MAX($AW$9:$AW$106)+1,MAX($AW$9:$AW$106)))</f>
        <v>0</v>
      </c>
      <c r="AX107">
        <f>IF($AU107="",0,IF(AND($AR107,OR(NOT(IFERROR(LOOKUP(2,1/($B$9:$B$106=$B107),$AR$9:$AR106),1)),IFERROR(LOOKUP(2,1/($B$9:$B$106=$B107),$T$9:$T106),0)=0)),ROW(),0))</f>
        <v>0</v>
      </c>
      <c r="AY107" t="str">
        <f t="shared" si="33"/>
        <v/>
      </c>
    </row>
    <row r="108" spans="1:51" ht="15" x14ac:dyDescent="0.25">
      <c r="A108" s="52" t="str">
        <f>IF(Trades!$A108="","",Trades!O108)</f>
        <v/>
      </c>
      <c r="B108" s="52" t="str">
        <f>IF(Trades!$A108="","",Trades!B108)</f>
        <v/>
      </c>
      <c r="C108" s="52" t="str">
        <f>IF(Trades!$A108="","",Trades!C108)</f>
        <v/>
      </c>
      <c r="D108" s="53" t="str">
        <f>IF(Trades!$A108="","",IF(Trades!$L108&gt;0,Trades!$L108,Trades!$C$6))</f>
        <v/>
      </c>
      <c r="E108" s="54" t="str">
        <f>IF(Trades!$A108="","",Trades!A108)</f>
        <v/>
      </c>
      <c r="F108" s="52" t="str">
        <f>IF(Trades!$A108="","",IFERROR(INDEX(Trades!$V$2:$V$14,MATCH(Trades!$E108,Trades!$U$2:$U$14,0)),""))</f>
        <v/>
      </c>
      <c r="G108" s="52" t="str">
        <f>IF(Trades!$A108="","",Trades!N108)</f>
        <v/>
      </c>
      <c r="H108" s="53" t="str">
        <f>IF(Trades!$A108="","",Trades!F108)</f>
        <v/>
      </c>
      <c r="I108" s="55" t="str">
        <f>IF(Trades!$A108="","",Trades!G108)</f>
        <v/>
      </c>
      <c r="J108" s="55" t="str">
        <f>IF(Trades!$A108="","",Trades!I108)</f>
        <v/>
      </c>
      <c r="K108" s="55" t="str">
        <f>IF(Trades!$A108="","",Trades!Q108)</f>
        <v/>
      </c>
      <c r="L108" s="53" t="str">
        <f>IF(Trades!$A108="","",Trades!F108)</f>
        <v/>
      </c>
      <c r="M108" s="55" t="str">
        <f>IF(Trades!$A108="","",Trades!M108)</f>
        <v/>
      </c>
      <c r="N108" s="55" t="str">
        <f>IF(Trades!$A108="","",Trades!R108)</f>
        <v/>
      </c>
      <c r="O108" s="55" t="str">
        <f>IF(Trades!$A108="","",Trades!J108)</f>
        <v/>
      </c>
      <c r="P108" s="54" t="str">
        <f>IF(Trades!$A108="","",Trades!H108)</f>
        <v/>
      </c>
      <c r="Q108" s="52" t="str">
        <f>IF(Trades!$A108="","",Trades!P108)</f>
        <v/>
      </c>
      <c r="R108" s="56" t="str">
        <f t="shared" si="17"/>
        <v/>
      </c>
      <c r="S108" s="56" t="str">
        <f t="shared" si="18"/>
        <v/>
      </c>
      <c r="T108" s="57" t="str">
        <f>IF(OR($A108="",$B108=""),"",IF(AND(IFERROR(LOOKUP(2,1/($B$9:$B$107=$B108),$AR$9:$AR107),1),NOT(AND(OR($F108="dividend",$F108="fee"),IFERROR(LOOKUP(2,1/($B$9:$B$107=$B108),$T$9:$T107),0)&gt;0))),IFERROR(LOOKUP(2,1/($B$9:$B$107=$B108),$T$9:$T107),0)+1,IFERROR(LOOKUP(2,1/($B$9:$B$107=$B108),$T$9:$T107),0)))</f>
        <v/>
      </c>
      <c r="U108" s="58" t="str">
        <f t="shared" si="19"/>
        <v/>
      </c>
      <c r="V108" s="58" t="str">
        <f>IF($A108="","",IF(OR($B108="",$C108="",$D108="",$E108="",$F108=""),"Missing required field",IF(COUNTIFS($A$9:$A108,$A108,$B$9:$B108,$B108)&gt;1,"Duplicate event ID",IF(AND($E108&lt;&gt;IFERROR(LOOKUP(2,1/($B$9:$B$107=$B108),$E$9:$E107),0),IFERROR(LOOKUP(2,1/($B$9:$B$107=$B108),$E$9:$E107),0)&gt;$E108),"Date out of order",IF(AND(OR($F108="buy_to_close",$F108="expire",$F108="roll",$F108="assignment",$F108="called_away"),$AF108=0),"Unknown lot",IF(OR(AND($F108="assignment",$AF108&gt;0,IF($AF108&gt;0,INDEX($AG$9:$AG$107,$AF108),"")&lt;&gt;"put"),AND($F108="called_away",$AF108&gt;0,IF($AF108&gt;0,INDEX($AG$9:$AG$107,$AF108),"")&lt;&gt;"call")),"Wrong option leg",IF(OR(AND(OR($F108="sell_put",$F108="sell_call"),OR($H108&lt;=0,$I108&lt;=0,$J108&lt;0)),AND(OR($F108="buy_to_close",$F108="expire",$F108="assignment",$F108="called_away"),OR($H108&lt;=0,$J108&lt;0)),AND($F108="roll",OR($H108&lt;=0,$I108&lt;=0,$J108&lt;0,$K108&lt;0)),AND(OR($F108="buy_shares",$F108="sell_shares"),OR($L108&lt;=0,$M108&lt;0)),AND(OR($F108="dividend",$F108="fee"),$N108&lt;0)),"Invalid value",IF(AND(OR($F108="sell_shares",$F108="called_away"),$AL108&lt;IF($F108="called_away",$AE108*$D108,$L108)),"Insufficient shares (capped)",IF(AND(OR($F108="buy_to_close",$F108="expire",$F108="roll",$F108="assignment",$F108="called_away"),$AF108&gt;0,$H108&gt;IF($AF108&gt;0,MAX(0,INDEX($AI$9:$AI$107,$AF108)-SUMIFS($AE$9:$AE$107,$G$9:$G$107,$G108,$B$9:$B$107,$B108)),0)),"Close quantity capped","OK")))))))))</f>
        <v/>
      </c>
      <c r="W108" s="59" t="str">
        <f t="shared" si="20"/>
        <v/>
      </c>
      <c r="X108" s="60" t="str">
        <f t="shared" si="21"/>
        <v/>
      </c>
      <c r="Y108" s="50" t="str">
        <f t="shared" si="22"/>
        <v/>
      </c>
      <c r="Z108" s="50" t="str">
        <f t="shared" si="23"/>
        <v/>
      </c>
      <c r="AA108" s="50" t="str">
        <f t="shared" si="24"/>
        <v/>
      </c>
      <c r="AB108" s="50" t="str">
        <f t="shared" si="25"/>
        <v/>
      </c>
      <c r="AC108" s="50" t="str">
        <f>IF($A108="","",IF($F108="assignment",IF($AF108&gt;0,INDEX($AH$9:$AH$107,$AF108),0)*$AE108*$D108,IF($F108="buy_shares",$M108*$AL108,0)))</f>
        <v/>
      </c>
      <c r="AD108" s="50" t="str">
        <f>IF($A108="","",IF($F108="called_away",IF($AF108&gt;0,INDEX($AH$9:$AH$107,$AF108),0)*$AL108,IF($F108="sell_shares",$M108*$AL108,0)))</f>
        <v/>
      </c>
      <c r="AE108" s="51" t="str">
        <f>IF($A108="","",IF(OR($F108="sell_put",$F108="sell_call"),IF(AND($H108&gt;0,$I108&gt;0,$J108&gt;=0),$H108,0),IF(OR($F108="buy_to_close",$F108="expire",$F108="roll",$F108="assignment",$F108="called_away"),IF(AND($AF108&gt;0,$H108&gt;0,IF($F108="assignment",IF($AF108&gt;0,INDEX($AG$9:$AG$107,$AF108),"")="put",TRUE),IF($F108="called_away",IF($AF108&gt;0,INDEX($AG$9:$AG$107,$AF108),"")="call",TRUE)),MIN($H108,IF($AF108&gt;0,MAX(0,INDEX($AI$9:$AI$107,$AF108)-SUMIFS($AE$9:$AE$107,$G$9:$G$107,$G108,$B$9:$B$107,$B108)),0)),0),0)))</f>
        <v/>
      </c>
      <c r="AF108" t="str">
        <f>IF($A108="","",IFERROR(MATCH(LEN($B108)&amp;":"&amp;$B108&amp;$G108,$AY$9:$AY$107,0),0))</f>
        <v/>
      </c>
      <c r="AG108" t="str">
        <f>IF($A108="","",IF($F108="sell_put","put",IF($F108="sell_call","call",IF($F108="roll",IF($AF108&gt;0,IF($AF108&gt;0,INDEX($AG$9:$AG$107,$AF108),""),""),IF($AF108&gt;0,IF($AF108&gt;0,INDEX($AG$9:$AG$107,$AF108),""),"")))))</f>
        <v/>
      </c>
      <c r="AH108" t="str">
        <f>IF($A108="","",IF(OR($F108="sell_put",$F108="sell_call",$F108="roll"),$I108,IF($AF108&gt;0,IF($AF108&gt;0,INDEX($AH$9:$AH$107,$AF108),0),0)))</f>
        <v/>
      </c>
      <c r="AI108" s="51" t="str">
        <f t="shared" si="26"/>
        <v/>
      </c>
      <c r="AJ108" s="51" t="str">
        <f>IF($A108="","",IFERROR(LOOKUP(2,1/($B$9:$B$107=$B108),$AM$9:$AM107),0))</f>
        <v/>
      </c>
      <c r="AK108" t="str">
        <f>IF($A108="","",IFERROR(LOOKUP(2,1/($B$9:$B$107=$B108),$AN$9:$AN107),0))</f>
        <v/>
      </c>
      <c r="AL108" s="51" t="str">
        <f t="shared" si="27"/>
        <v/>
      </c>
      <c r="AM108" s="51" t="str">
        <f t="shared" si="28"/>
        <v/>
      </c>
      <c r="AN108" t="str">
        <f t="shared" si="29"/>
        <v/>
      </c>
      <c r="AO108" s="50" t="str">
        <f>IF($A108="","",IFERROR(LOOKUP(2,1/($B$9:$B$107=$B108),$AO$9:$AO107),0)+IF($F108="sell_put",$I108*$AE108*$D108,IF($F108="roll",IF($AG108="put",($I108-IF($AF108&gt;0,INDEX($AH$9:$AH$107,$AF108),0))*$AE108*$D108,0),IF(AND(OR($F108="buy_to_close",$F108="expire",$F108="roll",$F108="assignment",$F108="called_away"),$F108&lt;&gt;"roll",$AG108="put"),-IF($AF108&gt;0,INDEX($AH$9:$AH$107,$AF108),0)*$AE108*$D108,0))))</f>
        <v/>
      </c>
      <c r="AP108" s="51" t="str">
        <f>IF($A108="","",IFERROR(LOOKUP(2,1/($B$9:$B$107=$B108),$AP$9:$AP107),0)+IF($F108="sell_put",$AE108*$D108,IF(AND(OR($F108="buy_to_close",$F108="expire",$F108="roll",$F108="assignment",$F108="called_away"),$F108&lt;&gt;"roll",$AG108="put"),-$AE108*$D108,0)))</f>
        <v/>
      </c>
      <c r="AQ108" s="51" t="str">
        <f>IF($A108="","",IFERROR(LOOKUP(2,1/($B$9:$B$107=$B108),$AQ$9:$AQ107),0)+IF(OR($F108="sell_put",$F108="sell_call"),$AE108,0)-IF(AND(OR($F108="buy_to_close",$F108="expire",$F108="roll",$F108="assignment",$F108="called_away"),$F108&lt;&gt;"roll"),$AE108,0))</f>
        <v/>
      </c>
      <c r="AR108" t="str">
        <f t="shared" si="30"/>
        <v/>
      </c>
      <c r="AS108" s="50" t="str">
        <f t="shared" si="31"/>
        <v/>
      </c>
      <c r="AT108" s="50" t="str">
        <f>IF($A108="","",MAX(IF($T108=IFERROR(LOOKUP(2,1/($B$9:$B$107=$B108),$T$9:$T107),0),IFERROR(LOOKUP(2,1/($B$9:$B$107=$B108),$AT$9:$AT107),0),0),$AS108))</f>
        <v/>
      </c>
      <c r="AU108" t="str">
        <f t="shared" si="32"/>
        <v/>
      </c>
      <c r="AV108" s="51">
        <f>IF($AU108="",0,IF(AND(IFERROR(LOOKUP(2,1/($B$9:$B$107=$B108),$AR$9:$AR107),1),NOT(AND(OR($F108="dividend",$F108="fee"),IFERROR(LOOKUP(2,1/($B$9:$B$107=$B108),$T$9:$T107),0)&gt;0))),ROW(),0))</f>
        <v>0</v>
      </c>
      <c r="AW108">
        <f>IF($A108="",0,IF($AV108&gt;0,MAX($AW$9:$AW$107)+1,MAX($AW$9:$AW$107)))</f>
        <v>0</v>
      </c>
      <c r="AX108">
        <f>IF($AU108="",0,IF(AND($AR108,OR(NOT(IFERROR(LOOKUP(2,1/($B$9:$B$107=$B108),$AR$9:$AR107),1)),IFERROR(LOOKUP(2,1/($B$9:$B$107=$B108),$T$9:$T107),0)=0)),ROW(),0))</f>
        <v>0</v>
      </c>
      <c r="AY108" t="str">
        <f t="shared" si="33"/>
        <v/>
      </c>
    </row>
    <row r="109" spans="1:51" ht="15" x14ac:dyDescent="0.25">
      <c r="A109" s="41" t="str">
        <f>IF(Trades!$A109="","",Trades!O109)</f>
        <v/>
      </c>
      <c r="B109" s="41" t="str">
        <f>IF(Trades!$A109="","",Trades!B109)</f>
        <v/>
      </c>
      <c r="C109" s="41" t="str">
        <f>IF(Trades!$A109="","",Trades!C109)</f>
        <v/>
      </c>
      <c r="D109" s="42" t="str">
        <f>IF(Trades!$A109="","",IF(Trades!$L109&gt;0,Trades!$L109,Trades!$C$6))</f>
        <v/>
      </c>
      <c r="E109" s="43" t="str">
        <f>IF(Trades!$A109="","",Trades!A109)</f>
        <v/>
      </c>
      <c r="F109" s="41" t="str">
        <f>IF(Trades!$A109="","",IFERROR(INDEX(Trades!$V$2:$V$14,MATCH(Trades!$E109,Trades!$U$2:$U$14,0)),""))</f>
        <v/>
      </c>
      <c r="G109" s="41" t="str">
        <f>IF(Trades!$A109="","",Trades!N109)</f>
        <v/>
      </c>
      <c r="H109" s="42" t="str">
        <f>IF(Trades!$A109="","",Trades!F109)</f>
        <v/>
      </c>
      <c r="I109" s="44" t="str">
        <f>IF(Trades!$A109="","",Trades!G109)</f>
        <v/>
      </c>
      <c r="J109" s="44" t="str">
        <f>IF(Trades!$A109="","",Trades!I109)</f>
        <v/>
      </c>
      <c r="K109" s="44" t="str">
        <f>IF(Trades!$A109="","",Trades!Q109)</f>
        <v/>
      </c>
      <c r="L109" s="42" t="str">
        <f>IF(Trades!$A109="","",Trades!F109)</f>
        <v/>
      </c>
      <c r="M109" s="44" t="str">
        <f>IF(Trades!$A109="","",Trades!M109)</f>
        <v/>
      </c>
      <c r="N109" s="44" t="str">
        <f>IF(Trades!$A109="","",Trades!R109)</f>
        <v/>
      </c>
      <c r="O109" s="44" t="str">
        <f>IF(Trades!$A109="","",Trades!J109)</f>
        <v/>
      </c>
      <c r="P109" s="43" t="str">
        <f>IF(Trades!$A109="","",Trades!H109)</f>
        <v/>
      </c>
      <c r="Q109" s="41" t="str">
        <f>IF(Trades!$A109="","",Trades!P109)</f>
        <v/>
      </c>
      <c r="R109" s="45" t="str">
        <f t="shared" si="17"/>
        <v/>
      </c>
      <c r="S109" s="45" t="str">
        <f t="shared" si="18"/>
        <v/>
      </c>
      <c r="T109" s="46" t="str">
        <f>IF(OR($A109="",$B109=""),"",IF(AND(IFERROR(LOOKUP(2,1/($B$9:$B$108=$B109),$AR$9:$AR108),1),NOT(AND(OR($F109="dividend",$F109="fee"),IFERROR(LOOKUP(2,1/($B$9:$B$108=$B109),$T$9:$T108),0)&gt;0))),IFERROR(LOOKUP(2,1/($B$9:$B$108=$B109),$T$9:$T108),0)+1,IFERROR(LOOKUP(2,1/($B$9:$B$108=$B109),$T$9:$T108),0)))</f>
        <v/>
      </c>
      <c r="U109" s="47" t="str">
        <f t="shared" si="19"/>
        <v/>
      </c>
      <c r="V109" s="47" t="str">
        <f>IF($A109="","",IF(OR($B109="",$C109="",$D109="",$E109="",$F109=""),"Missing required field",IF(COUNTIFS($A$9:$A109,$A109,$B$9:$B109,$B109)&gt;1,"Duplicate event ID",IF(AND($E109&lt;&gt;IFERROR(LOOKUP(2,1/($B$9:$B$108=$B109),$E$9:$E108),0),IFERROR(LOOKUP(2,1/($B$9:$B$108=$B109),$E$9:$E108),0)&gt;$E109),"Date out of order",IF(AND(OR($F109="buy_to_close",$F109="expire",$F109="roll",$F109="assignment",$F109="called_away"),$AF109=0),"Unknown lot",IF(OR(AND($F109="assignment",$AF109&gt;0,IF($AF109&gt;0,INDEX($AG$9:$AG$108,$AF109),"")&lt;&gt;"put"),AND($F109="called_away",$AF109&gt;0,IF($AF109&gt;0,INDEX($AG$9:$AG$108,$AF109),"")&lt;&gt;"call")),"Wrong option leg",IF(OR(AND(OR($F109="sell_put",$F109="sell_call"),OR($H109&lt;=0,$I109&lt;=0,$J109&lt;0)),AND(OR($F109="buy_to_close",$F109="expire",$F109="assignment",$F109="called_away"),OR($H109&lt;=0,$J109&lt;0)),AND($F109="roll",OR($H109&lt;=0,$I109&lt;=0,$J109&lt;0,$K109&lt;0)),AND(OR($F109="buy_shares",$F109="sell_shares"),OR($L109&lt;=0,$M109&lt;0)),AND(OR($F109="dividend",$F109="fee"),$N109&lt;0)),"Invalid value",IF(AND(OR($F109="sell_shares",$F109="called_away"),$AL109&lt;IF($F109="called_away",$AE109*$D109,$L109)),"Insufficient shares (capped)",IF(AND(OR($F109="buy_to_close",$F109="expire",$F109="roll",$F109="assignment",$F109="called_away"),$AF109&gt;0,$H109&gt;IF($AF109&gt;0,MAX(0,INDEX($AI$9:$AI$108,$AF109)-SUMIFS($AE$9:$AE$108,$G$9:$G$108,$G109,$B$9:$B$108,$B109)),0)),"Close quantity capped","OK")))))))))</f>
        <v/>
      </c>
      <c r="W109" s="48" t="str">
        <f t="shared" si="20"/>
        <v/>
      </c>
      <c r="X109" s="49" t="str">
        <f t="shared" si="21"/>
        <v/>
      </c>
      <c r="Y109" s="50" t="str">
        <f t="shared" si="22"/>
        <v/>
      </c>
      <c r="Z109" s="50" t="str">
        <f t="shared" si="23"/>
        <v/>
      </c>
      <c r="AA109" s="50" t="str">
        <f t="shared" si="24"/>
        <v/>
      </c>
      <c r="AB109" s="50" t="str">
        <f t="shared" si="25"/>
        <v/>
      </c>
      <c r="AC109" s="50" t="str">
        <f>IF($A109="","",IF($F109="assignment",IF($AF109&gt;0,INDEX($AH$9:$AH$108,$AF109),0)*$AE109*$D109,IF($F109="buy_shares",$M109*$AL109,0)))</f>
        <v/>
      </c>
      <c r="AD109" s="50" t="str">
        <f>IF($A109="","",IF($F109="called_away",IF($AF109&gt;0,INDEX($AH$9:$AH$108,$AF109),0)*$AL109,IF($F109="sell_shares",$M109*$AL109,0)))</f>
        <v/>
      </c>
      <c r="AE109" s="51" t="str">
        <f>IF($A109="","",IF(OR($F109="sell_put",$F109="sell_call"),IF(AND($H109&gt;0,$I109&gt;0,$J109&gt;=0),$H109,0),IF(OR($F109="buy_to_close",$F109="expire",$F109="roll",$F109="assignment",$F109="called_away"),IF(AND($AF109&gt;0,$H109&gt;0,IF($F109="assignment",IF($AF109&gt;0,INDEX($AG$9:$AG$108,$AF109),"")="put",TRUE),IF($F109="called_away",IF($AF109&gt;0,INDEX($AG$9:$AG$108,$AF109),"")="call",TRUE)),MIN($H109,IF($AF109&gt;0,MAX(0,INDEX($AI$9:$AI$108,$AF109)-SUMIFS($AE$9:$AE$108,$G$9:$G$108,$G109,$B$9:$B$108,$B109)),0)),0),0)))</f>
        <v/>
      </c>
      <c r="AF109" t="str">
        <f>IF($A109="","",IFERROR(MATCH(LEN($B109)&amp;":"&amp;$B109&amp;$G109,$AY$9:$AY$108,0),0))</f>
        <v/>
      </c>
      <c r="AG109" t="str">
        <f>IF($A109="","",IF($F109="sell_put","put",IF($F109="sell_call","call",IF($F109="roll",IF($AF109&gt;0,IF($AF109&gt;0,INDEX($AG$9:$AG$108,$AF109),""),""),IF($AF109&gt;0,IF($AF109&gt;0,INDEX($AG$9:$AG$108,$AF109),""),"")))))</f>
        <v/>
      </c>
      <c r="AH109" t="str">
        <f>IF($A109="","",IF(OR($F109="sell_put",$F109="sell_call",$F109="roll"),$I109,IF($AF109&gt;0,IF($AF109&gt;0,INDEX($AH$9:$AH$108,$AF109),0),0)))</f>
        <v/>
      </c>
      <c r="AI109" s="51" t="str">
        <f t="shared" si="26"/>
        <v/>
      </c>
      <c r="AJ109" s="51" t="str">
        <f>IF($A109="","",IFERROR(LOOKUP(2,1/($B$9:$B$108=$B109),$AM$9:$AM108),0))</f>
        <v/>
      </c>
      <c r="AK109" t="str">
        <f>IF($A109="","",IFERROR(LOOKUP(2,1/($B$9:$B$108=$B109),$AN$9:$AN108),0))</f>
        <v/>
      </c>
      <c r="AL109" s="51" t="str">
        <f t="shared" si="27"/>
        <v/>
      </c>
      <c r="AM109" s="51" t="str">
        <f t="shared" si="28"/>
        <v/>
      </c>
      <c r="AN109" t="str">
        <f t="shared" si="29"/>
        <v/>
      </c>
      <c r="AO109" s="50" t="str">
        <f>IF($A109="","",IFERROR(LOOKUP(2,1/($B$9:$B$108=$B109),$AO$9:$AO108),0)+IF($F109="sell_put",$I109*$AE109*$D109,IF($F109="roll",IF($AG109="put",($I109-IF($AF109&gt;0,INDEX($AH$9:$AH$108,$AF109),0))*$AE109*$D109,0),IF(AND(OR($F109="buy_to_close",$F109="expire",$F109="roll",$F109="assignment",$F109="called_away"),$F109&lt;&gt;"roll",$AG109="put"),-IF($AF109&gt;0,INDEX($AH$9:$AH$108,$AF109),0)*$AE109*$D109,0))))</f>
        <v/>
      </c>
      <c r="AP109" s="51" t="str">
        <f>IF($A109="","",IFERROR(LOOKUP(2,1/($B$9:$B$108=$B109),$AP$9:$AP108),0)+IF($F109="sell_put",$AE109*$D109,IF(AND(OR($F109="buy_to_close",$F109="expire",$F109="roll",$F109="assignment",$F109="called_away"),$F109&lt;&gt;"roll",$AG109="put"),-$AE109*$D109,0)))</f>
        <v/>
      </c>
      <c r="AQ109" s="51" t="str">
        <f>IF($A109="","",IFERROR(LOOKUP(2,1/($B$9:$B$108=$B109),$AQ$9:$AQ108),0)+IF(OR($F109="sell_put",$F109="sell_call"),$AE109,0)-IF(AND(OR($F109="buy_to_close",$F109="expire",$F109="roll",$F109="assignment",$F109="called_away"),$F109&lt;&gt;"roll"),$AE109,0))</f>
        <v/>
      </c>
      <c r="AR109" t="str">
        <f t="shared" si="30"/>
        <v/>
      </c>
      <c r="AS109" s="50" t="str">
        <f t="shared" si="31"/>
        <v/>
      </c>
      <c r="AT109" s="50" t="str">
        <f>IF($A109="","",MAX(IF($T109=IFERROR(LOOKUP(2,1/($B$9:$B$108=$B109),$T$9:$T108),0),IFERROR(LOOKUP(2,1/($B$9:$B$108=$B109),$AT$9:$AT108),0),0),$AS109))</f>
        <v/>
      </c>
      <c r="AU109" t="str">
        <f t="shared" si="32"/>
        <v/>
      </c>
      <c r="AV109" s="51">
        <f>IF($AU109="",0,IF(AND(IFERROR(LOOKUP(2,1/($B$9:$B$108=$B109),$AR$9:$AR108),1),NOT(AND(OR($F109="dividend",$F109="fee"),IFERROR(LOOKUP(2,1/($B$9:$B$108=$B109),$T$9:$T108),0)&gt;0))),ROW(),0))</f>
        <v>0</v>
      </c>
      <c r="AW109">
        <f>IF($A109="",0,IF($AV109&gt;0,MAX($AW$9:$AW$108)+1,MAX($AW$9:$AW$108)))</f>
        <v>0</v>
      </c>
      <c r="AX109">
        <f>IF($AU109="",0,IF(AND($AR109,OR(NOT(IFERROR(LOOKUP(2,1/($B$9:$B$108=$B109),$AR$9:$AR108),1)),IFERROR(LOOKUP(2,1/($B$9:$B$108=$B109),$T$9:$T108),0)=0)),ROW(),0))</f>
        <v>0</v>
      </c>
      <c r="AY109" t="str">
        <f t="shared" si="33"/>
        <v/>
      </c>
    </row>
    <row r="110" spans="1:51" ht="15" x14ac:dyDescent="0.25">
      <c r="A110" s="52" t="str">
        <f>IF(Trades!$A110="","",Trades!O110)</f>
        <v/>
      </c>
      <c r="B110" s="52" t="str">
        <f>IF(Trades!$A110="","",Trades!B110)</f>
        <v/>
      </c>
      <c r="C110" s="52" t="str">
        <f>IF(Trades!$A110="","",Trades!C110)</f>
        <v/>
      </c>
      <c r="D110" s="53" t="str">
        <f>IF(Trades!$A110="","",IF(Trades!$L110&gt;0,Trades!$L110,Trades!$C$6))</f>
        <v/>
      </c>
      <c r="E110" s="54" t="str">
        <f>IF(Trades!$A110="","",Trades!A110)</f>
        <v/>
      </c>
      <c r="F110" s="52" t="str">
        <f>IF(Trades!$A110="","",IFERROR(INDEX(Trades!$V$2:$V$14,MATCH(Trades!$E110,Trades!$U$2:$U$14,0)),""))</f>
        <v/>
      </c>
      <c r="G110" s="52" t="str">
        <f>IF(Trades!$A110="","",Trades!N110)</f>
        <v/>
      </c>
      <c r="H110" s="53" t="str">
        <f>IF(Trades!$A110="","",Trades!F110)</f>
        <v/>
      </c>
      <c r="I110" s="55" t="str">
        <f>IF(Trades!$A110="","",Trades!G110)</f>
        <v/>
      </c>
      <c r="J110" s="55" t="str">
        <f>IF(Trades!$A110="","",Trades!I110)</f>
        <v/>
      </c>
      <c r="K110" s="55" t="str">
        <f>IF(Trades!$A110="","",Trades!Q110)</f>
        <v/>
      </c>
      <c r="L110" s="53" t="str">
        <f>IF(Trades!$A110="","",Trades!F110)</f>
        <v/>
      </c>
      <c r="M110" s="55" t="str">
        <f>IF(Trades!$A110="","",Trades!M110)</f>
        <v/>
      </c>
      <c r="N110" s="55" t="str">
        <f>IF(Trades!$A110="","",Trades!R110)</f>
        <v/>
      </c>
      <c r="O110" s="55" t="str">
        <f>IF(Trades!$A110="","",Trades!J110)</f>
        <v/>
      </c>
      <c r="P110" s="54" t="str">
        <f>IF(Trades!$A110="","",Trades!H110)</f>
        <v/>
      </c>
      <c r="Q110" s="52" t="str">
        <f>IF(Trades!$A110="","",Trades!P110)</f>
        <v/>
      </c>
      <c r="R110" s="56" t="str">
        <f t="shared" si="17"/>
        <v/>
      </c>
      <c r="S110" s="56" t="str">
        <f t="shared" si="18"/>
        <v/>
      </c>
      <c r="T110" s="57" t="str">
        <f>IF(OR($A110="",$B110=""),"",IF(AND(IFERROR(LOOKUP(2,1/($B$9:$B$109=$B110),$AR$9:$AR109),1),NOT(AND(OR($F110="dividend",$F110="fee"),IFERROR(LOOKUP(2,1/($B$9:$B$109=$B110),$T$9:$T109),0)&gt;0))),IFERROR(LOOKUP(2,1/($B$9:$B$109=$B110),$T$9:$T109),0)+1,IFERROR(LOOKUP(2,1/($B$9:$B$109=$B110),$T$9:$T109),0)))</f>
        <v/>
      </c>
      <c r="U110" s="58" t="str">
        <f t="shared" si="19"/>
        <v/>
      </c>
      <c r="V110" s="58" t="str">
        <f>IF($A110="","",IF(OR($B110="",$C110="",$D110="",$E110="",$F110=""),"Missing required field",IF(COUNTIFS($A$9:$A110,$A110,$B$9:$B110,$B110)&gt;1,"Duplicate event ID",IF(AND($E110&lt;&gt;IFERROR(LOOKUP(2,1/($B$9:$B$109=$B110),$E$9:$E109),0),IFERROR(LOOKUP(2,1/($B$9:$B$109=$B110),$E$9:$E109),0)&gt;$E110),"Date out of order",IF(AND(OR($F110="buy_to_close",$F110="expire",$F110="roll",$F110="assignment",$F110="called_away"),$AF110=0),"Unknown lot",IF(OR(AND($F110="assignment",$AF110&gt;0,IF($AF110&gt;0,INDEX($AG$9:$AG$109,$AF110),"")&lt;&gt;"put"),AND($F110="called_away",$AF110&gt;0,IF($AF110&gt;0,INDEX($AG$9:$AG$109,$AF110),"")&lt;&gt;"call")),"Wrong option leg",IF(OR(AND(OR($F110="sell_put",$F110="sell_call"),OR($H110&lt;=0,$I110&lt;=0,$J110&lt;0)),AND(OR($F110="buy_to_close",$F110="expire",$F110="assignment",$F110="called_away"),OR($H110&lt;=0,$J110&lt;0)),AND($F110="roll",OR($H110&lt;=0,$I110&lt;=0,$J110&lt;0,$K110&lt;0)),AND(OR($F110="buy_shares",$F110="sell_shares"),OR($L110&lt;=0,$M110&lt;0)),AND(OR($F110="dividend",$F110="fee"),$N110&lt;0)),"Invalid value",IF(AND(OR($F110="sell_shares",$F110="called_away"),$AL110&lt;IF($F110="called_away",$AE110*$D110,$L110)),"Insufficient shares (capped)",IF(AND(OR($F110="buy_to_close",$F110="expire",$F110="roll",$F110="assignment",$F110="called_away"),$AF110&gt;0,$H110&gt;IF($AF110&gt;0,MAX(0,INDEX($AI$9:$AI$109,$AF110)-SUMIFS($AE$9:$AE$109,$G$9:$G$109,$G110,$B$9:$B$109,$B110)),0)),"Close quantity capped","OK")))))))))</f>
        <v/>
      </c>
      <c r="W110" s="59" t="str">
        <f t="shared" si="20"/>
        <v/>
      </c>
      <c r="X110" s="60" t="str">
        <f t="shared" si="21"/>
        <v/>
      </c>
      <c r="Y110" s="50" t="str">
        <f t="shared" si="22"/>
        <v/>
      </c>
      <c r="Z110" s="50" t="str">
        <f t="shared" si="23"/>
        <v/>
      </c>
      <c r="AA110" s="50" t="str">
        <f t="shared" si="24"/>
        <v/>
      </c>
      <c r="AB110" s="50" t="str">
        <f t="shared" si="25"/>
        <v/>
      </c>
      <c r="AC110" s="50" t="str">
        <f>IF($A110="","",IF($F110="assignment",IF($AF110&gt;0,INDEX($AH$9:$AH$109,$AF110),0)*$AE110*$D110,IF($F110="buy_shares",$M110*$AL110,0)))</f>
        <v/>
      </c>
      <c r="AD110" s="50" t="str">
        <f>IF($A110="","",IF($F110="called_away",IF($AF110&gt;0,INDEX($AH$9:$AH$109,$AF110),0)*$AL110,IF($F110="sell_shares",$M110*$AL110,0)))</f>
        <v/>
      </c>
      <c r="AE110" s="51" t="str">
        <f>IF($A110="","",IF(OR($F110="sell_put",$F110="sell_call"),IF(AND($H110&gt;0,$I110&gt;0,$J110&gt;=0),$H110,0),IF(OR($F110="buy_to_close",$F110="expire",$F110="roll",$F110="assignment",$F110="called_away"),IF(AND($AF110&gt;0,$H110&gt;0,IF($F110="assignment",IF($AF110&gt;0,INDEX($AG$9:$AG$109,$AF110),"")="put",TRUE),IF($F110="called_away",IF($AF110&gt;0,INDEX($AG$9:$AG$109,$AF110),"")="call",TRUE)),MIN($H110,IF($AF110&gt;0,MAX(0,INDEX($AI$9:$AI$109,$AF110)-SUMIFS($AE$9:$AE$109,$G$9:$G$109,$G110,$B$9:$B$109,$B110)),0)),0),0)))</f>
        <v/>
      </c>
      <c r="AF110" t="str">
        <f>IF($A110="","",IFERROR(MATCH(LEN($B110)&amp;":"&amp;$B110&amp;$G110,$AY$9:$AY$109,0),0))</f>
        <v/>
      </c>
      <c r="AG110" t="str">
        <f>IF($A110="","",IF($F110="sell_put","put",IF($F110="sell_call","call",IF($F110="roll",IF($AF110&gt;0,IF($AF110&gt;0,INDEX($AG$9:$AG$109,$AF110),""),""),IF($AF110&gt;0,IF($AF110&gt;0,INDEX($AG$9:$AG$109,$AF110),""),"")))))</f>
        <v/>
      </c>
      <c r="AH110" t="str">
        <f>IF($A110="","",IF(OR($F110="sell_put",$F110="sell_call",$F110="roll"),$I110,IF($AF110&gt;0,IF($AF110&gt;0,INDEX($AH$9:$AH$109,$AF110),0),0)))</f>
        <v/>
      </c>
      <c r="AI110" s="51" t="str">
        <f t="shared" si="26"/>
        <v/>
      </c>
      <c r="AJ110" s="51" t="str">
        <f>IF($A110="","",IFERROR(LOOKUP(2,1/($B$9:$B$109=$B110),$AM$9:$AM109),0))</f>
        <v/>
      </c>
      <c r="AK110" t="str">
        <f>IF($A110="","",IFERROR(LOOKUP(2,1/($B$9:$B$109=$B110),$AN$9:$AN109),0))</f>
        <v/>
      </c>
      <c r="AL110" s="51" t="str">
        <f t="shared" si="27"/>
        <v/>
      </c>
      <c r="AM110" s="51" t="str">
        <f t="shared" si="28"/>
        <v/>
      </c>
      <c r="AN110" t="str">
        <f t="shared" si="29"/>
        <v/>
      </c>
      <c r="AO110" s="50" t="str">
        <f>IF($A110="","",IFERROR(LOOKUP(2,1/($B$9:$B$109=$B110),$AO$9:$AO109),0)+IF($F110="sell_put",$I110*$AE110*$D110,IF($F110="roll",IF($AG110="put",($I110-IF($AF110&gt;0,INDEX($AH$9:$AH$109,$AF110),0))*$AE110*$D110,0),IF(AND(OR($F110="buy_to_close",$F110="expire",$F110="roll",$F110="assignment",$F110="called_away"),$F110&lt;&gt;"roll",$AG110="put"),-IF($AF110&gt;0,INDEX($AH$9:$AH$109,$AF110),0)*$AE110*$D110,0))))</f>
        <v/>
      </c>
      <c r="AP110" s="51" t="str">
        <f>IF($A110="","",IFERROR(LOOKUP(2,1/($B$9:$B$109=$B110),$AP$9:$AP109),0)+IF($F110="sell_put",$AE110*$D110,IF(AND(OR($F110="buy_to_close",$F110="expire",$F110="roll",$F110="assignment",$F110="called_away"),$F110&lt;&gt;"roll",$AG110="put"),-$AE110*$D110,0)))</f>
        <v/>
      </c>
      <c r="AQ110" s="51" t="str">
        <f>IF($A110="","",IFERROR(LOOKUP(2,1/($B$9:$B$109=$B110),$AQ$9:$AQ109),0)+IF(OR($F110="sell_put",$F110="sell_call"),$AE110,0)-IF(AND(OR($F110="buy_to_close",$F110="expire",$F110="roll",$F110="assignment",$F110="called_away"),$F110&lt;&gt;"roll"),$AE110,0))</f>
        <v/>
      </c>
      <c r="AR110" t="str">
        <f t="shared" si="30"/>
        <v/>
      </c>
      <c r="AS110" s="50" t="str">
        <f t="shared" si="31"/>
        <v/>
      </c>
      <c r="AT110" s="50" t="str">
        <f>IF($A110="","",MAX(IF($T110=IFERROR(LOOKUP(2,1/($B$9:$B$109=$B110),$T$9:$T109),0),IFERROR(LOOKUP(2,1/($B$9:$B$109=$B110),$AT$9:$AT109),0),0),$AS110))</f>
        <v/>
      </c>
      <c r="AU110" t="str">
        <f t="shared" si="32"/>
        <v/>
      </c>
      <c r="AV110" s="51">
        <f>IF($AU110="",0,IF(AND(IFERROR(LOOKUP(2,1/($B$9:$B$109=$B110),$AR$9:$AR109),1),NOT(AND(OR($F110="dividend",$F110="fee"),IFERROR(LOOKUP(2,1/($B$9:$B$109=$B110),$T$9:$T109),0)&gt;0))),ROW(),0))</f>
        <v>0</v>
      </c>
      <c r="AW110">
        <f>IF($A110="",0,IF($AV110&gt;0,MAX($AW$9:$AW$109)+1,MAX($AW$9:$AW$109)))</f>
        <v>0</v>
      </c>
      <c r="AX110">
        <f>IF($AU110="",0,IF(AND($AR110,OR(NOT(IFERROR(LOOKUP(2,1/($B$9:$B$109=$B110),$AR$9:$AR109),1)),IFERROR(LOOKUP(2,1/($B$9:$B$109=$B110),$T$9:$T109),0)=0)),ROW(),0))</f>
        <v>0</v>
      </c>
      <c r="AY110" t="str">
        <f t="shared" si="33"/>
        <v/>
      </c>
    </row>
    <row r="111" spans="1:51" ht="15" x14ac:dyDescent="0.25">
      <c r="A111" s="41" t="str">
        <f>IF(Trades!$A111="","",Trades!O111)</f>
        <v/>
      </c>
      <c r="B111" s="41" t="str">
        <f>IF(Trades!$A111="","",Trades!B111)</f>
        <v/>
      </c>
      <c r="C111" s="41" t="str">
        <f>IF(Trades!$A111="","",Trades!C111)</f>
        <v/>
      </c>
      <c r="D111" s="42" t="str">
        <f>IF(Trades!$A111="","",IF(Trades!$L111&gt;0,Trades!$L111,Trades!$C$6))</f>
        <v/>
      </c>
      <c r="E111" s="43" t="str">
        <f>IF(Trades!$A111="","",Trades!A111)</f>
        <v/>
      </c>
      <c r="F111" s="41" t="str">
        <f>IF(Trades!$A111="","",IFERROR(INDEX(Trades!$V$2:$V$14,MATCH(Trades!$E111,Trades!$U$2:$U$14,0)),""))</f>
        <v/>
      </c>
      <c r="G111" s="41" t="str">
        <f>IF(Trades!$A111="","",Trades!N111)</f>
        <v/>
      </c>
      <c r="H111" s="42" t="str">
        <f>IF(Trades!$A111="","",Trades!F111)</f>
        <v/>
      </c>
      <c r="I111" s="44" t="str">
        <f>IF(Trades!$A111="","",Trades!G111)</f>
        <v/>
      </c>
      <c r="J111" s="44" t="str">
        <f>IF(Trades!$A111="","",Trades!I111)</f>
        <v/>
      </c>
      <c r="K111" s="44" t="str">
        <f>IF(Trades!$A111="","",Trades!Q111)</f>
        <v/>
      </c>
      <c r="L111" s="42" t="str">
        <f>IF(Trades!$A111="","",Trades!F111)</f>
        <v/>
      </c>
      <c r="M111" s="44" t="str">
        <f>IF(Trades!$A111="","",Trades!M111)</f>
        <v/>
      </c>
      <c r="N111" s="44" t="str">
        <f>IF(Trades!$A111="","",Trades!R111)</f>
        <v/>
      </c>
      <c r="O111" s="44" t="str">
        <f>IF(Trades!$A111="","",Trades!J111)</f>
        <v/>
      </c>
      <c r="P111" s="43" t="str">
        <f>IF(Trades!$A111="","",Trades!H111)</f>
        <v/>
      </c>
      <c r="Q111" s="41" t="str">
        <f>IF(Trades!$A111="","",Trades!P111)</f>
        <v/>
      </c>
      <c r="R111" s="45" t="str">
        <f t="shared" si="17"/>
        <v/>
      </c>
      <c r="S111" s="45" t="str">
        <f t="shared" si="18"/>
        <v/>
      </c>
      <c r="T111" s="46" t="str">
        <f>IF(OR($A111="",$B111=""),"",IF(AND(IFERROR(LOOKUP(2,1/($B$9:$B$110=$B111),$AR$9:$AR110),1),NOT(AND(OR($F111="dividend",$F111="fee"),IFERROR(LOOKUP(2,1/($B$9:$B$110=$B111),$T$9:$T110),0)&gt;0))),IFERROR(LOOKUP(2,1/($B$9:$B$110=$B111),$T$9:$T110),0)+1,IFERROR(LOOKUP(2,1/($B$9:$B$110=$B111),$T$9:$T110),0)))</f>
        <v/>
      </c>
      <c r="U111" s="47" t="str">
        <f t="shared" si="19"/>
        <v/>
      </c>
      <c r="V111" s="47" t="str">
        <f>IF($A111="","",IF(OR($B111="",$C111="",$D111="",$E111="",$F111=""),"Missing required field",IF(COUNTIFS($A$9:$A111,$A111,$B$9:$B111,$B111)&gt;1,"Duplicate event ID",IF(AND($E111&lt;&gt;IFERROR(LOOKUP(2,1/($B$9:$B$110=$B111),$E$9:$E110),0),IFERROR(LOOKUP(2,1/($B$9:$B$110=$B111),$E$9:$E110),0)&gt;$E111),"Date out of order",IF(AND(OR($F111="buy_to_close",$F111="expire",$F111="roll",$F111="assignment",$F111="called_away"),$AF111=0),"Unknown lot",IF(OR(AND($F111="assignment",$AF111&gt;0,IF($AF111&gt;0,INDEX($AG$9:$AG$110,$AF111),"")&lt;&gt;"put"),AND($F111="called_away",$AF111&gt;0,IF($AF111&gt;0,INDEX($AG$9:$AG$110,$AF111),"")&lt;&gt;"call")),"Wrong option leg",IF(OR(AND(OR($F111="sell_put",$F111="sell_call"),OR($H111&lt;=0,$I111&lt;=0,$J111&lt;0)),AND(OR($F111="buy_to_close",$F111="expire",$F111="assignment",$F111="called_away"),OR($H111&lt;=0,$J111&lt;0)),AND($F111="roll",OR($H111&lt;=0,$I111&lt;=0,$J111&lt;0,$K111&lt;0)),AND(OR($F111="buy_shares",$F111="sell_shares"),OR($L111&lt;=0,$M111&lt;0)),AND(OR($F111="dividend",$F111="fee"),$N111&lt;0)),"Invalid value",IF(AND(OR($F111="sell_shares",$F111="called_away"),$AL111&lt;IF($F111="called_away",$AE111*$D111,$L111)),"Insufficient shares (capped)",IF(AND(OR($F111="buy_to_close",$F111="expire",$F111="roll",$F111="assignment",$F111="called_away"),$AF111&gt;0,$H111&gt;IF($AF111&gt;0,MAX(0,INDEX($AI$9:$AI$110,$AF111)-SUMIFS($AE$9:$AE$110,$G$9:$G$110,$G111,$B$9:$B$110,$B111)),0)),"Close quantity capped","OK")))))))))</f>
        <v/>
      </c>
      <c r="W111" s="48" t="str">
        <f t="shared" si="20"/>
        <v/>
      </c>
      <c r="X111" s="49" t="str">
        <f t="shared" si="21"/>
        <v/>
      </c>
      <c r="Y111" s="50" t="str">
        <f t="shared" si="22"/>
        <v/>
      </c>
      <c r="Z111" s="50" t="str">
        <f t="shared" si="23"/>
        <v/>
      </c>
      <c r="AA111" s="50" t="str">
        <f t="shared" si="24"/>
        <v/>
      </c>
      <c r="AB111" s="50" t="str">
        <f t="shared" si="25"/>
        <v/>
      </c>
      <c r="AC111" s="50" t="str">
        <f>IF($A111="","",IF($F111="assignment",IF($AF111&gt;0,INDEX($AH$9:$AH$110,$AF111),0)*$AE111*$D111,IF($F111="buy_shares",$M111*$AL111,0)))</f>
        <v/>
      </c>
      <c r="AD111" s="50" t="str">
        <f>IF($A111="","",IF($F111="called_away",IF($AF111&gt;0,INDEX($AH$9:$AH$110,$AF111),0)*$AL111,IF($F111="sell_shares",$M111*$AL111,0)))</f>
        <v/>
      </c>
      <c r="AE111" s="51" t="str">
        <f>IF($A111="","",IF(OR($F111="sell_put",$F111="sell_call"),IF(AND($H111&gt;0,$I111&gt;0,$J111&gt;=0),$H111,0),IF(OR($F111="buy_to_close",$F111="expire",$F111="roll",$F111="assignment",$F111="called_away"),IF(AND($AF111&gt;0,$H111&gt;0,IF($F111="assignment",IF($AF111&gt;0,INDEX($AG$9:$AG$110,$AF111),"")="put",TRUE),IF($F111="called_away",IF($AF111&gt;0,INDEX($AG$9:$AG$110,$AF111),"")="call",TRUE)),MIN($H111,IF($AF111&gt;0,MAX(0,INDEX($AI$9:$AI$110,$AF111)-SUMIFS($AE$9:$AE$110,$G$9:$G$110,$G111,$B$9:$B$110,$B111)),0)),0),0)))</f>
        <v/>
      </c>
      <c r="AF111" t="str">
        <f>IF($A111="","",IFERROR(MATCH(LEN($B111)&amp;":"&amp;$B111&amp;$G111,$AY$9:$AY$110,0),0))</f>
        <v/>
      </c>
      <c r="AG111" t="str">
        <f>IF($A111="","",IF($F111="sell_put","put",IF($F111="sell_call","call",IF($F111="roll",IF($AF111&gt;0,IF($AF111&gt;0,INDEX($AG$9:$AG$110,$AF111),""),""),IF($AF111&gt;0,IF($AF111&gt;0,INDEX($AG$9:$AG$110,$AF111),""),"")))))</f>
        <v/>
      </c>
      <c r="AH111" t="str">
        <f>IF($A111="","",IF(OR($F111="sell_put",$F111="sell_call",$F111="roll"),$I111,IF($AF111&gt;0,IF($AF111&gt;0,INDEX($AH$9:$AH$110,$AF111),0),0)))</f>
        <v/>
      </c>
      <c r="AI111" s="51" t="str">
        <f t="shared" si="26"/>
        <v/>
      </c>
      <c r="AJ111" s="51" t="str">
        <f>IF($A111="","",IFERROR(LOOKUP(2,1/($B$9:$B$110=$B111),$AM$9:$AM110),0))</f>
        <v/>
      </c>
      <c r="AK111" t="str">
        <f>IF($A111="","",IFERROR(LOOKUP(2,1/($B$9:$B$110=$B111),$AN$9:$AN110),0))</f>
        <v/>
      </c>
      <c r="AL111" s="51" t="str">
        <f t="shared" si="27"/>
        <v/>
      </c>
      <c r="AM111" s="51" t="str">
        <f t="shared" si="28"/>
        <v/>
      </c>
      <c r="AN111" t="str">
        <f t="shared" si="29"/>
        <v/>
      </c>
      <c r="AO111" s="50" t="str">
        <f>IF($A111="","",IFERROR(LOOKUP(2,1/($B$9:$B$110=$B111),$AO$9:$AO110),0)+IF($F111="sell_put",$I111*$AE111*$D111,IF($F111="roll",IF($AG111="put",($I111-IF($AF111&gt;0,INDEX($AH$9:$AH$110,$AF111),0))*$AE111*$D111,0),IF(AND(OR($F111="buy_to_close",$F111="expire",$F111="roll",$F111="assignment",$F111="called_away"),$F111&lt;&gt;"roll",$AG111="put"),-IF($AF111&gt;0,INDEX($AH$9:$AH$110,$AF111),0)*$AE111*$D111,0))))</f>
        <v/>
      </c>
      <c r="AP111" s="51" t="str">
        <f>IF($A111="","",IFERROR(LOOKUP(2,1/($B$9:$B$110=$B111),$AP$9:$AP110),0)+IF($F111="sell_put",$AE111*$D111,IF(AND(OR($F111="buy_to_close",$F111="expire",$F111="roll",$F111="assignment",$F111="called_away"),$F111&lt;&gt;"roll",$AG111="put"),-$AE111*$D111,0)))</f>
        <v/>
      </c>
      <c r="AQ111" s="51" t="str">
        <f>IF($A111="","",IFERROR(LOOKUP(2,1/($B$9:$B$110=$B111),$AQ$9:$AQ110),0)+IF(OR($F111="sell_put",$F111="sell_call"),$AE111,0)-IF(AND(OR($F111="buy_to_close",$F111="expire",$F111="roll",$F111="assignment",$F111="called_away"),$F111&lt;&gt;"roll"),$AE111,0))</f>
        <v/>
      </c>
      <c r="AR111" t="str">
        <f t="shared" si="30"/>
        <v/>
      </c>
      <c r="AS111" s="50" t="str">
        <f t="shared" si="31"/>
        <v/>
      </c>
      <c r="AT111" s="50" t="str">
        <f>IF($A111="","",MAX(IF($T111=IFERROR(LOOKUP(2,1/($B$9:$B$110=$B111),$T$9:$T110),0),IFERROR(LOOKUP(2,1/($B$9:$B$110=$B111),$AT$9:$AT110),0),0),$AS111))</f>
        <v/>
      </c>
      <c r="AU111" t="str">
        <f t="shared" si="32"/>
        <v/>
      </c>
      <c r="AV111" s="51">
        <f>IF($AU111="",0,IF(AND(IFERROR(LOOKUP(2,1/($B$9:$B$110=$B111),$AR$9:$AR110),1),NOT(AND(OR($F111="dividend",$F111="fee"),IFERROR(LOOKUP(2,1/($B$9:$B$110=$B111),$T$9:$T110),0)&gt;0))),ROW(),0))</f>
        <v>0</v>
      </c>
      <c r="AW111">
        <f>IF($A111="",0,IF($AV111&gt;0,MAX($AW$9:$AW$110)+1,MAX($AW$9:$AW$110)))</f>
        <v>0</v>
      </c>
      <c r="AX111">
        <f>IF($AU111="",0,IF(AND($AR111,OR(NOT(IFERROR(LOOKUP(2,1/($B$9:$B$110=$B111),$AR$9:$AR110),1)),IFERROR(LOOKUP(2,1/($B$9:$B$110=$B111),$T$9:$T110),0)=0)),ROW(),0))</f>
        <v>0</v>
      </c>
      <c r="AY111" t="str">
        <f t="shared" si="33"/>
        <v/>
      </c>
    </row>
    <row r="112" spans="1:51" ht="15" x14ac:dyDescent="0.25">
      <c r="A112" s="52" t="str">
        <f>IF(Trades!$A112="","",Trades!O112)</f>
        <v/>
      </c>
      <c r="B112" s="52" t="str">
        <f>IF(Trades!$A112="","",Trades!B112)</f>
        <v/>
      </c>
      <c r="C112" s="52" t="str">
        <f>IF(Trades!$A112="","",Trades!C112)</f>
        <v/>
      </c>
      <c r="D112" s="53" t="str">
        <f>IF(Trades!$A112="","",IF(Trades!$L112&gt;0,Trades!$L112,Trades!$C$6))</f>
        <v/>
      </c>
      <c r="E112" s="54" t="str">
        <f>IF(Trades!$A112="","",Trades!A112)</f>
        <v/>
      </c>
      <c r="F112" s="52" t="str">
        <f>IF(Trades!$A112="","",IFERROR(INDEX(Trades!$V$2:$V$14,MATCH(Trades!$E112,Trades!$U$2:$U$14,0)),""))</f>
        <v/>
      </c>
      <c r="G112" s="52" t="str">
        <f>IF(Trades!$A112="","",Trades!N112)</f>
        <v/>
      </c>
      <c r="H112" s="53" t="str">
        <f>IF(Trades!$A112="","",Trades!F112)</f>
        <v/>
      </c>
      <c r="I112" s="55" t="str">
        <f>IF(Trades!$A112="","",Trades!G112)</f>
        <v/>
      </c>
      <c r="J112" s="55" t="str">
        <f>IF(Trades!$A112="","",Trades!I112)</f>
        <v/>
      </c>
      <c r="K112" s="55" t="str">
        <f>IF(Trades!$A112="","",Trades!Q112)</f>
        <v/>
      </c>
      <c r="L112" s="53" t="str">
        <f>IF(Trades!$A112="","",Trades!F112)</f>
        <v/>
      </c>
      <c r="M112" s="55" t="str">
        <f>IF(Trades!$A112="","",Trades!M112)</f>
        <v/>
      </c>
      <c r="N112" s="55" t="str">
        <f>IF(Trades!$A112="","",Trades!R112)</f>
        <v/>
      </c>
      <c r="O112" s="55" t="str">
        <f>IF(Trades!$A112="","",Trades!J112)</f>
        <v/>
      </c>
      <c r="P112" s="54" t="str">
        <f>IF(Trades!$A112="","",Trades!H112)</f>
        <v/>
      </c>
      <c r="Q112" s="52" t="str">
        <f>IF(Trades!$A112="","",Trades!P112)</f>
        <v/>
      </c>
      <c r="R112" s="56" t="str">
        <f t="shared" si="17"/>
        <v/>
      </c>
      <c r="S112" s="56" t="str">
        <f t="shared" si="18"/>
        <v/>
      </c>
      <c r="T112" s="57" t="str">
        <f>IF(OR($A112="",$B112=""),"",IF(AND(IFERROR(LOOKUP(2,1/($B$9:$B$111=$B112),$AR$9:$AR111),1),NOT(AND(OR($F112="dividend",$F112="fee"),IFERROR(LOOKUP(2,1/($B$9:$B$111=$B112),$T$9:$T111),0)&gt;0))),IFERROR(LOOKUP(2,1/($B$9:$B$111=$B112),$T$9:$T111),0)+1,IFERROR(LOOKUP(2,1/($B$9:$B$111=$B112),$T$9:$T111),0)))</f>
        <v/>
      </c>
      <c r="U112" s="58" t="str">
        <f t="shared" si="19"/>
        <v/>
      </c>
      <c r="V112" s="58" t="str">
        <f>IF($A112="","",IF(OR($B112="",$C112="",$D112="",$E112="",$F112=""),"Missing required field",IF(COUNTIFS($A$9:$A112,$A112,$B$9:$B112,$B112)&gt;1,"Duplicate event ID",IF(AND($E112&lt;&gt;IFERROR(LOOKUP(2,1/($B$9:$B$111=$B112),$E$9:$E111),0),IFERROR(LOOKUP(2,1/($B$9:$B$111=$B112),$E$9:$E111),0)&gt;$E112),"Date out of order",IF(AND(OR($F112="buy_to_close",$F112="expire",$F112="roll",$F112="assignment",$F112="called_away"),$AF112=0),"Unknown lot",IF(OR(AND($F112="assignment",$AF112&gt;0,IF($AF112&gt;0,INDEX($AG$9:$AG$111,$AF112),"")&lt;&gt;"put"),AND($F112="called_away",$AF112&gt;0,IF($AF112&gt;0,INDEX($AG$9:$AG$111,$AF112),"")&lt;&gt;"call")),"Wrong option leg",IF(OR(AND(OR($F112="sell_put",$F112="sell_call"),OR($H112&lt;=0,$I112&lt;=0,$J112&lt;0)),AND(OR($F112="buy_to_close",$F112="expire",$F112="assignment",$F112="called_away"),OR($H112&lt;=0,$J112&lt;0)),AND($F112="roll",OR($H112&lt;=0,$I112&lt;=0,$J112&lt;0,$K112&lt;0)),AND(OR($F112="buy_shares",$F112="sell_shares"),OR($L112&lt;=0,$M112&lt;0)),AND(OR($F112="dividend",$F112="fee"),$N112&lt;0)),"Invalid value",IF(AND(OR($F112="sell_shares",$F112="called_away"),$AL112&lt;IF($F112="called_away",$AE112*$D112,$L112)),"Insufficient shares (capped)",IF(AND(OR($F112="buy_to_close",$F112="expire",$F112="roll",$F112="assignment",$F112="called_away"),$AF112&gt;0,$H112&gt;IF($AF112&gt;0,MAX(0,INDEX($AI$9:$AI$111,$AF112)-SUMIFS($AE$9:$AE$111,$G$9:$G$111,$G112,$B$9:$B$111,$B112)),0)),"Close quantity capped","OK")))))))))</f>
        <v/>
      </c>
      <c r="W112" s="59" t="str">
        <f t="shared" si="20"/>
        <v/>
      </c>
      <c r="X112" s="60" t="str">
        <f t="shared" si="21"/>
        <v/>
      </c>
      <c r="Y112" s="50" t="str">
        <f t="shared" si="22"/>
        <v/>
      </c>
      <c r="Z112" s="50" t="str">
        <f t="shared" si="23"/>
        <v/>
      </c>
      <c r="AA112" s="50" t="str">
        <f t="shared" si="24"/>
        <v/>
      </c>
      <c r="AB112" s="50" t="str">
        <f t="shared" si="25"/>
        <v/>
      </c>
      <c r="AC112" s="50" t="str">
        <f>IF($A112="","",IF($F112="assignment",IF($AF112&gt;0,INDEX($AH$9:$AH$111,$AF112),0)*$AE112*$D112,IF($F112="buy_shares",$M112*$AL112,0)))</f>
        <v/>
      </c>
      <c r="AD112" s="50" t="str">
        <f>IF($A112="","",IF($F112="called_away",IF($AF112&gt;0,INDEX($AH$9:$AH$111,$AF112),0)*$AL112,IF($F112="sell_shares",$M112*$AL112,0)))</f>
        <v/>
      </c>
      <c r="AE112" s="51" t="str">
        <f>IF($A112="","",IF(OR($F112="sell_put",$F112="sell_call"),IF(AND($H112&gt;0,$I112&gt;0,$J112&gt;=0),$H112,0),IF(OR($F112="buy_to_close",$F112="expire",$F112="roll",$F112="assignment",$F112="called_away"),IF(AND($AF112&gt;0,$H112&gt;0,IF($F112="assignment",IF($AF112&gt;0,INDEX($AG$9:$AG$111,$AF112),"")="put",TRUE),IF($F112="called_away",IF($AF112&gt;0,INDEX($AG$9:$AG$111,$AF112),"")="call",TRUE)),MIN($H112,IF($AF112&gt;0,MAX(0,INDEX($AI$9:$AI$111,$AF112)-SUMIFS($AE$9:$AE$111,$G$9:$G$111,$G112,$B$9:$B$111,$B112)),0)),0),0)))</f>
        <v/>
      </c>
      <c r="AF112" t="str">
        <f>IF($A112="","",IFERROR(MATCH(LEN($B112)&amp;":"&amp;$B112&amp;$G112,$AY$9:$AY$111,0),0))</f>
        <v/>
      </c>
      <c r="AG112" t="str">
        <f>IF($A112="","",IF($F112="sell_put","put",IF($F112="sell_call","call",IF($F112="roll",IF($AF112&gt;0,IF($AF112&gt;0,INDEX($AG$9:$AG$111,$AF112),""),""),IF($AF112&gt;0,IF($AF112&gt;0,INDEX($AG$9:$AG$111,$AF112),""),"")))))</f>
        <v/>
      </c>
      <c r="AH112" t="str">
        <f>IF($A112="","",IF(OR($F112="sell_put",$F112="sell_call",$F112="roll"),$I112,IF($AF112&gt;0,IF($AF112&gt;0,INDEX($AH$9:$AH$111,$AF112),0),0)))</f>
        <v/>
      </c>
      <c r="AI112" s="51" t="str">
        <f t="shared" si="26"/>
        <v/>
      </c>
      <c r="AJ112" s="51" t="str">
        <f>IF($A112="","",IFERROR(LOOKUP(2,1/($B$9:$B$111=$B112),$AM$9:$AM111),0))</f>
        <v/>
      </c>
      <c r="AK112" t="str">
        <f>IF($A112="","",IFERROR(LOOKUP(2,1/($B$9:$B$111=$B112),$AN$9:$AN111),0))</f>
        <v/>
      </c>
      <c r="AL112" s="51" t="str">
        <f t="shared" si="27"/>
        <v/>
      </c>
      <c r="AM112" s="51" t="str">
        <f t="shared" si="28"/>
        <v/>
      </c>
      <c r="AN112" t="str">
        <f t="shared" si="29"/>
        <v/>
      </c>
      <c r="AO112" s="50" t="str">
        <f>IF($A112="","",IFERROR(LOOKUP(2,1/($B$9:$B$111=$B112),$AO$9:$AO111),0)+IF($F112="sell_put",$I112*$AE112*$D112,IF($F112="roll",IF($AG112="put",($I112-IF($AF112&gt;0,INDEX($AH$9:$AH$111,$AF112),0))*$AE112*$D112,0),IF(AND(OR($F112="buy_to_close",$F112="expire",$F112="roll",$F112="assignment",$F112="called_away"),$F112&lt;&gt;"roll",$AG112="put"),-IF($AF112&gt;0,INDEX($AH$9:$AH$111,$AF112),0)*$AE112*$D112,0))))</f>
        <v/>
      </c>
      <c r="AP112" s="51" t="str">
        <f>IF($A112="","",IFERROR(LOOKUP(2,1/($B$9:$B$111=$B112),$AP$9:$AP111),0)+IF($F112="sell_put",$AE112*$D112,IF(AND(OR($F112="buy_to_close",$F112="expire",$F112="roll",$F112="assignment",$F112="called_away"),$F112&lt;&gt;"roll",$AG112="put"),-$AE112*$D112,0)))</f>
        <v/>
      </c>
      <c r="AQ112" s="51" t="str">
        <f>IF($A112="","",IFERROR(LOOKUP(2,1/($B$9:$B$111=$B112),$AQ$9:$AQ111),0)+IF(OR($F112="sell_put",$F112="sell_call"),$AE112,0)-IF(AND(OR($F112="buy_to_close",$F112="expire",$F112="roll",$F112="assignment",$F112="called_away"),$F112&lt;&gt;"roll"),$AE112,0))</f>
        <v/>
      </c>
      <c r="AR112" t="str">
        <f t="shared" si="30"/>
        <v/>
      </c>
      <c r="AS112" s="50" t="str">
        <f t="shared" si="31"/>
        <v/>
      </c>
      <c r="AT112" s="50" t="str">
        <f>IF($A112="","",MAX(IF($T112=IFERROR(LOOKUP(2,1/($B$9:$B$111=$B112),$T$9:$T111),0),IFERROR(LOOKUP(2,1/($B$9:$B$111=$B112),$AT$9:$AT111),0),0),$AS112))</f>
        <v/>
      </c>
      <c r="AU112" t="str">
        <f t="shared" si="32"/>
        <v/>
      </c>
      <c r="AV112" s="51">
        <f>IF($AU112="",0,IF(AND(IFERROR(LOOKUP(2,1/($B$9:$B$111=$B112),$AR$9:$AR111),1),NOT(AND(OR($F112="dividend",$F112="fee"),IFERROR(LOOKUP(2,1/($B$9:$B$111=$B112),$T$9:$T111),0)&gt;0))),ROW(),0))</f>
        <v>0</v>
      </c>
      <c r="AW112">
        <f>IF($A112="",0,IF($AV112&gt;0,MAX($AW$9:$AW$111)+1,MAX($AW$9:$AW$111)))</f>
        <v>0</v>
      </c>
      <c r="AX112">
        <f>IF($AU112="",0,IF(AND($AR112,OR(NOT(IFERROR(LOOKUP(2,1/($B$9:$B$111=$B112),$AR$9:$AR111),1)),IFERROR(LOOKUP(2,1/($B$9:$B$111=$B112),$T$9:$T111),0)=0)),ROW(),0))</f>
        <v>0</v>
      </c>
      <c r="AY112" t="str">
        <f t="shared" si="33"/>
        <v/>
      </c>
    </row>
    <row r="113" spans="1:51" ht="15" x14ac:dyDescent="0.25">
      <c r="A113" s="41" t="str">
        <f>IF(Trades!$A113="","",Trades!O113)</f>
        <v/>
      </c>
      <c r="B113" s="41" t="str">
        <f>IF(Trades!$A113="","",Trades!B113)</f>
        <v/>
      </c>
      <c r="C113" s="41" t="str">
        <f>IF(Trades!$A113="","",Trades!C113)</f>
        <v/>
      </c>
      <c r="D113" s="42" t="str">
        <f>IF(Trades!$A113="","",IF(Trades!$L113&gt;0,Trades!$L113,Trades!$C$6))</f>
        <v/>
      </c>
      <c r="E113" s="43" t="str">
        <f>IF(Trades!$A113="","",Trades!A113)</f>
        <v/>
      </c>
      <c r="F113" s="41" t="str">
        <f>IF(Trades!$A113="","",IFERROR(INDEX(Trades!$V$2:$V$14,MATCH(Trades!$E113,Trades!$U$2:$U$14,0)),""))</f>
        <v/>
      </c>
      <c r="G113" s="41" t="str">
        <f>IF(Trades!$A113="","",Trades!N113)</f>
        <v/>
      </c>
      <c r="H113" s="42" t="str">
        <f>IF(Trades!$A113="","",Trades!F113)</f>
        <v/>
      </c>
      <c r="I113" s="44" t="str">
        <f>IF(Trades!$A113="","",Trades!G113)</f>
        <v/>
      </c>
      <c r="J113" s="44" t="str">
        <f>IF(Trades!$A113="","",Trades!I113)</f>
        <v/>
      </c>
      <c r="K113" s="44" t="str">
        <f>IF(Trades!$A113="","",Trades!Q113)</f>
        <v/>
      </c>
      <c r="L113" s="42" t="str">
        <f>IF(Trades!$A113="","",Trades!F113)</f>
        <v/>
      </c>
      <c r="M113" s="44" t="str">
        <f>IF(Trades!$A113="","",Trades!M113)</f>
        <v/>
      </c>
      <c r="N113" s="44" t="str">
        <f>IF(Trades!$A113="","",Trades!R113)</f>
        <v/>
      </c>
      <c r="O113" s="44" t="str">
        <f>IF(Trades!$A113="","",Trades!J113)</f>
        <v/>
      </c>
      <c r="P113" s="43" t="str">
        <f>IF(Trades!$A113="","",Trades!H113)</f>
        <v/>
      </c>
      <c r="Q113" s="41" t="str">
        <f>IF(Trades!$A113="","",Trades!P113)</f>
        <v/>
      </c>
      <c r="R113" s="45" t="str">
        <f t="shared" si="17"/>
        <v/>
      </c>
      <c r="S113" s="45" t="str">
        <f t="shared" si="18"/>
        <v/>
      </c>
      <c r="T113" s="46" t="str">
        <f>IF(OR($A113="",$B113=""),"",IF(AND(IFERROR(LOOKUP(2,1/($B$9:$B$112=$B113),$AR$9:$AR112),1),NOT(AND(OR($F113="dividend",$F113="fee"),IFERROR(LOOKUP(2,1/($B$9:$B$112=$B113),$T$9:$T112),0)&gt;0))),IFERROR(LOOKUP(2,1/($B$9:$B$112=$B113),$T$9:$T112),0)+1,IFERROR(LOOKUP(2,1/($B$9:$B$112=$B113),$T$9:$T112),0)))</f>
        <v/>
      </c>
      <c r="U113" s="47" t="str">
        <f t="shared" si="19"/>
        <v/>
      </c>
      <c r="V113" s="47" t="str">
        <f>IF($A113="","",IF(OR($B113="",$C113="",$D113="",$E113="",$F113=""),"Missing required field",IF(COUNTIFS($A$9:$A113,$A113,$B$9:$B113,$B113)&gt;1,"Duplicate event ID",IF(AND($E113&lt;&gt;IFERROR(LOOKUP(2,1/($B$9:$B$112=$B113),$E$9:$E112),0),IFERROR(LOOKUP(2,1/($B$9:$B$112=$B113),$E$9:$E112),0)&gt;$E113),"Date out of order",IF(AND(OR($F113="buy_to_close",$F113="expire",$F113="roll",$F113="assignment",$F113="called_away"),$AF113=0),"Unknown lot",IF(OR(AND($F113="assignment",$AF113&gt;0,IF($AF113&gt;0,INDEX($AG$9:$AG$112,$AF113),"")&lt;&gt;"put"),AND($F113="called_away",$AF113&gt;0,IF($AF113&gt;0,INDEX($AG$9:$AG$112,$AF113),"")&lt;&gt;"call")),"Wrong option leg",IF(OR(AND(OR($F113="sell_put",$F113="sell_call"),OR($H113&lt;=0,$I113&lt;=0,$J113&lt;0)),AND(OR($F113="buy_to_close",$F113="expire",$F113="assignment",$F113="called_away"),OR($H113&lt;=0,$J113&lt;0)),AND($F113="roll",OR($H113&lt;=0,$I113&lt;=0,$J113&lt;0,$K113&lt;0)),AND(OR($F113="buy_shares",$F113="sell_shares"),OR($L113&lt;=0,$M113&lt;0)),AND(OR($F113="dividend",$F113="fee"),$N113&lt;0)),"Invalid value",IF(AND(OR($F113="sell_shares",$F113="called_away"),$AL113&lt;IF($F113="called_away",$AE113*$D113,$L113)),"Insufficient shares (capped)",IF(AND(OR($F113="buy_to_close",$F113="expire",$F113="roll",$F113="assignment",$F113="called_away"),$AF113&gt;0,$H113&gt;IF($AF113&gt;0,MAX(0,INDEX($AI$9:$AI$112,$AF113)-SUMIFS($AE$9:$AE$112,$G$9:$G$112,$G113,$B$9:$B$112,$B113)),0)),"Close quantity capped","OK")))))))))</f>
        <v/>
      </c>
      <c r="W113" s="48" t="str">
        <f t="shared" si="20"/>
        <v/>
      </c>
      <c r="X113" s="49" t="str">
        <f t="shared" si="21"/>
        <v/>
      </c>
      <c r="Y113" s="50" t="str">
        <f t="shared" si="22"/>
        <v/>
      </c>
      <c r="Z113" s="50" t="str">
        <f t="shared" si="23"/>
        <v/>
      </c>
      <c r="AA113" s="50" t="str">
        <f t="shared" si="24"/>
        <v/>
      </c>
      <c r="AB113" s="50" t="str">
        <f t="shared" si="25"/>
        <v/>
      </c>
      <c r="AC113" s="50" t="str">
        <f>IF($A113="","",IF($F113="assignment",IF($AF113&gt;0,INDEX($AH$9:$AH$112,$AF113),0)*$AE113*$D113,IF($F113="buy_shares",$M113*$AL113,0)))</f>
        <v/>
      </c>
      <c r="AD113" s="50" t="str">
        <f>IF($A113="","",IF($F113="called_away",IF($AF113&gt;0,INDEX($AH$9:$AH$112,$AF113),0)*$AL113,IF($F113="sell_shares",$M113*$AL113,0)))</f>
        <v/>
      </c>
      <c r="AE113" s="51" t="str">
        <f>IF($A113="","",IF(OR($F113="sell_put",$F113="sell_call"),IF(AND($H113&gt;0,$I113&gt;0,$J113&gt;=0),$H113,0),IF(OR($F113="buy_to_close",$F113="expire",$F113="roll",$F113="assignment",$F113="called_away"),IF(AND($AF113&gt;0,$H113&gt;0,IF($F113="assignment",IF($AF113&gt;0,INDEX($AG$9:$AG$112,$AF113),"")="put",TRUE),IF($F113="called_away",IF($AF113&gt;0,INDEX($AG$9:$AG$112,$AF113),"")="call",TRUE)),MIN($H113,IF($AF113&gt;0,MAX(0,INDEX($AI$9:$AI$112,$AF113)-SUMIFS($AE$9:$AE$112,$G$9:$G$112,$G113,$B$9:$B$112,$B113)),0)),0),0)))</f>
        <v/>
      </c>
      <c r="AF113" t="str">
        <f>IF($A113="","",IFERROR(MATCH(LEN($B113)&amp;":"&amp;$B113&amp;$G113,$AY$9:$AY$112,0),0))</f>
        <v/>
      </c>
      <c r="AG113" t="str">
        <f>IF($A113="","",IF($F113="sell_put","put",IF($F113="sell_call","call",IF($F113="roll",IF($AF113&gt;0,IF($AF113&gt;0,INDEX($AG$9:$AG$112,$AF113),""),""),IF($AF113&gt;0,IF($AF113&gt;0,INDEX($AG$9:$AG$112,$AF113),""),"")))))</f>
        <v/>
      </c>
      <c r="AH113" t="str">
        <f>IF($A113="","",IF(OR($F113="sell_put",$F113="sell_call",$F113="roll"),$I113,IF($AF113&gt;0,IF($AF113&gt;0,INDEX($AH$9:$AH$112,$AF113),0),0)))</f>
        <v/>
      </c>
      <c r="AI113" s="51" t="str">
        <f t="shared" si="26"/>
        <v/>
      </c>
      <c r="AJ113" s="51" t="str">
        <f>IF($A113="","",IFERROR(LOOKUP(2,1/($B$9:$B$112=$B113),$AM$9:$AM112),0))</f>
        <v/>
      </c>
      <c r="AK113" t="str">
        <f>IF($A113="","",IFERROR(LOOKUP(2,1/($B$9:$B$112=$B113),$AN$9:$AN112),0))</f>
        <v/>
      </c>
      <c r="AL113" s="51" t="str">
        <f t="shared" si="27"/>
        <v/>
      </c>
      <c r="AM113" s="51" t="str">
        <f t="shared" si="28"/>
        <v/>
      </c>
      <c r="AN113" t="str">
        <f t="shared" si="29"/>
        <v/>
      </c>
      <c r="AO113" s="50" t="str">
        <f>IF($A113="","",IFERROR(LOOKUP(2,1/($B$9:$B$112=$B113),$AO$9:$AO112),0)+IF($F113="sell_put",$I113*$AE113*$D113,IF($F113="roll",IF($AG113="put",($I113-IF($AF113&gt;0,INDEX($AH$9:$AH$112,$AF113),0))*$AE113*$D113,0),IF(AND(OR($F113="buy_to_close",$F113="expire",$F113="roll",$F113="assignment",$F113="called_away"),$F113&lt;&gt;"roll",$AG113="put"),-IF($AF113&gt;0,INDEX($AH$9:$AH$112,$AF113),0)*$AE113*$D113,0))))</f>
        <v/>
      </c>
      <c r="AP113" s="51" t="str">
        <f>IF($A113="","",IFERROR(LOOKUP(2,1/($B$9:$B$112=$B113),$AP$9:$AP112),0)+IF($F113="sell_put",$AE113*$D113,IF(AND(OR($F113="buy_to_close",$F113="expire",$F113="roll",$F113="assignment",$F113="called_away"),$F113&lt;&gt;"roll",$AG113="put"),-$AE113*$D113,0)))</f>
        <v/>
      </c>
      <c r="AQ113" s="51" t="str">
        <f>IF($A113="","",IFERROR(LOOKUP(2,1/($B$9:$B$112=$B113),$AQ$9:$AQ112),0)+IF(OR($F113="sell_put",$F113="sell_call"),$AE113,0)-IF(AND(OR($F113="buy_to_close",$F113="expire",$F113="roll",$F113="assignment",$F113="called_away"),$F113&lt;&gt;"roll"),$AE113,0))</f>
        <v/>
      </c>
      <c r="AR113" t="str">
        <f t="shared" si="30"/>
        <v/>
      </c>
      <c r="AS113" s="50" t="str">
        <f t="shared" si="31"/>
        <v/>
      </c>
      <c r="AT113" s="50" t="str">
        <f>IF($A113="","",MAX(IF($T113=IFERROR(LOOKUP(2,1/($B$9:$B$112=$B113),$T$9:$T112),0),IFERROR(LOOKUP(2,1/($B$9:$B$112=$B113),$AT$9:$AT112),0),0),$AS113))</f>
        <v/>
      </c>
      <c r="AU113" t="str">
        <f t="shared" si="32"/>
        <v/>
      </c>
      <c r="AV113" s="51">
        <f>IF($AU113="",0,IF(AND(IFERROR(LOOKUP(2,1/($B$9:$B$112=$B113),$AR$9:$AR112),1),NOT(AND(OR($F113="dividend",$F113="fee"),IFERROR(LOOKUP(2,1/($B$9:$B$112=$B113),$T$9:$T112),0)&gt;0))),ROW(),0))</f>
        <v>0</v>
      </c>
      <c r="AW113">
        <f>IF($A113="",0,IF($AV113&gt;0,MAX($AW$9:$AW$112)+1,MAX($AW$9:$AW$112)))</f>
        <v>0</v>
      </c>
      <c r="AX113">
        <f>IF($AU113="",0,IF(AND($AR113,OR(NOT(IFERROR(LOOKUP(2,1/($B$9:$B$112=$B113),$AR$9:$AR112),1)),IFERROR(LOOKUP(2,1/($B$9:$B$112=$B113),$T$9:$T112),0)=0)),ROW(),0))</f>
        <v>0</v>
      </c>
      <c r="AY113" t="str">
        <f t="shared" si="33"/>
        <v/>
      </c>
    </row>
    <row r="114" spans="1:51" ht="15" x14ac:dyDescent="0.25">
      <c r="A114" s="52" t="str">
        <f>IF(Trades!$A114="","",Trades!O114)</f>
        <v/>
      </c>
      <c r="B114" s="52" t="str">
        <f>IF(Trades!$A114="","",Trades!B114)</f>
        <v/>
      </c>
      <c r="C114" s="52" t="str">
        <f>IF(Trades!$A114="","",Trades!C114)</f>
        <v/>
      </c>
      <c r="D114" s="53" t="str">
        <f>IF(Trades!$A114="","",IF(Trades!$L114&gt;0,Trades!$L114,Trades!$C$6))</f>
        <v/>
      </c>
      <c r="E114" s="54" t="str">
        <f>IF(Trades!$A114="","",Trades!A114)</f>
        <v/>
      </c>
      <c r="F114" s="52" t="str">
        <f>IF(Trades!$A114="","",IFERROR(INDEX(Trades!$V$2:$V$14,MATCH(Trades!$E114,Trades!$U$2:$U$14,0)),""))</f>
        <v/>
      </c>
      <c r="G114" s="52" t="str">
        <f>IF(Trades!$A114="","",Trades!N114)</f>
        <v/>
      </c>
      <c r="H114" s="53" t="str">
        <f>IF(Trades!$A114="","",Trades!F114)</f>
        <v/>
      </c>
      <c r="I114" s="55" t="str">
        <f>IF(Trades!$A114="","",Trades!G114)</f>
        <v/>
      </c>
      <c r="J114" s="55" t="str">
        <f>IF(Trades!$A114="","",Trades!I114)</f>
        <v/>
      </c>
      <c r="K114" s="55" t="str">
        <f>IF(Trades!$A114="","",Trades!Q114)</f>
        <v/>
      </c>
      <c r="L114" s="53" t="str">
        <f>IF(Trades!$A114="","",Trades!F114)</f>
        <v/>
      </c>
      <c r="M114" s="55" t="str">
        <f>IF(Trades!$A114="","",Trades!M114)</f>
        <v/>
      </c>
      <c r="N114" s="55" t="str">
        <f>IF(Trades!$A114="","",Trades!R114)</f>
        <v/>
      </c>
      <c r="O114" s="55" t="str">
        <f>IF(Trades!$A114="","",Trades!J114)</f>
        <v/>
      </c>
      <c r="P114" s="54" t="str">
        <f>IF(Trades!$A114="","",Trades!H114)</f>
        <v/>
      </c>
      <c r="Q114" s="52" t="str">
        <f>IF(Trades!$A114="","",Trades!P114)</f>
        <v/>
      </c>
      <c r="R114" s="56" t="str">
        <f t="shared" si="17"/>
        <v/>
      </c>
      <c r="S114" s="56" t="str">
        <f t="shared" si="18"/>
        <v/>
      </c>
      <c r="T114" s="57" t="str">
        <f>IF(OR($A114="",$B114=""),"",IF(AND(IFERROR(LOOKUP(2,1/($B$9:$B$113=$B114),$AR$9:$AR113),1),NOT(AND(OR($F114="dividend",$F114="fee"),IFERROR(LOOKUP(2,1/($B$9:$B$113=$B114),$T$9:$T113),0)&gt;0))),IFERROR(LOOKUP(2,1/($B$9:$B$113=$B114),$T$9:$T113),0)+1,IFERROR(LOOKUP(2,1/($B$9:$B$113=$B114),$T$9:$T113),0)))</f>
        <v/>
      </c>
      <c r="U114" s="58" t="str">
        <f t="shared" si="19"/>
        <v/>
      </c>
      <c r="V114" s="58" t="str">
        <f>IF($A114="","",IF(OR($B114="",$C114="",$D114="",$E114="",$F114=""),"Missing required field",IF(COUNTIFS($A$9:$A114,$A114,$B$9:$B114,$B114)&gt;1,"Duplicate event ID",IF(AND($E114&lt;&gt;IFERROR(LOOKUP(2,1/($B$9:$B$113=$B114),$E$9:$E113),0),IFERROR(LOOKUP(2,1/($B$9:$B$113=$B114),$E$9:$E113),0)&gt;$E114),"Date out of order",IF(AND(OR($F114="buy_to_close",$F114="expire",$F114="roll",$F114="assignment",$F114="called_away"),$AF114=0),"Unknown lot",IF(OR(AND($F114="assignment",$AF114&gt;0,IF($AF114&gt;0,INDEX($AG$9:$AG$113,$AF114),"")&lt;&gt;"put"),AND($F114="called_away",$AF114&gt;0,IF($AF114&gt;0,INDEX($AG$9:$AG$113,$AF114),"")&lt;&gt;"call")),"Wrong option leg",IF(OR(AND(OR($F114="sell_put",$F114="sell_call"),OR($H114&lt;=0,$I114&lt;=0,$J114&lt;0)),AND(OR($F114="buy_to_close",$F114="expire",$F114="assignment",$F114="called_away"),OR($H114&lt;=0,$J114&lt;0)),AND($F114="roll",OR($H114&lt;=0,$I114&lt;=0,$J114&lt;0,$K114&lt;0)),AND(OR($F114="buy_shares",$F114="sell_shares"),OR($L114&lt;=0,$M114&lt;0)),AND(OR($F114="dividend",$F114="fee"),$N114&lt;0)),"Invalid value",IF(AND(OR($F114="sell_shares",$F114="called_away"),$AL114&lt;IF($F114="called_away",$AE114*$D114,$L114)),"Insufficient shares (capped)",IF(AND(OR($F114="buy_to_close",$F114="expire",$F114="roll",$F114="assignment",$F114="called_away"),$AF114&gt;0,$H114&gt;IF($AF114&gt;0,MAX(0,INDEX($AI$9:$AI$113,$AF114)-SUMIFS($AE$9:$AE$113,$G$9:$G$113,$G114,$B$9:$B$113,$B114)),0)),"Close quantity capped","OK")))))))))</f>
        <v/>
      </c>
      <c r="W114" s="59" t="str">
        <f t="shared" si="20"/>
        <v/>
      </c>
      <c r="X114" s="60" t="str">
        <f t="shared" si="21"/>
        <v/>
      </c>
      <c r="Y114" s="50" t="str">
        <f t="shared" si="22"/>
        <v/>
      </c>
      <c r="Z114" s="50" t="str">
        <f t="shared" si="23"/>
        <v/>
      </c>
      <c r="AA114" s="50" t="str">
        <f t="shared" si="24"/>
        <v/>
      </c>
      <c r="AB114" s="50" t="str">
        <f t="shared" si="25"/>
        <v/>
      </c>
      <c r="AC114" s="50" t="str">
        <f>IF($A114="","",IF($F114="assignment",IF($AF114&gt;0,INDEX($AH$9:$AH$113,$AF114),0)*$AE114*$D114,IF($F114="buy_shares",$M114*$AL114,0)))</f>
        <v/>
      </c>
      <c r="AD114" s="50" t="str">
        <f>IF($A114="","",IF($F114="called_away",IF($AF114&gt;0,INDEX($AH$9:$AH$113,$AF114),0)*$AL114,IF($F114="sell_shares",$M114*$AL114,0)))</f>
        <v/>
      </c>
      <c r="AE114" s="51" t="str">
        <f>IF($A114="","",IF(OR($F114="sell_put",$F114="sell_call"),IF(AND($H114&gt;0,$I114&gt;0,$J114&gt;=0),$H114,0),IF(OR($F114="buy_to_close",$F114="expire",$F114="roll",$F114="assignment",$F114="called_away"),IF(AND($AF114&gt;0,$H114&gt;0,IF($F114="assignment",IF($AF114&gt;0,INDEX($AG$9:$AG$113,$AF114),"")="put",TRUE),IF($F114="called_away",IF($AF114&gt;0,INDEX($AG$9:$AG$113,$AF114),"")="call",TRUE)),MIN($H114,IF($AF114&gt;0,MAX(0,INDEX($AI$9:$AI$113,$AF114)-SUMIFS($AE$9:$AE$113,$G$9:$G$113,$G114,$B$9:$B$113,$B114)),0)),0),0)))</f>
        <v/>
      </c>
      <c r="AF114" t="str">
        <f>IF($A114="","",IFERROR(MATCH(LEN($B114)&amp;":"&amp;$B114&amp;$G114,$AY$9:$AY$113,0),0))</f>
        <v/>
      </c>
      <c r="AG114" t="str">
        <f>IF($A114="","",IF($F114="sell_put","put",IF($F114="sell_call","call",IF($F114="roll",IF($AF114&gt;0,IF($AF114&gt;0,INDEX($AG$9:$AG$113,$AF114),""),""),IF($AF114&gt;0,IF($AF114&gt;0,INDEX($AG$9:$AG$113,$AF114),""),"")))))</f>
        <v/>
      </c>
      <c r="AH114" t="str">
        <f>IF($A114="","",IF(OR($F114="sell_put",$F114="sell_call",$F114="roll"),$I114,IF($AF114&gt;0,IF($AF114&gt;0,INDEX($AH$9:$AH$113,$AF114),0),0)))</f>
        <v/>
      </c>
      <c r="AI114" s="51" t="str">
        <f t="shared" si="26"/>
        <v/>
      </c>
      <c r="AJ114" s="51" t="str">
        <f>IF($A114="","",IFERROR(LOOKUP(2,1/($B$9:$B$113=$B114),$AM$9:$AM113),0))</f>
        <v/>
      </c>
      <c r="AK114" t="str">
        <f>IF($A114="","",IFERROR(LOOKUP(2,1/($B$9:$B$113=$B114),$AN$9:$AN113),0))</f>
        <v/>
      </c>
      <c r="AL114" s="51" t="str">
        <f t="shared" si="27"/>
        <v/>
      </c>
      <c r="AM114" s="51" t="str">
        <f t="shared" si="28"/>
        <v/>
      </c>
      <c r="AN114" t="str">
        <f t="shared" si="29"/>
        <v/>
      </c>
      <c r="AO114" s="50" t="str">
        <f>IF($A114="","",IFERROR(LOOKUP(2,1/($B$9:$B$113=$B114),$AO$9:$AO113),0)+IF($F114="sell_put",$I114*$AE114*$D114,IF($F114="roll",IF($AG114="put",($I114-IF($AF114&gt;0,INDEX($AH$9:$AH$113,$AF114),0))*$AE114*$D114,0),IF(AND(OR($F114="buy_to_close",$F114="expire",$F114="roll",$F114="assignment",$F114="called_away"),$F114&lt;&gt;"roll",$AG114="put"),-IF($AF114&gt;0,INDEX($AH$9:$AH$113,$AF114),0)*$AE114*$D114,0))))</f>
        <v/>
      </c>
      <c r="AP114" s="51" t="str">
        <f>IF($A114="","",IFERROR(LOOKUP(2,1/($B$9:$B$113=$B114),$AP$9:$AP113),0)+IF($F114="sell_put",$AE114*$D114,IF(AND(OR($F114="buy_to_close",$F114="expire",$F114="roll",$F114="assignment",$F114="called_away"),$F114&lt;&gt;"roll",$AG114="put"),-$AE114*$D114,0)))</f>
        <v/>
      </c>
      <c r="AQ114" s="51" t="str">
        <f>IF($A114="","",IFERROR(LOOKUP(2,1/($B$9:$B$113=$B114),$AQ$9:$AQ113),0)+IF(OR($F114="sell_put",$F114="sell_call"),$AE114,0)-IF(AND(OR($F114="buy_to_close",$F114="expire",$F114="roll",$F114="assignment",$F114="called_away"),$F114&lt;&gt;"roll"),$AE114,0))</f>
        <v/>
      </c>
      <c r="AR114" t="str">
        <f t="shared" si="30"/>
        <v/>
      </c>
      <c r="AS114" s="50" t="str">
        <f t="shared" si="31"/>
        <v/>
      </c>
      <c r="AT114" s="50" t="str">
        <f>IF($A114="","",MAX(IF($T114=IFERROR(LOOKUP(2,1/($B$9:$B$113=$B114),$T$9:$T113),0),IFERROR(LOOKUP(2,1/($B$9:$B$113=$B114),$AT$9:$AT113),0),0),$AS114))</f>
        <v/>
      </c>
      <c r="AU114" t="str">
        <f t="shared" si="32"/>
        <v/>
      </c>
      <c r="AV114" s="51">
        <f>IF($AU114="",0,IF(AND(IFERROR(LOOKUP(2,1/($B$9:$B$113=$B114),$AR$9:$AR113),1),NOT(AND(OR($F114="dividend",$F114="fee"),IFERROR(LOOKUP(2,1/($B$9:$B$113=$B114),$T$9:$T113),0)&gt;0))),ROW(),0))</f>
        <v>0</v>
      </c>
      <c r="AW114">
        <f>IF($A114="",0,IF($AV114&gt;0,MAX($AW$9:$AW$113)+1,MAX($AW$9:$AW$113)))</f>
        <v>0</v>
      </c>
      <c r="AX114">
        <f>IF($AU114="",0,IF(AND($AR114,OR(NOT(IFERROR(LOOKUP(2,1/($B$9:$B$113=$B114),$AR$9:$AR113),1)),IFERROR(LOOKUP(2,1/($B$9:$B$113=$B114),$T$9:$T113),0)=0)),ROW(),0))</f>
        <v>0</v>
      </c>
      <c r="AY114" t="str">
        <f t="shared" si="33"/>
        <v/>
      </c>
    </row>
    <row r="115" spans="1:51" ht="15" x14ac:dyDescent="0.25">
      <c r="A115" s="41" t="str">
        <f>IF(Trades!$A115="","",Trades!O115)</f>
        <v/>
      </c>
      <c r="B115" s="41" t="str">
        <f>IF(Trades!$A115="","",Trades!B115)</f>
        <v/>
      </c>
      <c r="C115" s="41" t="str">
        <f>IF(Trades!$A115="","",Trades!C115)</f>
        <v/>
      </c>
      <c r="D115" s="42" t="str">
        <f>IF(Trades!$A115="","",IF(Trades!$L115&gt;0,Trades!$L115,Trades!$C$6))</f>
        <v/>
      </c>
      <c r="E115" s="43" t="str">
        <f>IF(Trades!$A115="","",Trades!A115)</f>
        <v/>
      </c>
      <c r="F115" s="41" t="str">
        <f>IF(Trades!$A115="","",IFERROR(INDEX(Trades!$V$2:$V$14,MATCH(Trades!$E115,Trades!$U$2:$U$14,0)),""))</f>
        <v/>
      </c>
      <c r="G115" s="41" t="str">
        <f>IF(Trades!$A115="","",Trades!N115)</f>
        <v/>
      </c>
      <c r="H115" s="42" t="str">
        <f>IF(Trades!$A115="","",Trades!F115)</f>
        <v/>
      </c>
      <c r="I115" s="44" t="str">
        <f>IF(Trades!$A115="","",Trades!G115)</f>
        <v/>
      </c>
      <c r="J115" s="44" t="str">
        <f>IF(Trades!$A115="","",Trades!I115)</f>
        <v/>
      </c>
      <c r="K115" s="44" t="str">
        <f>IF(Trades!$A115="","",Trades!Q115)</f>
        <v/>
      </c>
      <c r="L115" s="42" t="str">
        <f>IF(Trades!$A115="","",Trades!F115)</f>
        <v/>
      </c>
      <c r="M115" s="44" t="str">
        <f>IF(Trades!$A115="","",Trades!M115)</f>
        <v/>
      </c>
      <c r="N115" s="44" t="str">
        <f>IF(Trades!$A115="","",Trades!R115)</f>
        <v/>
      </c>
      <c r="O115" s="44" t="str">
        <f>IF(Trades!$A115="","",Trades!J115)</f>
        <v/>
      </c>
      <c r="P115" s="43" t="str">
        <f>IF(Trades!$A115="","",Trades!H115)</f>
        <v/>
      </c>
      <c r="Q115" s="41" t="str">
        <f>IF(Trades!$A115="","",Trades!P115)</f>
        <v/>
      </c>
      <c r="R115" s="45" t="str">
        <f t="shared" si="17"/>
        <v/>
      </c>
      <c r="S115" s="45" t="str">
        <f t="shared" si="18"/>
        <v/>
      </c>
      <c r="T115" s="46" t="str">
        <f>IF(OR($A115="",$B115=""),"",IF(AND(IFERROR(LOOKUP(2,1/($B$9:$B$114=$B115),$AR$9:$AR114),1),NOT(AND(OR($F115="dividend",$F115="fee"),IFERROR(LOOKUP(2,1/($B$9:$B$114=$B115),$T$9:$T114),0)&gt;0))),IFERROR(LOOKUP(2,1/($B$9:$B$114=$B115),$T$9:$T114),0)+1,IFERROR(LOOKUP(2,1/($B$9:$B$114=$B115),$T$9:$T114),0)))</f>
        <v/>
      </c>
      <c r="U115" s="47" t="str">
        <f t="shared" si="19"/>
        <v/>
      </c>
      <c r="V115" s="47" t="str">
        <f>IF($A115="","",IF(OR($B115="",$C115="",$D115="",$E115="",$F115=""),"Missing required field",IF(COUNTIFS($A$9:$A115,$A115,$B$9:$B115,$B115)&gt;1,"Duplicate event ID",IF(AND($E115&lt;&gt;IFERROR(LOOKUP(2,1/($B$9:$B$114=$B115),$E$9:$E114),0),IFERROR(LOOKUP(2,1/($B$9:$B$114=$B115),$E$9:$E114),0)&gt;$E115),"Date out of order",IF(AND(OR($F115="buy_to_close",$F115="expire",$F115="roll",$F115="assignment",$F115="called_away"),$AF115=0),"Unknown lot",IF(OR(AND($F115="assignment",$AF115&gt;0,IF($AF115&gt;0,INDEX($AG$9:$AG$114,$AF115),"")&lt;&gt;"put"),AND($F115="called_away",$AF115&gt;0,IF($AF115&gt;0,INDEX($AG$9:$AG$114,$AF115),"")&lt;&gt;"call")),"Wrong option leg",IF(OR(AND(OR($F115="sell_put",$F115="sell_call"),OR($H115&lt;=0,$I115&lt;=0,$J115&lt;0)),AND(OR($F115="buy_to_close",$F115="expire",$F115="assignment",$F115="called_away"),OR($H115&lt;=0,$J115&lt;0)),AND($F115="roll",OR($H115&lt;=0,$I115&lt;=0,$J115&lt;0,$K115&lt;0)),AND(OR($F115="buy_shares",$F115="sell_shares"),OR($L115&lt;=0,$M115&lt;0)),AND(OR($F115="dividend",$F115="fee"),$N115&lt;0)),"Invalid value",IF(AND(OR($F115="sell_shares",$F115="called_away"),$AL115&lt;IF($F115="called_away",$AE115*$D115,$L115)),"Insufficient shares (capped)",IF(AND(OR($F115="buy_to_close",$F115="expire",$F115="roll",$F115="assignment",$F115="called_away"),$AF115&gt;0,$H115&gt;IF($AF115&gt;0,MAX(0,INDEX($AI$9:$AI$114,$AF115)-SUMIFS($AE$9:$AE$114,$G$9:$G$114,$G115,$B$9:$B$114,$B115)),0)),"Close quantity capped","OK")))))))))</f>
        <v/>
      </c>
      <c r="W115" s="48" t="str">
        <f t="shared" si="20"/>
        <v/>
      </c>
      <c r="X115" s="49" t="str">
        <f t="shared" si="21"/>
        <v/>
      </c>
      <c r="Y115" s="50" t="str">
        <f t="shared" si="22"/>
        <v/>
      </c>
      <c r="Z115" s="50" t="str">
        <f t="shared" si="23"/>
        <v/>
      </c>
      <c r="AA115" s="50" t="str">
        <f t="shared" si="24"/>
        <v/>
      </c>
      <c r="AB115" s="50" t="str">
        <f t="shared" si="25"/>
        <v/>
      </c>
      <c r="AC115" s="50" t="str">
        <f>IF($A115="","",IF($F115="assignment",IF($AF115&gt;0,INDEX($AH$9:$AH$114,$AF115),0)*$AE115*$D115,IF($F115="buy_shares",$M115*$AL115,0)))</f>
        <v/>
      </c>
      <c r="AD115" s="50" t="str">
        <f>IF($A115="","",IF($F115="called_away",IF($AF115&gt;0,INDEX($AH$9:$AH$114,$AF115),0)*$AL115,IF($F115="sell_shares",$M115*$AL115,0)))</f>
        <v/>
      </c>
      <c r="AE115" s="51" t="str">
        <f>IF($A115="","",IF(OR($F115="sell_put",$F115="sell_call"),IF(AND($H115&gt;0,$I115&gt;0,$J115&gt;=0),$H115,0),IF(OR($F115="buy_to_close",$F115="expire",$F115="roll",$F115="assignment",$F115="called_away"),IF(AND($AF115&gt;0,$H115&gt;0,IF($F115="assignment",IF($AF115&gt;0,INDEX($AG$9:$AG$114,$AF115),"")="put",TRUE),IF($F115="called_away",IF($AF115&gt;0,INDEX($AG$9:$AG$114,$AF115),"")="call",TRUE)),MIN($H115,IF($AF115&gt;0,MAX(0,INDEX($AI$9:$AI$114,$AF115)-SUMIFS($AE$9:$AE$114,$G$9:$G$114,$G115,$B$9:$B$114,$B115)),0)),0),0)))</f>
        <v/>
      </c>
      <c r="AF115" t="str">
        <f>IF($A115="","",IFERROR(MATCH(LEN($B115)&amp;":"&amp;$B115&amp;$G115,$AY$9:$AY$114,0),0))</f>
        <v/>
      </c>
      <c r="AG115" t="str">
        <f>IF($A115="","",IF($F115="sell_put","put",IF($F115="sell_call","call",IF($F115="roll",IF($AF115&gt;0,IF($AF115&gt;0,INDEX($AG$9:$AG$114,$AF115),""),""),IF($AF115&gt;0,IF($AF115&gt;0,INDEX($AG$9:$AG$114,$AF115),""),"")))))</f>
        <v/>
      </c>
      <c r="AH115" t="str">
        <f>IF($A115="","",IF(OR($F115="sell_put",$F115="sell_call",$F115="roll"),$I115,IF($AF115&gt;0,IF($AF115&gt;0,INDEX($AH$9:$AH$114,$AF115),0),0)))</f>
        <v/>
      </c>
      <c r="AI115" s="51" t="str">
        <f t="shared" si="26"/>
        <v/>
      </c>
      <c r="AJ115" s="51" t="str">
        <f>IF($A115="","",IFERROR(LOOKUP(2,1/($B$9:$B$114=$B115),$AM$9:$AM114),0))</f>
        <v/>
      </c>
      <c r="AK115" t="str">
        <f>IF($A115="","",IFERROR(LOOKUP(2,1/($B$9:$B$114=$B115),$AN$9:$AN114),0))</f>
        <v/>
      </c>
      <c r="AL115" s="51" t="str">
        <f t="shared" si="27"/>
        <v/>
      </c>
      <c r="AM115" s="51" t="str">
        <f t="shared" si="28"/>
        <v/>
      </c>
      <c r="AN115" t="str">
        <f t="shared" si="29"/>
        <v/>
      </c>
      <c r="AO115" s="50" t="str">
        <f>IF($A115="","",IFERROR(LOOKUP(2,1/($B$9:$B$114=$B115),$AO$9:$AO114),0)+IF($F115="sell_put",$I115*$AE115*$D115,IF($F115="roll",IF($AG115="put",($I115-IF($AF115&gt;0,INDEX($AH$9:$AH$114,$AF115),0))*$AE115*$D115,0),IF(AND(OR($F115="buy_to_close",$F115="expire",$F115="roll",$F115="assignment",$F115="called_away"),$F115&lt;&gt;"roll",$AG115="put"),-IF($AF115&gt;0,INDEX($AH$9:$AH$114,$AF115),0)*$AE115*$D115,0))))</f>
        <v/>
      </c>
      <c r="AP115" s="51" t="str">
        <f>IF($A115="","",IFERROR(LOOKUP(2,1/($B$9:$B$114=$B115),$AP$9:$AP114),0)+IF($F115="sell_put",$AE115*$D115,IF(AND(OR($F115="buy_to_close",$F115="expire",$F115="roll",$F115="assignment",$F115="called_away"),$F115&lt;&gt;"roll",$AG115="put"),-$AE115*$D115,0)))</f>
        <v/>
      </c>
      <c r="AQ115" s="51" t="str">
        <f>IF($A115="","",IFERROR(LOOKUP(2,1/($B$9:$B$114=$B115),$AQ$9:$AQ114),0)+IF(OR($F115="sell_put",$F115="sell_call"),$AE115,0)-IF(AND(OR($F115="buy_to_close",$F115="expire",$F115="roll",$F115="assignment",$F115="called_away"),$F115&lt;&gt;"roll"),$AE115,0))</f>
        <v/>
      </c>
      <c r="AR115" t="str">
        <f t="shared" si="30"/>
        <v/>
      </c>
      <c r="AS115" s="50" t="str">
        <f t="shared" si="31"/>
        <v/>
      </c>
      <c r="AT115" s="50" t="str">
        <f>IF($A115="","",MAX(IF($T115=IFERROR(LOOKUP(2,1/($B$9:$B$114=$B115),$T$9:$T114),0),IFERROR(LOOKUP(2,1/($B$9:$B$114=$B115),$AT$9:$AT114),0),0),$AS115))</f>
        <v/>
      </c>
      <c r="AU115" t="str">
        <f t="shared" si="32"/>
        <v/>
      </c>
      <c r="AV115" s="51">
        <f>IF($AU115="",0,IF(AND(IFERROR(LOOKUP(2,1/($B$9:$B$114=$B115),$AR$9:$AR114),1),NOT(AND(OR($F115="dividend",$F115="fee"),IFERROR(LOOKUP(2,1/($B$9:$B$114=$B115),$T$9:$T114),0)&gt;0))),ROW(),0))</f>
        <v>0</v>
      </c>
      <c r="AW115">
        <f>IF($A115="",0,IF($AV115&gt;0,MAX($AW$9:$AW$114)+1,MAX($AW$9:$AW$114)))</f>
        <v>0</v>
      </c>
      <c r="AX115">
        <f>IF($AU115="",0,IF(AND($AR115,OR(NOT(IFERROR(LOOKUP(2,1/($B$9:$B$114=$B115),$AR$9:$AR114),1)),IFERROR(LOOKUP(2,1/($B$9:$B$114=$B115),$T$9:$T114),0)=0)),ROW(),0))</f>
        <v>0</v>
      </c>
      <c r="AY115" t="str">
        <f t="shared" si="33"/>
        <v/>
      </c>
    </row>
    <row r="116" spans="1:51" ht="15" x14ac:dyDescent="0.25">
      <c r="A116" s="52" t="str">
        <f>IF(Trades!$A116="","",Trades!O116)</f>
        <v/>
      </c>
      <c r="B116" s="52" t="str">
        <f>IF(Trades!$A116="","",Trades!B116)</f>
        <v/>
      </c>
      <c r="C116" s="52" t="str">
        <f>IF(Trades!$A116="","",Trades!C116)</f>
        <v/>
      </c>
      <c r="D116" s="53" t="str">
        <f>IF(Trades!$A116="","",IF(Trades!$L116&gt;0,Trades!$L116,Trades!$C$6))</f>
        <v/>
      </c>
      <c r="E116" s="54" t="str">
        <f>IF(Trades!$A116="","",Trades!A116)</f>
        <v/>
      </c>
      <c r="F116" s="52" t="str">
        <f>IF(Trades!$A116="","",IFERROR(INDEX(Trades!$V$2:$V$14,MATCH(Trades!$E116,Trades!$U$2:$U$14,0)),""))</f>
        <v/>
      </c>
      <c r="G116" s="52" t="str">
        <f>IF(Trades!$A116="","",Trades!N116)</f>
        <v/>
      </c>
      <c r="H116" s="53" t="str">
        <f>IF(Trades!$A116="","",Trades!F116)</f>
        <v/>
      </c>
      <c r="I116" s="55" t="str">
        <f>IF(Trades!$A116="","",Trades!G116)</f>
        <v/>
      </c>
      <c r="J116" s="55" t="str">
        <f>IF(Trades!$A116="","",Trades!I116)</f>
        <v/>
      </c>
      <c r="K116" s="55" t="str">
        <f>IF(Trades!$A116="","",Trades!Q116)</f>
        <v/>
      </c>
      <c r="L116" s="53" t="str">
        <f>IF(Trades!$A116="","",Trades!F116)</f>
        <v/>
      </c>
      <c r="M116" s="55" t="str">
        <f>IF(Trades!$A116="","",Trades!M116)</f>
        <v/>
      </c>
      <c r="N116" s="55" t="str">
        <f>IF(Trades!$A116="","",Trades!R116)</f>
        <v/>
      </c>
      <c r="O116" s="55" t="str">
        <f>IF(Trades!$A116="","",Trades!J116)</f>
        <v/>
      </c>
      <c r="P116" s="54" t="str">
        <f>IF(Trades!$A116="","",Trades!H116)</f>
        <v/>
      </c>
      <c r="Q116" s="52" t="str">
        <f>IF(Trades!$A116="","",Trades!P116)</f>
        <v/>
      </c>
      <c r="R116" s="56" t="str">
        <f t="shared" si="17"/>
        <v/>
      </c>
      <c r="S116" s="56" t="str">
        <f t="shared" si="18"/>
        <v/>
      </c>
      <c r="T116" s="57" t="str">
        <f>IF(OR($A116="",$B116=""),"",IF(AND(IFERROR(LOOKUP(2,1/($B$9:$B$115=$B116),$AR$9:$AR115),1),NOT(AND(OR($F116="dividend",$F116="fee"),IFERROR(LOOKUP(2,1/($B$9:$B$115=$B116),$T$9:$T115),0)&gt;0))),IFERROR(LOOKUP(2,1/($B$9:$B$115=$B116),$T$9:$T115),0)+1,IFERROR(LOOKUP(2,1/($B$9:$B$115=$B116),$T$9:$T115),0)))</f>
        <v/>
      </c>
      <c r="U116" s="58" t="str">
        <f t="shared" si="19"/>
        <v/>
      </c>
      <c r="V116" s="58" t="str">
        <f>IF($A116="","",IF(OR($B116="",$C116="",$D116="",$E116="",$F116=""),"Missing required field",IF(COUNTIFS($A$9:$A116,$A116,$B$9:$B116,$B116)&gt;1,"Duplicate event ID",IF(AND($E116&lt;&gt;IFERROR(LOOKUP(2,1/($B$9:$B$115=$B116),$E$9:$E115),0),IFERROR(LOOKUP(2,1/($B$9:$B$115=$B116),$E$9:$E115),0)&gt;$E116),"Date out of order",IF(AND(OR($F116="buy_to_close",$F116="expire",$F116="roll",$F116="assignment",$F116="called_away"),$AF116=0),"Unknown lot",IF(OR(AND($F116="assignment",$AF116&gt;0,IF($AF116&gt;0,INDEX($AG$9:$AG$115,$AF116),"")&lt;&gt;"put"),AND($F116="called_away",$AF116&gt;0,IF($AF116&gt;0,INDEX($AG$9:$AG$115,$AF116),"")&lt;&gt;"call")),"Wrong option leg",IF(OR(AND(OR($F116="sell_put",$F116="sell_call"),OR($H116&lt;=0,$I116&lt;=0,$J116&lt;0)),AND(OR($F116="buy_to_close",$F116="expire",$F116="assignment",$F116="called_away"),OR($H116&lt;=0,$J116&lt;0)),AND($F116="roll",OR($H116&lt;=0,$I116&lt;=0,$J116&lt;0,$K116&lt;0)),AND(OR($F116="buy_shares",$F116="sell_shares"),OR($L116&lt;=0,$M116&lt;0)),AND(OR($F116="dividend",$F116="fee"),$N116&lt;0)),"Invalid value",IF(AND(OR($F116="sell_shares",$F116="called_away"),$AL116&lt;IF($F116="called_away",$AE116*$D116,$L116)),"Insufficient shares (capped)",IF(AND(OR($F116="buy_to_close",$F116="expire",$F116="roll",$F116="assignment",$F116="called_away"),$AF116&gt;0,$H116&gt;IF($AF116&gt;0,MAX(0,INDEX($AI$9:$AI$115,$AF116)-SUMIFS($AE$9:$AE$115,$G$9:$G$115,$G116,$B$9:$B$115,$B116)),0)),"Close quantity capped","OK")))))))))</f>
        <v/>
      </c>
      <c r="W116" s="59" t="str">
        <f t="shared" si="20"/>
        <v/>
      </c>
      <c r="X116" s="60" t="str">
        <f t="shared" si="21"/>
        <v/>
      </c>
      <c r="Y116" s="50" t="str">
        <f t="shared" si="22"/>
        <v/>
      </c>
      <c r="Z116" s="50" t="str">
        <f t="shared" si="23"/>
        <v/>
      </c>
      <c r="AA116" s="50" t="str">
        <f t="shared" si="24"/>
        <v/>
      </c>
      <c r="AB116" s="50" t="str">
        <f t="shared" si="25"/>
        <v/>
      </c>
      <c r="AC116" s="50" t="str">
        <f>IF($A116="","",IF($F116="assignment",IF($AF116&gt;0,INDEX($AH$9:$AH$115,$AF116),0)*$AE116*$D116,IF($F116="buy_shares",$M116*$AL116,0)))</f>
        <v/>
      </c>
      <c r="AD116" s="50" t="str">
        <f>IF($A116="","",IF($F116="called_away",IF($AF116&gt;0,INDEX($AH$9:$AH$115,$AF116),0)*$AL116,IF($F116="sell_shares",$M116*$AL116,0)))</f>
        <v/>
      </c>
      <c r="AE116" s="51" t="str">
        <f>IF($A116="","",IF(OR($F116="sell_put",$F116="sell_call"),IF(AND($H116&gt;0,$I116&gt;0,$J116&gt;=0),$H116,0),IF(OR($F116="buy_to_close",$F116="expire",$F116="roll",$F116="assignment",$F116="called_away"),IF(AND($AF116&gt;0,$H116&gt;0,IF($F116="assignment",IF($AF116&gt;0,INDEX($AG$9:$AG$115,$AF116),"")="put",TRUE),IF($F116="called_away",IF($AF116&gt;0,INDEX($AG$9:$AG$115,$AF116),"")="call",TRUE)),MIN($H116,IF($AF116&gt;0,MAX(0,INDEX($AI$9:$AI$115,$AF116)-SUMIFS($AE$9:$AE$115,$G$9:$G$115,$G116,$B$9:$B$115,$B116)),0)),0),0)))</f>
        <v/>
      </c>
      <c r="AF116" t="str">
        <f>IF($A116="","",IFERROR(MATCH(LEN($B116)&amp;":"&amp;$B116&amp;$G116,$AY$9:$AY$115,0),0))</f>
        <v/>
      </c>
      <c r="AG116" t="str">
        <f>IF($A116="","",IF($F116="sell_put","put",IF($F116="sell_call","call",IF($F116="roll",IF($AF116&gt;0,IF($AF116&gt;0,INDEX($AG$9:$AG$115,$AF116),""),""),IF($AF116&gt;0,IF($AF116&gt;0,INDEX($AG$9:$AG$115,$AF116),""),"")))))</f>
        <v/>
      </c>
      <c r="AH116" t="str">
        <f>IF($A116="","",IF(OR($F116="sell_put",$F116="sell_call",$F116="roll"),$I116,IF($AF116&gt;0,IF($AF116&gt;0,INDEX($AH$9:$AH$115,$AF116),0),0)))</f>
        <v/>
      </c>
      <c r="AI116" s="51" t="str">
        <f t="shared" si="26"/>
        <v/>
      </c>
      <c r="AJ116" s="51" t="str">
        <f>IF($A116="","",IFERROR(LOOKUP(2,1/($B$9:$B$115=$B116),$AM$9:$AM115),0))</f>
        <v/>
      </c>
      <c r="AK116" t="str">
        <f>IF($A116="","",IFERROR(LOOKUP(2,1/($B$9:$B$115=$B116),$AN$9:$AN115),0))</f>
        <v/>
      </c>
      <c r="AL116" s="51" t="str">
        <f t="shared" si="27"/>
        <v/>
      </c>
      <c r="AM116" s="51" t="str">
        <f t="shared" si="28"/>
        <v/>
      </c>
      <c r="AN116" t="str">
        <f t="shared" si="29"/>
        <v/>
      </c>
      <c r="AO116" s="50" t="str">
        <f>IF($A116="","",IFERROR(LOOKUP(2,1/($B$9:$B$115=$B116),$AO$9:$AO115),0)+IF($F116="sell_put",$I116*$AE116*$D116,IF($F116="roll",IF($AG116="put",($I116-IF($AF116&gt;0,INDEX($AH$9:$AH$115,$AF116),0))*$AE116*$D116,0),IF(AND(OR($F116="buy_to_close",$F116="expire",$F116="roll",$F116="assignment",$F116="called_away"),$F116&lt;&gt;"roll",$AG116="put"),-IF($AF116&gt;0,INDEX($AH$9:$AH$115,$AF116),0)*$AE116*$D116,0))))</f>
        <v/>
      </c>
      <c r="AP116" s="51" t="str">
        <f>IF($A116="","",IFERROR(LOOKUP(2,1/($B$9:$B$115=$B116),$AP$9:$AP115),0)+IF($F116="sell_put",$AE116*$D116,IF(AND(OR($F116="buy_to_close",$F116="expire",$F116="roll",$F116="assignment",$F116="called_away"),$F116&lt;&gt;"roll",$AG116="put"),-$AE116*$D116,0)))</f>
        <v/>
      </c>
      <c r="AQ116" s="51" t="str">
        <f>IF($A116="","",IFERROR(LOOKUP(2,1/($B$9:$B$115=$B116),$AQ$9:$AQ115),0)+IF(OR($F116="sell_put",$F116="sell_call"),$AE116,0)-IF(AND(OR($F116="buy_to_close",$F116="expire",$F116="roll",$F116="assignment",$F116="called_away"),$F116&lt;&gt;"roll"),$AE116,0))</f>
        <v/>
      </c>
      <c r="AR116" t="str">
        <f t="shared" si="30"/>
        <v/>
      </c>
      <c r="AS116" s="50" t="str">
        <f t="shared" si="31"/>
        <v/>
      </c>
      <c r="AT116" s="50" t="str">
        <f>IF($A116="","",MAX(IF($T116=IFERROR(LOOKUP(2,1/($B$9:$B$115=$B116),$T$9:$T115),0),IFERROR(LOOKUP(2,1/($B$9:$B$115=$B116),$AT$9:$AT115),0),0),$AS116))</f>
        <v/>
      </c>
      <c r="AU116" t="str">
        <f t="shared" si="32"/>
        <v/>
      </c>
      <c r="AV116" s="51">
        <f>IF($AU116="",0,IF(AND(IFERROR(LOOKUP(2,1/($B$9:$B$115=$B116),$AR$9:$AR115),1),NOT(AND(OR($F116="dividend",$F116="fee"),IFERROR(LOOKUP(2,1/($B$9:$B$115=$B116),$T$9:$T115),0)&gt;0))),ROW(),0))</f>
        <v>0</v>
      </c>
      <c r="AW116">
        <f>IF($A116="",0,IF($AV116&gt;0,MAX($AW$9:$AW$115)+1,MAX($AW$9:$AW$115)))</f>
        <v>0</v>
      </c>
      <c r="AX116">
        <f>IF($AU116="",0,IF(AND($AR116,OR(NOT(IFERROR(LOOKUP(2,1/($B$9:$B$115=$B116),$AR$9:$AR115),1)),IFERROR(LOOKUP(2,1/($B$9:$B$115=$B116),$T$9:$T115),0)=0)),ROW(),0))</f>
        <v>0</v>
      </c>
      <c r="AY116" t="str">
        <f t="shared" si="33"/>
        <v/>
      </c>
    </row>
    <row r="117" spans="1:51" ht="15" x14ac:dyDescent="0.25">
      <c r="A117" s="41" t="str">
        <f>IF(Trades!$A117="","",Trades!O117)</f>
        <v/>
      </c>
      <c r="B117" s="41" t="str">
        <f>IF(Trades!$A117="","",Trades!B117)</f>
        <v/>
      </c>
      <c r="C117" s="41" t="str">
        <f>IF(Trades!$A117="","",Trades!C117)</f>
        <v/>
      </c>
      <c r="D117" s="42" t="str">
        <f>IF(Trades!$A117="","",IF(Trades!$L117&gt;0,Trades!$L117,Trades!$C$6))</f>
        <v/>
      </c>
      <c r="E117" s="43" t="str">
        <f>IF(Trades!$A117="","",Trades!A117)</f>
        <v/>
      </c>
      <c r="F117" s="41" t="str">
        <f>IF(Trades!$A117="","",IFERROR(INDEX(Trades!$V$2:$V$14,MATCH(Trades!$E117,Trades!$U$2:$U$14,0)),""))</f>
        <v/>
      </c>
      <c r="G117" s="41" t="str">
        <f>IF(Trades!$A117="","",Trades!N117)</f>
        <v/>
      </c>
      <c r="H117" s="42" t="str">
        <f>IF(Trades!$A117="","",Trades!F117)</f>
        <v/>
      </c>
      <c r="I117" s="44" t="str">
        <f>IF(Trades!$A117="","",Trades!G117)</f>
        <v/>
      </c>
      <c r="J117" s="44" t="str">
        <f>IF(Trades!$A117="","",Trades!I117)</f>
        <v/>
      </c>
      <c r="K117" s="44" t="str">
        <f>IF(Trades!$A117="","",Trades!Q117)</f>
        <v/>
      </c>
      <c r="L117" s="42" t="str">
        <f>IF(Trades!$A117="","",Trades!F117)</f>
        <v/>
      </c>
      <c r="M117" s="44" t="str">
        <f>IF(Trades!$A117="","",Trades!M117)</f>
        <v/>
      </c>
      <c r="N117" s="44" t="str">
        <f>IF(Trades!$A117="","",Trades!R117)</f>
        <v/>
      </c>
      <c r="O117" s="44" t="str">
        <f>IF(Trades!$A117="","",Trades!J117)</f>
        <v/>
      </c>
      <c r="P117" s="43" t="str">
        <f>IF(Trades!$A117="","",Trades!H117)</f>
        <v/>
      </c>
      <c r="Q117" s="41" t="str">
        <f>IF(Trades!$A117="","",Trades!P117)</f>
        <v/>
      </c>
      <c r="R117" s="45" t="str">
        <f t="shared" si="17"/>
        <v/>
      </c>
      <c r="S117" s="45" t="str">
        <f t="shared" si="18"/>
        <v/>
      </c>
      <c r="T117" s="46" t="str">
        <f>IF(OR($A117="",$B117=""),"",IF(AND(IFERROR(LOOKUP(2,1/($B$9:$B$116=$B117),$AR$9:$AR116),1),NOT(AND(OR($F117="dividend",$F117="fee"),IFERROR(LOOKUP(2,1/($B$9:$B$116=$B117),$T$9:$T116),0)&gt;0))),IFERROR(LOOKUP(2,1/($B$9:$B$116=$B117),$T$9:$T116),0)+1,IFERROR(LOOKUP(2,1/($B$9:$B$116=$B117),$T$9:$T116),0)))</f>
        <v/>
      </c>
      <c r="U117" s="47" t="str">
        <f t="shared" si="19"/>
        <v/>
      </c>
      <c r="V117" s="47" t="str">
        <f>IF($A117="","",IF(OR($B117="",$C117="",$D117="",$E117="",$F117=""),"Missing required field",IF(COUNTIFS($A$9:$A117,$A117,$B$9:$B117,$B117)&gt;1,"Duplicate event ID",IF(AND($E117&lt;&gt;IFERROR(LOOKUP(2,1/($B$9:$B$116=$B117),$E$9:$E116),0),IFERROR(LOOKUP(2,1/($B$9:$B$116=$B117),$E$9:$E116),0)&gt;$E117),"Date out of order",IF(AND(OR($F117="buy_to_close",$F117="expire",$F117="roll",$F117="assignment",$F117="called_away"),$AF117=0),"Unknown lot",IF(OR(AND($F117="assignment",$AF117&gt;0,IF($AF117&gt;0,INDEX($AG$9:$AG$116,$AF117),"")&lt;&gt;"put"),AND($F117="called_away",$AF117&gt;0,IF($AF117&gt;0,INDEX($AG$9:$AG$116,$AF117),"")&lt;&gt;"call")),"Wrong option leg",IF(OR(AND(OR($F117="sell_put",$F117="sell_call"),OR($H117&lt;=0,$I117&lt;=0,$J117&lt;0)),AND(OR($F117="buy_to_close",$F117="expire",$F117="assignment",$F117="called_away"),OR($H117&lt;=0,$J117&lt;0)),AND($F117="roll",OR($H117&lt;=0,$I117&lt;=0,$J117&lt;0,$K117&lt;0)),AND(OR($F117="buy_shares",$F117="sell_shares"),OR($L117&lt;=0,$M117&lt;0)),AND(OR($F117="dividend",$F117="fee"),$N117&lt;0)),"Invalid value",IF(AND(OR($F117="sell_shares",$F117="called_away"),$AL117&lt;IF($F117="called_away",$AE117*$D117,$L117)),"Insufficient shares (capped)",IF(AND(OR($F117="buy_to_close",$F117="expire",$F117="roll",$F117="assignment",$F117="called_away"),$AF117&gt;0,$H117&gt;IF($AF117&gt;0,MAX(0,INDEX($AI$9:$AI$116,$AF117)-SUMIFS($AE$9:$AE$116,$G$9:$G$116,$G117,$B$9:$B$116,$B117)),0)),"Close quantity capped","OK")))))))))</f>
        <v/>
      </c>
      <c r="W117" s="48" t="str">
        <f t="shared" si="20"/>
        <v/>
      </c>
      <c r="X117" s="49" t="str">
        <f t="shared" si="21"/>
        <v/>
      </c>
      <c r="Y117" s="50" t="str">
        <f t="shared" si="22"/>
        <v/>
      </c>
      <c r="Z117" s="50" t="str">
        <f t="shared" si="23"/>
        <v/>
      </c>
      <c r="AA117" s="50" t="str">
        <f t="shared" si="24"/>
        <v/>
      </c>
      <c r="AB117" s="50" t="str">
        <f t="shared" si="25"/>
        <v/>
      </c>
      <c r="AC117" s="50" t="str">
        <f>IF($A117="","",IF($F117="assignment",IF($AF117&gt;0,INDEX($AH$9:$AH$116,$AF117),0)*$AE117*$D117,IF($F117="buy_shares",$M117*$AL117,0)))</f>
        <v/>
      </c>
      <c r="AD117" s="50" t="str">
        <f>IF($A117="","",IF($F117="called_away",IF($AF117&gt;0,INDEX($AH$9:$AH$116,$AF117),0)*$AL117,IF($F117="sell_shares",$M117*$AL117,0)))</f>
        <v/>
      </c>
      <c r="AE117" s="51" t="str">
        <f>IF($A117="","",IF(OR($F117="sell_put",$F117="sell_call"),IF(AND($H117&gt;0,$I117&gt;0,$J117&gt;=0),$H117,0),IF(OR($F117="buy_to_close",$F117="expire",$F117="roll",$F117="assignment",$F117="called_away"),IF(AND($AF117&gt;0,$H117&gt;0,IF($F117="assignment",IF($AF117&gt;0,INDEX($AG$9:$AG$116,$AF117),"")="put",TRUE),IF($F117="called_away",IF($AF117&gt;0,INDEX($AG$9:$AG$116,$AF117),"")="call",TRUE)),MIN($H117,IF($AF117&gt;0,MAX(0,INDEX($AI$9:$AI$116,$AF117)-SUMIFS($AE$9:$AE$116,$G$9:$G$116,$G117,$B$9:$B$116,$B117)),0)),0),0)))</f>
        <v/>
      </c>
      <c r="AF117" t="str">
        <f>IF($A117="","",IFERROR(MATCH(LEN($B117)&amp;":"&amp;$B117&amp;$G117,$AY$9:$AY$116,0),0))</f>
        <v/>
      </c>
      <c r="AG117" t="str">
        <f>IF($A117="","",IF($F117="sell_put","put",IF($F117="sell_call","call",IF($F117="roll",IF($AF117&gt;0,IF($AF117&gt;0,INDEX($AG$9:$AG$116,$AF117),""),""),IF($AF117&gt;0,IF($AF117&gt;0,INDEX($AG$9:$AG$116,$AF117),""),"")))))</f>
        <v/>
      </c>
      <c r="AH117" t="str">
        <f>IF($A117="","",IF(OR($F117="sell_put",$F117="sell_call",$F117="roll"),$I117,IF($AF117&gt;0,IF($AF117&gt;0,INDEX($AH$9:$AH$116,$AF117),0),0)))</f>
        <v/>
      </c>
      <c r="AI117" s="51" t="str">
        <f t="shared" si="26"/>
        <v/>
      </c>
      <c r="AJ117" s="51" t="str">
        <f>IF($A117="","",IFERROR(LOOKUP(2,1/($B$9:$B$116=$B117),$AM$9:$AM116),0))</f>
        <v/>
      </c>
      <c r="AK117" t="str">
        <f>IF($A117="","",IFERROR(LOOKUP(2,1/($B$9:$B$116=$B117),$AN$9:$AN116),0))</f>
        <v/>
      </c>
      <c r="AL117" s="51" t="str">
        <f t="shared" si="27"/>
        <v/>
      </c>
      <c r="AM117" s="51" t="str">
        <f t="shared" si="28"/>
        <v/>
      </c>
      <c r="AN117" t="str">
        <f t="shared" si="29"/>
        <v/>
      </c>
      <c r="AO117" s="50" t="str">
        <f>IF($A117="","",IFERROR(LOOKUP(2,1/($B$9:$B$116=$B117),$AO$9:$AO116),0)+IF($F117="sell_put",$I117*$AE117*$D117,IF($F117="roll",IF($AG117="put",($I117-IF($AF117&gt;0,INDEX($AH$9:$AH$116,$AF117),0))*$AE117*$D117,0),IF(AND(OR($F117="buy_to_close",$F117="expire",$F117="roll",$F117="assignment",$F117="called_away"),$F117&lt;&gt;"roll",$AG117="put"),-IF($AF117&gt;0,INDEX($AH$9:$AH$116,$AF117),0)*$AE117*$D117,0))))</f>
        <v/>
      </c>
      <c r="AP117" s="51" t="str">
        <f>IF($A117="","",IFERROR(LOOKUP(2,1/($B$9:$B$116=$B117),$AP$9:$AP116),0)+IF($F117="sell_put",$AE117*$D117,IF(AND(OR($F117="buy_to_close",$F117="expire",$F117="roll",$F117="assignment",$F117="called_away"),$F117&lt;&gt;"roll",$AG117="put"),-$AE117*$D117,0)))</f>
        <v/>
      </c>
      <c r="AQ117" s="51" t="str">
        <f>IF($A117="","",IFERROR(LOOKUP(2,1/($B$9:$B$116=$B117),$AQ$9:$AQ116),0)+IF(OR($F117="sell_put",$F117="sell_call"),$AE117,0)-IF(AND(OR($F117="buy_to_close",$F117="expire",$F117="roll",$F117="assignment",$F117="called_away"),$F117&lt;&gt;"roll"),$AE117,0))</f>
        <v/>
      </c>
      <c r="AR117" t="str">
        <f t="shared" si="30"/>
        <v/>
      </c>
      <c r="AS117" s="50" t="str">
        <f t="shared" si="31"/>
        <v/>
      </c>
      <c r="AT117" s="50" t="str">
        <f>IF($A117="","",MAX(IF($T117=IFERROR(LOOKUP(2,1/($B$9:$B$116=$B117),$T$9:$T116),0),IFERROR(LOOKUP(2,1/($B$9:$B$116=$B117),$AT$9:$AT116),0),0),$AS117))</f>
        <v/>
      </c>
      <c r="AU117" t="str">
        <f t="shared" si="32"/>
        <v/>
      </c>
      <c r="AV117" s="51">
        <f>IF($AU117="",0,IF(AND(IFERROR(LOOKUP(2,1/($B$9:$B$116=$B117),$AR$9:$AR116),1),NOT(AND(OR($F117="dividend",$F117="fee"),IFERROR(LOOKUP(2,1/($B$9:$B$116=$B117),$T$9:$T116),0)&gt;0))),ROW(),0))</f>
        <v>0</v>
      </c>
      <c r="AW117">
        <f>IF($A117="",0,IF($AV117&gt;0,MAX($AW$9:$AW$116)+1,MAX($AW$9:$AW$116)))</f>
        <v>0</v>
      </c>
      <c r="AX117">
        <f>IF($AU117="",0,IF(AND($AR117,OR(NOT(IFERROR(LOOKUP(2,1/($B$9:$B$116=$B117),$AR$9:$AR116),1)),IFERROR(LOOKUP(2,1/($B$9:$B$116=$B117),$T$9:$T116),0)=0)),ROW(),0))</f>
        <v>0</v>
      </c>
      <c r="AY117" t="str">
        <f t="shared" si="33"/>
        <v/>
      </c>
    </row>
    <row r="118" spans="1:51" ht="15" x14ac:dyDescent="0.25">
      <c r="A118" s="52" t="str">
        <f>IF(Trades!$A118="","",Trades!O118)</f>
        <v/>
      </c>
      <c r="B118" s="52" t="str">
        <f>IF(Trades!$A118="","",Trades!B118)</f>
        <v/>
      </c>
      <c r="C118" s="52" t="str">
        <f>IF(Trades!$A118="","",Trades!C118)</f>
        <v/>
      </c>
      <c r="D118" s="53" t="str">
        <f>IF(Trades!$A118="","",IF(Trades!$L118&gt;0,Trades!$L118,Trades!$C$6))</f>
        <v/>
      </c>
      <c r="E118" s="54" t="str">
        <f>IF(Trades!$A118="","",Trades!A118)</f>
        <v/>
      </c>
      <c r="F118" s="52" t="str">
        <f>IF(Trades!$A118="","",IFERROR(INDEX(Trades!$V$2:$V$14,MATCH(Trades!$E118,Trades!$U$2:$U$14,0)),""))</f>
        <v/>
      </c>
      <c r="G118" s="52" t="str">
        <f>IF(Trades!$A118="","",Trades!N118)</f>
        <v/>
      </c>
      <c r="H118" s="53" t="str">
        <f>IF(Trades!$A118="","",Trades!F118)</f>
        <v/>
      </c>
      <c r="I118" s="55" t="str">
        <f>IF(Trades!$A118="","",Trades!G118)</f>
        <v/>
      </c>
      <c r="J118" s="55" t="str">
        <f>IF(Trades!$A118="","",Trades!I118)</f>
        <v/>
      </c>
      <c r="K118" s="55" t="str">
        <f>IF(Trades!$A118="","",Trades!Q118)</f>
        <v/>
      </c>
      <c r="L118" s="53" t="str">
        <f>IF(Trades!$A118="","",Trades!F118)</f>
        <v/>
      </c>
      <c r="M118" s="55" t="str">
        <f>IF(Trades!$A118="","",Trades!M118)</f>
        <v/>
      </c>
      <c r="N118" s="55" t="str">
        <f>IF(Trades!$A118="","",Trades!R118)</f>
        <v/>
      </c>
      <c r="O118" s="55" t="str">
        <f>IF(Trades!$A118="","",Trades!J118)</f>
        <v/>
      </c>
      <c r="P118" s="54" t="str">
        <f>IF(Trades!$A118="","",Trades!H118)</f>
        <v/>
      </c>
      <c r="Q118" s="52" t="str">
        <f>IF(Trades!$A118="","",Trades!P118)</f>
        <v/>
      </c>
      <c r="R118" s="56" t="str">
        <f t="shared" si="17"/>
        <v/>
      </c>
      <c r="S118" s="56" t="str">
        <f t="shared" si="18"/>
        <v/>
      </c>
      <c r="T118" s="57" t="str">
        <f>IF(OR($A118="",$B118=""),"",IF(AND(IFERROR(LOOKUP(2,1/($B$9:$B$117=$B118),$AR$9:$AR117),1),NOT(AND(OR($F118="dividend",$F118="fee"),IFERROR(LOOKUP(2,1/($B$9:$B$117=$B118),$T$9:$T117),0)&gt;0))),IFERROR(LOOKUP(2,1/($B$9:$B$117=$B118),$T$9:$T117),0)+1,IFERROR(LOOKUP(2,1/($B$9:$B$117=$B118),$T$9:$T117),0)))</f>
        <v/>
      </c>
      <c r="U118" s="58" t="str">
        <f t="shared" si="19"/>
        <v/>
      </c>
      <c r="V118" s="58" t="str">
        <f>IF($A118="","",IF(OR($B118="",$C118="",$D118="",$E118="",$F118=""),"Missing required field",IF(COUNTIFS($A$9:$A118,$A118,$B$9:$B118,$B118)&gt;1,"Duplicate event ID",IF(AND($E118&lt;&gt;IFERROR(LOOKUP(2,1/($B$9:$B$117=$B118),$E$9:$E117),0),IFERROR(LOOKUP(2,1/($B$9:$B$117=$B118),$E$9:$E117),0)&gt;$E118),"Date out of order",IF(AND(OR($F118="buy_to_close",$F118="expire",$F118="roll",$F118="assignment",$F118="called_away"),$AF118=0),"Unknown lot",IF(OR(AND($F118="assignment",$AF118&gt;0,IF($AF118&gt;0,INDEX($AG$9:$AG$117,$AF118),"")&lt;&gt;"put"),AND($F118="called_away",$AF118&gt;0,IF($AF118&gt;0,INDEX($AG$9:$AG$117,$AF118),"")&lt;&gt;"call")),"Wrong option leg",IF(OR(AND(OR($F118="sell_put",$F118="sell_call"),OR($H118&lt;=0,$I118&lt;=0,$J118&lt;0)),AND(OR($F118="buy_to_close",$F118="expire",$F118="assignment",$F118="called_away"),OR($H118&lt;=0,$J118&lt;0)),AND($F118="roll",OR($H118&lt;=0,$I118&lt;=0,$J118&lt;0,$K118&lt;0)),AND(OR($F118="buy_shares",$F118="sell_shares"),OR($L118&lt;=0,$M118&lt;0)),AND(OR($F118="dividend",$F118="fee"),$N118&lt;0)),"Invalid value",IF(AND(OR($F118="sell_shares",$F118="called_away"),$AL118&lt;IF($F118="called_away",$AE118*$D118,$L118)),"Insufficient shares (capped)",IF(AND(OR($F118="buy_to_close",$F118="expire",$F118="roll",$F118="assignment",$F118="called_away"),$AF118&gt;0,$H118&gt;IF($AF118&gt;0,MAX(0,INDEX($AI$9:$AI$117,$AF118)-SUMIFS($AE$9:$AE$117,$G$9:$G$117,$G118,$B$9:$B$117,$B118)),0)),"Close quantity capped","OK")))))))))</f>
        <v/>
      </c>
      <c r="W118" s="59" t="str">
        <f t="shared" si="20"/>
        <v/>
      </c>
      <c r="X118" s="60" t="str">
        <f t="shared" si="21"/>
        <v/>
      </c>
      <c r="Y118" s="50" t="str">
        <f t="shared" si="22"/>
        <v/>
      </c>
      <c r="Z118" s="50" t="str">
        <f t="shared" si="23"/>
        <v/>
      </c>
      <c r="AA118" s="50" t="str">
        <f t="shared" si="24"/>
        <v/>
      </c>
      <c r="AB118" s="50" t="str">
        <f t="shared" si="25"/>
        <v/>
      </c>
      <c r="AC118" s="50" t="str">
        <f>IF($A118="","",IF($F118="assignment",IF($AF118&gt;0,INDEX($AH$9:$AH$117,$AF118),0)*$AE118*$D118,IF($F118="buy_shares",$M118*$AL118,0)))</f>
        <v/>
      </c>
      <c r="AD118" s="50" t="str">
        <f>IF($A118="","",IF($F118="called_away",IF($AF118&gt;0,INDEX($AH$9:$AH$117,$AF118),0)*$AL118,IF($F118="sell_shares",$M118*$AL118,0)))</f>
        <v/>
      </c>
      <c r="AE118" s="51" t="str">
        <f>IF($A118="","",IF(OR($F118="sell_put",$F118="sell_call"),IF(AND($H118&gt;0,$I118&gt;0,$J118&gt;=0),$H118,0),IF(OR($F118="buy_to_close",$F118="expire",$F118="roll",$F118="assignment",$F118="called_away"),IF(AND($AF118&gt;0,$H118&gt;0,IF($F118="assignment",IF($AF118&gt;0,INDEX($AG$9:$AG$117,$AF118),"")="put",TRUE),IF($F118="called_away",IF($AF118&gt;0,INDEX($AG$9:$AG$117,$AF118),"")="call",TRUE)),MIN($H118,IF($AF118&gt;0,MAX(0,INDEX($AI$9:$AI$117,$AF118)-SUMIFS($AE$9:$AE$117,$G$9:$G$117,$G118,$B$9:$B$117,$B118)),0)),0),0)))</f>
        <v/>
      </c>
      <c r="AF118" t="str">
        <f>IF($A118="","",IFERROR(MATCH(LEN($B118)&amp;":"&amp;$B118&amp;$G118,$AY$9:$AY$117,0),0))</f>
        <v/>
      </c>
      <c r="AG118" t="str">
        <f>IF($A118="","",IF($F118="sell_put","put",IF($F118="sell_call","call",IF($F118="roll",IF($AF118&gt;0,IF($AF118&gt;0,INDEX($AG$9:$AG$117,$AF118),""),""),IF($AF118&gt;0,IF($AF118&gt;0,INDEX($AG$9:$AG$117,$AF118),""),"")))))</f>
        <v/>
      </c>
      <c r="AH118" t="str">
        <f>IF($A118="","",IF(OR($F118="sell_put",$F118="sell_call",$F118="roll"),$I118,IF($AF118&gt;0,IF($AF118&gt;0,INDEX($AH$9:$AH$117,$AF118),0),0)))</f>
        <v/>
      </c>
      <c r="AI118" s="51" t="str">
        <f t="shared" si="26"/>
        <v/>
      </c>
      <c r="AJ118" s="51" t="str">
        <f>IF($A118="","",IFERROR(LOOKUP(2,1/($B$9:$B$117=$B118),$AM$9:$AM117),0))</f>
        <v/>
      </c>
      <c r="AK118" t="str">
        <f>IF($A118="","",IFERROR(LOOKUP(2,1/($B$9:$B$117=$B118),$AN$9:$AN117),0))</f>
        <v/>
      </c>
      <c r="AL118" s="51" t="str">
        <f t="shared" si="27"/>
        <v/>
      </c>
      <c r="AM118" s="51" t="str">
        <f t="shared" si="28"/>
        <v/>
      </c>
      <c r="AN118" t="str">
        <f t="shared" si="29"/>
        <v/>
      </c>
      <c r="AO118" s="50" t="str">
        <f>IF($A118="","",IFERROR(LOOKUP(2,1/($B$9:$B$117=$B118),$AO$9:$AO117),0)+IF($F118="sell_put",$I118*$AE118*$D118,IF($F118="roll",IF($AG118="put",($I118-IF($AF118&gt;0,INDEX($AH$9:$AH$117,$AF118),0))*$AE118*$D118,0),IF(AND(OR($F118="buy_to_close",$F118="expire",$F118="roll",$F118="assignment",$F118="called_away"),$F118&lt;&gt;"roll",$AG118="put"),-IF($AF118&gt;0,INDEX($AH$9:$AH$117,$AF118),0)*$AE118*$D118,0))))</f>
        <v/>
      </c>
      <c r="AP118" s="51" t="str">
        <f>IF($A118="","",IFERROR(LOOKUP(2,1/($B$9:$B$117=$B118),$AP$9:$AP117),0)+IF($F118="sell_put",$AE118*$D118,IF(AND(OR($F118="buy_to_close",$F118="expire",$F118="roll",$F118="assignment",$F118="called_away"),$F118&lt;&gt;"roll",$AG118="put"),-$AE118*$D118,0)))</f>
        <v/>
      </c>
      <c r="AQ118" s="51" t="str">
        <f>IF($A118="","",IFERROR(LOOKUP(2,1/($B$9:$B$117=$B118),$AQ$9:$AQ117),0)+IF(OR($F118="sell_put",$F118="sell_call"),$AE118,0)-IF(AND(OR($F118="buy_to_close",$F118="expire",$F118="roll",$F118="assignment",$F118="called_away"),$F118&lt;&gt;"roll"),$AE118,0))</f>
        <v/>
      </c>
      <c r="AR118" t="str">
        <f t="shared" si="30"/>
        <v/>
      </c>
      <c r="AS118" s="50" t="str">
        <f t="shared" si="31"/>
        <v/>
      </c>
      <c r="AT118" s="50" t="str">
        <f>IF($A118="","",MAX(IF($T118=IFERROR(LOOKUP(2,1/($B$9:$B$117=$B118),$T$9:$T117),0),IFERROR(LOOKUP(2,1/($B$9:$B$117=$B118),$AT$9:$AT117),0),0),$AS118))</f>
        <v/>
      </c>
      <c r="AU118" t="str">
        <f t="shared" si="32"/>
        <v/>
      </c>
      <c r="AV118" s="51">
        <f>IF($AU118="",0,IF(AND(IFERROR(LOOKUP(2,1/($B$9:$B$117=$B118),$AR$9:$AR117),1),NOT(AND(OR($F118="dividend",$F118="fee"),IFERROR(LOOKUP(2,1/($B$9:$B$117=$B118),$T$9:$T117),0)&gt;0))),ROW(),0))</f>
        <v>0</v>
      </c>
      <c r="AW118">
        <f>IF($A118="",0,IF($AV118&gt;0,MAX($AW$9:$AW$117)+1,MAX($AW$9:$AW$117)))</f>
        <v>0</v>
      </c>
      <c r="AX118">
        <f>IF($AU118="",0,IF(AND($AR118,OR(NOT(IFERROR(LOOKUP(2,1/($B$9:$B$117=$B118),$AR$9:$AR117),1)),IFERROR(LOOKUP(2,1/($B$9:$B$117=$B118),$T$9:$T117),0)=0)),ROW(),0))</f>
        <v>0</v>
      </c>
      <c r="AY118" t="str">
        <f t="shared" si="33"/>
        <v/>
      </c>
    </row>
    <row r="119" spans="1:51" ht="15" x14ac:dyDescent="0.25">
      <c r="A119" s="41" t="str">
        <f>IF(Trades!$A119="","",Trades!O119)</f>
        <v/>
      </c>
      <c r="B119" s="41" t="str">
        <f>IF(Trades!$A119="","",Trades!B119)</f>
        <v/>
      </c>
      <c r="C119" s="41" t="str">
        <f>IF(Trades!$A119="","",Trades!C119)</f>
        <v/>
      </c>
      <c r="D119" s="42" t="str">
        <f>IF(Trades!$A119="","",IF(Trades!$L119&gt;0,Trades!$L119,Trades!$C$6))</f>
        <v/>
      </c>
      <c r="E119" s="43" t="str">
        <f>IF(Trades!$A119="","",Trades!A119)</f>
        <v/>
      </c>
      <c r="F119" s="41" t="str">
        <f>IF(Trades!$A119="","",IFERROR(INDEX(Trades!$V$2:$V$14,MATCH(Trades!$E119,Trades!$U$2:$U$14,0)),""))</f>
        <v/>
      </c>
      <c r="G119" s="41" t="str">
        <f>IF(Trades!$A119="","",Trades!N119)</f>
        <v/>
      </c>
      <c r="H119" s="42" t="str">
        <f>IF(Trades!$A119="","",Trades!F119)</f>
        <v/>
      </c>
      <c r="I119" s="44" t="str">
        <f>IF(Trades!$A119="","",Trades!G119)</f>
        <v/>
      </c>
      <c r="J119" s="44" t="str">
        <f>IF(Trades!$A119="","",Trades!I119)</f>
        <v/>
      </c>
      <c r="K119" s="44" t="str">
        <f>IF(Trades!$A119="","",Trades!Q119)</f>
        <v/>
      </c>
      <c r="L119" s="42" t="str">
        <f>IF(Trades!$A119="","",Trades!F119)</f>
        <v/>
      </c>
      <c r="M119" s="44" t="str">
        <f>IF(Trades!$A119="","",Trades!M119)</f>
        <v/>
      </c>
      <c r="N119" s="44" t="str">
        <f>IF(Trades!$A119="","",Trades!R119)</f>
        <v/>
      </c>
      <c r="O119" s="44" t="str">
        <f>IF(Trades!$A119="","",Trades!J119)</f>
        <v/>
      </c>
      <c r="P119" s="43" t="str">
        <f>IF(Trades!$A119="","",Trades!H119)</f>
        <v/>
      </c>
      <c r="Q119" s="41" t="str">
        <f>IF(Trades!$A119="","",Trades!P119)</f>
        <v/>
      </c>
      <c r="R119" s="45" t="str">
        <f t="shared" si="17"/>
        <v/>
      </c>
      <c r="S119" s="45" t="str">
        <f t="shared" si="18"/>
        <v/>
      </c>
      <c r="T119" s="46" t="str">
        <f>IF(OR($A119="",$B119=""),"",IF(AND(IFERROR(LOOKUP(2,1/($B$9:$B$118=$B119),$AR$9:$AR118),1),NOT(AND(OR($F119="dividend",$F119="fee"),IFERROR(LOOKUP(2,1/($B$9:$B$118=$B119),$T$9:$T118),0)&gt;0))),IFERROR(LOOKUP(2,1/($B$9:$B$118=$B119),$T$9:$T118),0)+1,IFERROR(LOOKUP(2,1/($B$9:$B$118=$B119),$T$9:$T118),0)))</f>
        <v/>
      </c>
      <c r="U119" s="47" t="str">
        <f t="shared" si="19"/>
        <v/>
      </c>
      <c r="V119" s="47" t="str">
        <f>IF($A119="","",IF(OR($B119="",$C119="",$D119="",$E119="",$F119=""),"Missing required field",IF(COUNTIFS($A$9:$A119,$A119,$B$9:$B119,$B119)&gt;1,"Duplicate event ID",IF(AND($E119&lt;&gt;IFERROR(LOOKUP(2,1/($B$9:$B$118=$B119),$E$9:$E118),0),IFERROR(LOOKUP(2,1/($B$9:$B$118=$B119),$E$9:$E118),0)&gt;$E119),"Date out of order",IF(AND(OR($F119="buy_to_close",$F119="expire",$F119="roll",$F119="assignment",$F119="called_away"),$AF119=0),"Unknown lot",IF(OR(AND($F119="assignment",$AF119&gt;0,IF($AF119&gt;0,INDEX($AG$9:$AG$118,$AF119),"")&lt;&gt;"put"),AND($F119="called_away",$AF119&gt;0,IF($AF119&gt;0,INDEX($AG$9:$AG$118,$AF119),"")&lt;&gt;"call")),"Wrong option leg",IF(OR(AND(OR($F119="sell_put",$F119="sell_call"),OR($H119&lt;=0,$I119&lt;=0,$J119&lt;0)),AND(OR($F119="buy_to_close",$F119="expire",$F119="assignment",$F119="called_away"),OR($H119&lt;=0,$J119&lt;0)),AND($F119="roll",OR($H119&lt;=0,$I119&lt;=0,$J119&lt;0,$K119&lt;0)),AND(OR($F119="buy_shares",$F119="sell_shares"),OR($L119&lt;=0,$M119&lt;0)),AND(OR($F119="dividend",$F119="fee"),$N119&lt;0)),"Invalid value",IF(AND(OR($F119="sell_shares",$F119="called_away"),$AL119&lt;IF($F119="called_away",$AE119*$D119,$L119)),"Insufficient shares (capped)",IF(AND(OR($F119="buy_to_close",$F119="expire",$F119="roll",$F119="assignment",$F119="called_away"),$AF119&gt;0,$H119&gt;IF($AF119&gt;0,MAX(0,INDEX($AI$9:$AI$118,$AF119)-SUMIFS($AE$9:$AE$118,$G$9:$G$118,$G119,$B$9:$B$118,$B119)),0)),"Close quantity capped","OK")))))))))</f>
        <v/>
      </c>
      <c r="W119" s="48" t="str">
        <f t="shared" si="20"/>
        <v/>
      </c>
      <c r="X119" s="49" t="str">
        <f t="shared" si="21"/>
        <v/>
      </c>
      <c r="Y119" s="50" t="str">
        <f t="shared" si="22"/>
        <v/>
      </c>
      <c r="Z119" s="50" t="str">
        <f t="shared" si="23"/>
        <v/>
      </c>
      <c r="AA119" s="50" t="str">
        <f t="shared" si="24"/>
        <v/>
      </c>
      <c r="AB119" s="50" t="str">
        <f t="shared" si="25"/>
        <v/>
      </c>
      <c r="AC119" s="50" t="str">
        <f>IF($A119="","",IF($F119="assignment",IF($AF119&gt;0,INDEX($AH$9:$AH$118,$AF119),0)*$AE119*$D119,IF($F119="buy_shares",$M119*$AL119,0)))</f>
        <v/>
      </c>
      <c r="AD119" s="50" t="str">
        <f>IF($A119="","",IF($F119="called_away",IF($AF119&gt;0,INDEX($AH$9:$AH$118,$AF119),0)*$AL119,IF($F119="sell_shares",$M119*$AL119,0)))</f>
        <v/>
      </c>
      <c r="AE119" s="51" t="str">
        <f>IF($A119="","",IF(OR($F119="sell_put",$F119="sell_call"),IF(AND($H119&gt;0,$I119&gt;0,$J119&gt;=0),$H119,0),IF(OR($F119="buy_to_close",$F119="expire",$F119="roll",$F119="assignment",$F119="called_away"),IF(AND($AF119&gt;0,$H119&gt;0,IF($F119="assignment",IF($AF119&gt;0,INDEX($AG$9:$AG$118,$AF119),"")="put",TRUE),IF($F119="called_away",IF($AF119&gt;0,INDEX($AG$9:$AG$118,$AF119),"")="call",TRUE)),MIN($H119,IF($AF119&gt;0,MAX(0,INDEX($AI$9:$AI$118,$AF119)-SUMIFS($AE$9:$AE$118,$G$9:$G$118,$G119,$B$9:$B$118,$B119)),0)),0),0)))</f>
        <v/>
      </c>
      <c r="AF119" t="str">
        <f>IF($A119="","",IFERROR(MATCH(LEN($B119)&amp;":"&amp;$B119&amp;$G119,$AY$9:$AY$118,0),0))</f>
        <v/>
      </c>
      <c r="AG119" t="str">
        <f>IF($A119="","",IF($F119="sell_put","put",IF($F119="sell_call","call",IF($F119="roll",IF($AF119&gt;0,IF($AF119&gt;0,INDEX($AG$9:$AG$118,$AF119),""),""),IF($AF119&gt;0,IF($AF119&gt;0,INDEX($AG$9:$AG$118,$AF119),""),"")))))</f>
        <v/>
      </c>
      <c r="AH119" t="str">
        <f>IF($A119="","",IF(OR($F119="sell_put",$F119="sell_call",$F119="roll"),$I119,IF($AF119&gt;0,IF($AF119&gt;0,INDEX($AH$9:$AH$118,$AF119),0),0)))</f>
        <v/>
      </c>
      <c r="AI119" s="51" t="str">
        <f t="shared" si="26"/>
        <v/>
      </c>
      <c r="AJ119" s="51" t="str">
        <f>IF($A119="","",IFERROR(LOOKUP(2,1/($B$9:$B$118=$B119),$AM$9:$AM118),0))</f>
        <v/>
      </c>
      <c r="AK119" t="str">
        <f>IF($A119="","",IFERROR(LOOKUP(2,1/($B$9:$B$118=$B119),$AN$9:$AN118),0))</f>
        <v/>
      </c>
      <c r="AL119" s="51" t="str">
        <f t="shared" si="27"/>
        <v/>
      </c>
      <c r="AM119" s="51" t="str">
        <f t="shared" si="28"/>
        <v/>
      </c>
      <c r="AN119" t="str">
        <f t="shared" si="29"/>
        <v/>
      </c>
      <c r="AO119" s="50" t="str">
        <f>IF($A119="","",IFERROR(LOOKUP(2,1/($B$9:$B$118=$B119),$AO$9:$AO118),0)+IF($F119="sell_put",$I119*$AE119*$D119,IF($F119="roll",IF($AG119="put",($I119-IF($AF119&gt;0,INDEX($AH$9:$AH$118,$AF119),0))*$AE119*$D119,0),IF(AND(OR($F119="buy_to_close",$F119="expire",$F119="roll",$F119="assignment",$F119="called_away"),$F119&lt;&gt;"roll",$AG119="put"),-IF($AF119&gt;0,INDEX($AH$9:$AH$118,$AF119),0)*$AE119*$D119,0))))</f>
        <v/>
      </c>
      <c r="AP119" s="51" t="str">
        <f>IF($A119="","",IFERROR(LOOKUP(2,1/($B$9:$B$118=$B119),$AP$9:$AP118),0)+IF($F119="sell_put",$AE119*$D119,IF(AND(OR($F119="buy_to_close",$F119="expire",$F119="roll",$F119="assignment",$F119="called_away"),$F119&lt;&gt;"roll",$AG119="put"),-$AE119*$D119,0)))</f>
        <v/>
      </c>
      <c r="AQ119" s="51" t="str">
        <f>IF($A119="","",IFERROR(LOOKUP(2,1/($B$9:$B$118=$B119),$AQ$9:$AQ118),0)+IF(OR($F119="sell_put",$F119="sell_call"),$AE119,0)-IF(AND(OR($F119="buy_to_close",$F119="expire",$F119="roll",$F119="assignment",$F119="called_away"),$F119&lt;&gt;"roll"),$AE119,0))</f>
        <v/>
      </c>
      <c r="AR119" t="str">
        <f t="shared" si="30"/>
        <v/>
      </c>
      <c r="AS119" s="50" t="str">
        <f t="shared" si="31"/>
        <v/>
      </c>
      <c r="AT119" s="50" t="str">
        <f>IF($A119="","",MAX(IF($T119=IFERROR(LOOKUP(2,1/($B$9:$B$118=$B119),$T$9:$T118),0),IFERROR(LOOKUP(2,1/($B$9:$B$118=$B119),$AT$9:$AT118),0),0),$AS119))</f>
        <v/>
      </c>
      <c r="AU119" t="str">
        <f t="shared" si="32"/>
        <v/>
      </c>
      <c r="AV119" s="51">
        <f>IF($AU119="",0,IF(AND(IFERROR(LOOKUP(2,1/($B$9:$B$118=$B119),$AR$9:$AR118),1),NOT(AND(OR($F119="dividend",$F119="fee"),IFERROR(LOOKUP(2,1/($B$9:$B$118=$B119),$T$9:$T118),0)&gt;0))),ROW(),0))</f>
        <v>0</v>
      </c>
      <c r="AW119">
        <f>IF($A119="",0,IF($AV119&gt;0,MAX($AW$9:$AW$118)+1,MAX($AW$9:$AW$118)))</f>
        <v>0</v>
      </c>
      <c r="AX119">
        <f>IF($AU119="",0,IF(AND($AR119,OR(NOT(IFERROR(LOOKUP(2,1/($B$9:$B$118=$B119),$AR$9:$AR118),1)),IFERROR(LOOKUP(2,1/($B$9:$B$118=$B119),$T$9:$T118),0)=0)),ROW(),0))</f>
        <v>0</v>
      </c>
      <c r="AY119" t="str">
        <f t="shared" si="33"/>
        <v/>
      </c>
    </row>
    <row r="120" spans="1:51" ht="15" x14ac:dyDescent="0.25">
      <c r="A120" s="52" t="str">
        <f>IF(Trades!$A120="","",Trades!O120)</f>
        <v/>
      </c>
      <c r="B120" s="52" t="str">
        <f>IF(Trades!$A120="","",Trades!B120)</f>
        <v/>
      </c>
      <c r="C120" s="52" t="str">
        <f>IF(Trades!$A120="","",Trades!C120)</f>
        <v/>
      </c>
      <c r="D120" s="53" t="str">
        <f>IF(Trades!$A120="","",IF(Trades!$L120&gt;0,Trades!$L120,Trades!$C$6))</f>
        <v/>
      </c>
      <c r="E120" s="54" t="str">
        <f>IF(Trades!$A120="","",Trades!A120)</f>
        <v/>
      </c>
      <c r="F120" s="52" t="str">
        <f>IF(Trades!$A120="","",IFERROR(INDEX(Trades!$V$2:$V$14,MATCH(Trades!$E120,Trades!$U$2:$U$14,0)),""))</f>
        <v/>
      </c>
      <c r="G120" s="52" t="str">
        <f>IF(Trades!$A120="","",Trades!N120)</f>
        <v/>
      </c>
      <c r="H120" s="53" t="str">
        <f>IF(Trades!$A120="","",Trades!F120)</f>
        <v/>
      </c>
      <c r="I120" s="55" t="str">
        <f>IF(Trades!$A120="","",Trades!G120)</f>
        <v/>
      </c>
      <c r="J120" s="55" t="str">
        <f>IF(Trades!$A120="","",Trades!I120)</f>
        <v/>
      </c>
      <c r="K120" s="55" t="str">
        <f>IF(Trades!$A120="","",Trades!Q120)</f>
        <v/>
      </c>
      <c r="L120" s="53" t="str">
        <f>IF(Trades!$A120="","",Trades!F120)</f>
        <v/>
      </c>
      <c r="M120" s="55" t="str">
        <f>IF(Trades!$A120="","",Trades!M120)</f>
        <v/>
      </c>
      <c r="N120" s="55" t="str">
        <f>IF(Trades!$A120="","",Trades!R120)</f>
        <v/>
      </c>
      <c r="O120" s="55" t="str">
        <f>IF(Trades!$A120="","",Trades!J120)</f>
        <v/>
      </c>
      <c r="P120" s="54" t="str">
        <f>IF(Trades!$A120="","",Trades!H120)</f>
        <v/>
      </c>
      <c r="Q120" s="52" t="str">
        <f>IF(Trades!$A120="","",Trades!P120)</f>
        <v/>
      </c>
      <c r="R120" s="56" t="str">
        <f t="shared" si="17"/>
        <v/>
      </c>
      <c r="S120" s="56" t="str">
        <f t="shared" si="18"/>
        <v/>
      </c>
      <c r="T120" s="57" t="str">
        <f>IF(OR($A120="",$B120=""),"",IF(AND(IFERROR(LOOKUP(2,1/($B$9:$B$119=$B120),$AR$9:$AR119),1),NOT(AND(OR($F120="dividend",$F120="fee"),IFERROR(LOOKUP(2,1/($B$9:$B$119=$B120),$T$9:$T119),0)&gt;0))),IFERROR(LOOKUP(2,1/($B$9:$B$119=$B120),$T$9:$T119),0)+1,IFERROR(LOOKUP(2,1/($B$9:$B$119=$B120),$T$9:$T119),0)))</f>
        <v/>
      </c>
      <c r="U120" s="58" t="str">
        <f t="shared" si="19"/>
        <v/>
      </c>
      <c r="V120" s="58" t="str">
        <f>IF($A120="","",IF(OR($B120="",$C120="",$D120="",$E120="",$F120=""),"Missing required field",IF(COUNTIFS($A$9:$A120,$A120,$B$9:$B120,$B120)&gt;1,"Duplicate event ID",IF(AND($E120&lt;&gt;IFERROR(LOOKUP(2,1/($B$9:$B$119=$B120),$E$9:$E119),0),IFERROR(LOOKUP(2,1/($B$9:$B$119=$B120),$E$9:$E119),0)&gt;$E120),"Date out of order",IF(AND(OR($F120="buy_to_close",$F120="expire",$F120="roll",$F120="assignment",$F120="called_away"),$AF120=0),"Unknown lot",IF(OR(AND($F120="assignment",$AF120&gt;0,IF($AF120&gt;0,INDEX($AG$9:$AG$119,$AF120),"")&lt;&gt;"put"),AND($F120="called_away",$AF120&gt;0,IF($AF120&gt;0,INDEX($AG$9:$AG$119,$AF120),"")&lt;&gt;"call")),"Wrong option leg",IF(OR(AND(OR($F120="sell_put",$F120="sell_call"),OR($H120&lt;=0,$I120&lt;=0,$J120&lt;0)),AND(OR($F120="buy_to_close",$F120="expire",$F120="assignment",$F120="called_away"),OR($H120&lt;=0,$J120&lt;0)),AND($F120="roll",OR($H120&lt;=0,$I120&lt;=0,$J120&lt;0,$K120&lt;0)),AND(OR($F120="buy_shares",$F120="sell_shares"),OR($L120&lt;=0,$M120&lt;0)),AND(OR($F120="dividend",$F120="fee"),$N120&lt;0)),"Invalid value",IF(AND(OR($F120="sell_shares",$F120="called_away"),$AL120&lt;IF($F120="called_away",$AE120*$D120,$L120)),"Insufficient shares (capped)",IF(AND(OR($F120="buy_to_close",$F120="expire",$F120="roll",$F120="assignment",$F120="called_away"),$AF120&gt;0,$H120&gt;IF($AF120&gt;0,MAX(0,INDEX($AI$9:$AI$119,$AF120)-SUMIFS($AE$9:$AE$119,$G$9:$G$119,$G120,$B$9:$B$119,$B120)),0)),"Close quantity capped","OK")))))))))</f>
        <v/>
      </c>
      <c r="W120" s="59" t="str">
        <f t="shared" si="20"/>
        <v/>
      </c>
      <c r="X120" s="60" t="str">
        <f t="shared" si="21"/>
        <v/>
      </c>
      <c r="Y120" s="50" t="str">
        <f t="shared" si="22"/>
        <v/>
      </c>
      <c r="Z120" s="50" t="str">
        <f t="shared" si="23"/>
        <v/>
      </c>
      <c r="AA120" s="50" t="str">
        <f t="shared" si="24"/>
        <v/>
      </c>
      <c r="AB120" s="50" t="str">
        <f t="shared" si="25"/>
        <v/>
      </c>
      <c r="AC120" s="50" t="str">
        <f>IF($A120="","",IF($F120="assignment",IF($AF120&gt;0,INDEX($AH$9:$AH$119,$AF120),0)*$AE120*$D120,IF($F120="buy_shares",$M120*$AL120,0)))</f>
        <v/>
      </c>
      <c r="AD120" s="50" t="str">
        <f>IF($A120="","",IF($F120="called_away",IF($AF120&gt;0,INDEX($AH$9:$AH$119,$AF120),0)*$AL120,IF($F120="sell_shares",$M120*$AL120,0)))</f>
        <v/>
      </c>
      <c r="AE120" s="51" t="str">
        <f>IF($A120="","",IF(OR($F120="sell_put",$F120="sell_call"),IF(AND($H120&gt;0,$I120&gt;0,$J120&gt;=0),$H120,0),IF(OR($F120="buy_to_close",$F120="expire",$F120="roll",$F120="assignment",$F120="called_away"),IF(AND($AF120&gt;0,$H120&gt;0,IF($F120="assignment",IF($AF120&gt;0,INDEX($AG$9:$AG$119,$AF120),"")="put",TRUE),IF($F120="called_away",IF($AF120&gt;0,INDEX($AG$9:$AG$119,$AF120),"")="call",TRUE)),MIN($H120,IF($AF120&gt;0,MAX(0,INDEX($AI$9:$AI$119,$AF120)-SUMIFS($AE$9:$AE$119,$G$9:$G$119,$G120,$B$9:$B$119,$B120)),0)),0),0)))</f>
        <v/>
      </c>
      <c r="AF120" t="str">
        <f>IF($A120="","",IFERROR(MATCH(LEN($B120)&amp;":"&amp;$B120&amp;$G120,$AY$9:$AY$119,0),0))</f>
        <v/>
      </c>
      <c r="AG120" t="str">
        <f>IF($A120="","",IF($F120="sell_put","put",IF($F120="sell_call","call",IF($F120="roll",IF($AF120&gt;0,IF($AF120&gt;0,INDEX($AG$9:$AG$119,$AF120),""),""),IF($AF120&gt;0,IF($AF120&gt;0,INDEX($AG$9:$AG$119,$AF120),""),"")))))</f>
        <v/>
      </c>
      <c r="AH120" t="str">
        <f>IF($A120="","",IF(OR($F120="sell_put",$F120="sell_call",$F120="roll"),$I120,IF($AF120&gt;0,IF($AF120&gt;0,INDEX($AH$9:$AH$119,$AF120),0),0)))</f>
        <v/>
      </c>
      <c r="AI120" s="51" t="str">
        <f t="shared" si="26"/>
        <v/>
      </c>
      <c r="AJ120" s="51" t="str">
        <f>IF($A120="","",IFERROR(LOOKUP(2,1/($B$9:$B$119=$B120),$AM$9:$AM119),0))</f>
        <v/>
      </c>
      <c r="AK120" t="str">
        <f>IF($A120="","",IFERROR(LOOKUP(2,1/($B$9:$B$119=$B120),$AN$9:$AN119),0))</f>
        <v/>
      </c>
      <c r="AL120" s="51" t="str">
        <f t="shared" si="27"/>
        <v/>
      </c>
      <c r="AM120" s="51" t="str">
        <f t="shared" si="28"/>
        <v/>
      </c>
      <c r="AN120" t="str">
        <f t="shared" si="29"/>
        <v/>
      </c>
      <c r="AO120" s="50" t="str">
        <f>IF($A120="","",IFERROR(LOOKUP(2,1/($B$9:$B$119=$B120),$AO$9:$AO119),0)+IF($F120="sell_put",$I120*$AE120*$D120,IF($F120="roll",IF($AG120="put",($I120-IF($AF120&gt;0,INDEX($AH$9:$AH$119,$AF120),0))*$AE120*$D120,0),IF(AND(OR($F120="buy_to_close",$F120="expire",$F120="roll",$F120="assignment",$F120="called_away"),$F120&lt;&gt;"roll",$AG120="put"),-IF($AF120&gt;0,INDEX($AH$9:$AH$119,$AF120),0)*$AE120*$D120,0))))</f>
        <v/>
      </c>
      <c r="AP120" s="51" t="str">
        <f>IF($A120="","",IFERROR(LOOKUP(2,1/($B$9:$B$119=$B120),$AP$9:$AP119),0)+IF($F120="sell_put",$AE120*$D120,IF(AND(OR($F120="buy_to_close",$F120="expire",$F120="roll",$F120="assignment",$F120="called_away"),$F120&lt;&gt;"roll",$AG120="put"),-$AE120*$D120,0)))</f>
        <v/>
      </c>
      <c r="AQ120" s="51" t="str">
        <f>IF($A120="","",IFERROR(LOOKUP(2,1/($B$9:$B$119=$B120),$AQ$9:$AQ119),0)+IF(OR($F120="sell_put",$F120="sell_call"),$AE120,0)-IF(AND(OR($F120="buy_to_close",$F120="expire",$F120="roll",$F120="assignment",$F120="called_away"),$F120&lt;&gt;"roll"),$AE120,0))</f>
        <v/>
      </c>
      <c r="AR120" t="str">
        <f t="shared" si="30"/>
        <v/>
      </c>
      <c r="AS120" s="50" t="str">
        <f t="shared" si="31"/>
        <v/>
      </c>
      <c r="AT120" s="50" t="str">
        <f>IF($A120="","",MAX(IF($T120=IFERROR(LOOKUP(2,1/($B$9:$B$119=$B120),$T$9:$T119),0),IFERROR(LOOKUP(2,1/($B$9:$B$119=$B120),$AT$9:$AT119),0),0),$AS120))</f>
        <v/>
      </c>
      <c r="AU120" t="str">
        <f t="shared" si="32"/>
        <v/>
      </c>
      <c r="AV120" s="51">
        <f>IF($AU120="",0,IF(AND(IFERROR(LOOKUP(2,1/($B$9:$B$119=$B120),$AR$9:$AR119),1),NOT(AND(OR($F120="dividend",$F120="fee"),IFERROR(LOOKUP(2,1/($B$9:$B$119=$B120),$T$9:$T119),0)&gt;0))),ROW(),0))</f>
        <v>0</v>
      </c>
      <c r="AW120">
        <f>IF($A120="",0,IF($AV120&gt;0,MAX($AW$9:$AW$119)+1,MAX($AW$9:$AW$119)))</f>
        <v>0</v>
      </c>
      <c r="AX120">
        <f>IF($AU120="",0,IF(AND($AR120,OR(NOT(IFERROR(LOOKUP(2,1/($B$9:$B$119=$B120),$AR$9:$AR119),1)),IFERROR(LOOKUP(2,1/($B$9:$B$119=$B120),$T$9:$T119),0)=0)),ROW(),0))</f>
        <v>0</v>
      </c>
      <c r="AY120" t="str">
        <f t="shared" si="33"/>
        <v/>
      </c>
    </row>
    <row r="121" spans="1:51" ht="15" x14ac:dyDescent="0.25">
      <c r="A121" s="41" t="str">
        <f>IF(Trades!$A121="","",Trades!O121)</f>
        <v/>
      </c>
      <c r="B121" s="41" t="str">
        <f>IF(Trades!$A121="","",Trades!B121)</f>
        <v/>
      </c>
      <c r="C121" s="41" t="str">
        <f>IF(Trades!$A121="","",Trades!C121)</f>
        <v/>
      </c>
      <c r="D121" s="42" t="str">
        <f>IF(Trades!$A121="","",IF(Trades!$L121&gt;0,Trades!$L121,Trades!$C$6))</f>
        <v/>
      </c>
      <c r="E121" s="43" t="str">
        <f>IF(Trades!$A121="","",Trades!A121)</f>
        <v/>
      </c>
      <c r="F121" s="41" t="str">
        <f>IF(Trades!$A121="","",IFERROR(INDEX(Trades!$V$2:$V$14,MATCH(Trades!$E121,Trades!$U$2:$U$14,0)),""))</f>
        <v/>
      </c>
      <c r="G121" s="41" t="str">
        <f>IF(Trades!$A121="","",Trades!N121)</f>
        <v/>
      </c>
      <c r="H121" s="42" t="str">
        <f>IF(Trades!$A121="","",Trades!F121)</f>
        <v/>
      </c>
      <c r="I121" s="44" t="str">
        <f>IF(Trades!$A121="","",Trades!G121)</f>
        <v/>
      </c>
      <c r="J121" s="44" t="str">
        <f>IF(Trades!$A121="","",Trades!I121)</f>
        <v/>
      </c>
      <c r="K121" s="44" t="str">
        <f>IF(Trades!$A121="","",Trades!Q121)</f>
        <v/>
      </c>
      <c r="L121" s="42" t="str">
        <f>IF(Trades!$A121="","",Trades!F121)</f>
        <v/>
      </c>
      <c r="M121" s="44" t="str">
        <f>IF(Trades!$A121="","",Trades!M121)</f>
        <v/>
      </c>
      <c r="N121" s="44" t="str">
        <f>IF(Trades!$A121="","",Trades!R121)</f>
        <v/>
      </c>
      <c r="O121" s="44" t="str">
        <f>IF(Trades!$A121="","",Trades!J121)</f>
        <v/>
      </c>
      <c r="P121" s="43" t="str">
        <f>IF(Trades!$A121="","",Trades!H121)</f>
        <v/>
      </c>
      <c r="Q121" s="41" t="str">
        <f>IF(Trades!$A121="","",Trades!P121)</f>
        <v/>
      </c>
      <c r="R121" s="45" t="str">
        <f t="shared" si="17"/>
        <v/>
      </c>
      <c r="S121" s="45" t="str">
        <f t="shared" si="18"/>
        <v/>
      </c>
      <c r="T121" s="46" t="str">
        <f>IF(OR($A121="",$B121=""),"",IF(AND(IFERROR(LOOKUP(2,1/($B$9:$B$120=$B121),$AR$9:$AR120),1),NOT(AND(OR($F121="dividend",$F121="fee"),IFERROR(LOOKUP(2,1/($B$9:$B$120=$B121),$T$9:$T120),0)&gt;0))),IFERROR(LOOKUP(2,1/($B$9:$B$120=$B121),$T$9:$T120),0)+1,IFERROR(LOOKUP(2,1/($B$9:$B$120=$B121),$T$9:$T120),0)))</f>
        <v/>
      </c>
      <c r="U121" s="47" t="str">
        <f t="shared" si="19"/>
        <v/>
      </c>
      <c r="V121" s="47" t="str">
        <f>IF($A121="","",IF(OR($B121="",$C121="",$D121="",$E121="",$F121=""),"Missing required field",IF(COUNTIFS($A$9:$A121,$A121,$B$9:$B121,$B121)&gt;1,"Duplicate event ID",IF(AND($E121&lt;&gt;IFERROR(LOOKUP(2,1/($B$9:$B$120=$B121),$E$9:$E120),0),IFERROR(LOOKUP(2,1/($B$9:$B$120=$B121),$E$9:$E120),0)&gt;$E121),"Date out of order",IF(AND(OR($F121="buy_to_close",$F121="expire",$F121="roll",$F121="assignment",$F121="called_away"),$AF121=0),"Unknown lot",IF(OR(AND($F121="assignment",$AF121&gt;0,IF($AF121&gt;0,INDEX($AG$9:$AG$120,$AF121),"")&lt;&gt;"put"),AND($F121="called_away",$AF121&gt;0,IF($AF121&gt;0,INDEX($AG$9:$AG$120,$AF121),"")&lt;&gt;"call")),"Wrong option leg",IF(OR(AND(OR($F121="sell_put",$F121="sell_call"),OR($H121&lt;=0,$I121&lt;=0,$J121&lt;0)),AND(OR($F121="buy_to_close",$F121="expire",$F121="assignment",$F121="called_away"),OR($H121&lt;=0,$J121&lt;0)),AND($F121="roll",OR($H121&lt;=0,$I121&lt;=0,$J121&lt;0,$K121&lt;0)),AND(OR($F121="buy_shares",$F121="sell_shares"),OR($L121&lt;=0,$M121&lt;0)),AND(OR($F121="dividend",$F121="fee"),$N121&lt;0)),"Invalid value",IF(AND(OR($F121="sell_shares",$F121="called_away"),$AL121&lt;IF($F121="called_away",$AE121*$D121,$L121)),"Insufficient shares (capped)",IF(AND(OR($F121="buy_to_close",$F121="expire",$F121="roll",$F121="assignment",$F121="called_away"),$AF121&gt;0,$H121&gt;IF($AF121&gt;0,MAX(0,INDEX($AI$9:$AI$120,$AF121)-SUMIFS($AE$9:$AE$120,$G$9:$G$120,$G121,$B$9:$B$120,$B121)),0)),"Close quantity capped","OK")))))))))</f>
        <v/>
      </c>
      <c r="W121" s="48" t="str">
        <f t="shared" si="20"/>
        <v/>
      </c>
      <c r="X121" s="49" t="str">
        <f t="shared" si="21"/>
        <v/>
      </c>
      <c r="Y121" s="50" t="str">
        <f t="shared" si="22"/>
        <v/>
      </c>
      <c r="Z121" s="50" t="str">
        <f t="shared" si="23"/>
        <v/>
      </c>
      <c r="AA121" s="50" t="str">
        <f t="shared" si="24"/>
        <v/>
      </c>
      <c r="AB121" s="50" t="str">
        <f t="shared" si="25"/>
        <v/>
      </c>
      <c r="AC121" s="50" t="str">
        <f>IF($A121="","",IF($F121="assignment",IF($AF121&gt;0,INDEX($AH$9:$AH$120,$AF121),0)*$AE121*$D121,IF($F121="buy_shares",$M121*$AL121,0)))</f>
        <v/>
      </c>
      <c r="AD121" s="50" t="str">
        <f>IF($A121="","",IF($F121="called_away",IF($AF121&gt;0,INDEX($AH$9:$AH$120,$AF121),0)*$AL121,IF($F121="sell_shares",$M121*$AL121,0)))</f>
        <v/>
      </c>
      <c r="AE121" s="51" t="str">
        <f>IF($A121="","",IF(OR($F121="sell_put",$F121="sell_call"),IF(AND($H121&gt;0,$I121&gt;0,$J121&gt;=0),$H121,0),IF(OR($F121="buy_to_close",$F121="expire",$F121="roll",$F121="assignment",$F121="called_away"),IF(AND($AF121&gt;0,$H121&gt;0,IF($F121="assignment",IF($AF121&gt;0,INDEX($AG$9:$AG$120,$AF121),"")="put",TRUE),IF($F121="called_away",IF($AF121&gt;0,INDEX($AG$9:$AG$120,$AF121),"")="call",TRUE)),MIN($H121,IF($AF121&gt;0,MAX(0,INDEX($AI$9:$AI$120,$AF121)-SUMIFS($AE$9:$AE$120,$G$9:$G$120,$G121,$B$9:$B$120,$B121)),0)),0),0)))</f>
        <v/>
      </c>
      <c r="AF121" t="str">
        <f>IF($A121="","",IFERROR(MATCH(LEN($B121)&amp;":"&amp;$B121&amp;$G121,$AY$9:$AY$120,0),0))</f>
        <v/>
      </c>
      <c r="AG121" t="str">
        <f>IF($A121="","",IF($F121="sell_put","put",IF($F121="sell_call","call",IF($F121="roll",IF($AF121&gt;0,IF($AF121&gt;0,INDEX($AG$9:$AG$120,$AF121),""),""),IF($AF121&gt;0,IF($AF121&gt;0,INDEX($AG$9:$AG$120,$AF121),""),"")))))</f>
        <v/>
      </c>
      <c r="AH121" t="str">
        <f>IF($A121="","",IF(OR($F121="sell_put",$F121="sell_call",$F121="roll"),$I121,IF($AF121&gt;0,IF($AF121&gt;0,INDEX($AH$9:$AH$120,$AF121),0),0)))</f>
        <v/>
      </c>
      <c r="AI121" s="51" t="str">
        <f t="shared" si="26"/>
        <v/>
      </c>
      <c r="AJ121" s="51" t="str">
        <f>IF($A121="","",IFERROR(LOOKUP(2,1/($B$9:$B$120=$B121),$AM$9:$AM120),0))</f>
        <v/>
      </c>
      <c r="AK121" t="str">
        <f>IF($A121="","",IFERROR(LOOKUP(2,1/($B$9:$B$120=$B121),$AN$9:$AN120),0))</f>
        <v/>
      </c>
      <c r="AL121" s="51" t="str">
        <f t="shared" si="27"/>
        <v/>
      </c>
      <c r="AM121" s="51" t="str">
        <f t="shared" si="28"/>
        <v/>
      </c>
      <c r="AN121" t="str">
        <f t="shared" si="29"/>
        <v/>
      </c>
      <c r="AO121" s="50" t="str">
        <f>IF($A121="","",IFERROR(LOOKUP(2,1/($B$9:$B$120=$B121),$AO$9:$AO120),0)+IF($F121="sell_put",$I121*$AE121*$D121,IF($F121="roll",IF($AG121="put",($I121-IF($AF121&gt;0,INDEX($AH$9:$AH$120,$AF121),0))*$AE121*$D121,0),IF(AND(OR($F121="buy_to_close",$F121="expire",$F121="roll",$F121="assignment",$F121="called_away"),$F121&lt;&gt;"roll",$AG121="put"),-IF($AF121&gt;0,INDEX($AH$9:$AH$120,$AF121),0)*$AE121*$D121,0))))</f>
        <v/>
      </c>
      <c r="AP121" s="51" t="str">
        <f>IF($A121="","",IFERROR(LOOKUP(2,1/($B$9:$B$120=$B121),$AP$9:$AP120),0)+IF($F121="sell_put",$AE121*$D121,IF(AND(OR($F121="buy_to_close",$F121="expire",$F121="roll",$F121="assignment",$F121="called_away"),$F121&lt;&gt;"roll",$AG121="put"),-$AE121*$D121,0)))</f>
        <v/>
      </c>
      <c r="AQ121" s="51" t="str">
        <f>IF($A121="","",IFERROR(LOOKUP(2,1/($B$9:$B$120=$B121),$AQ$9:$AQ120),0)+IF(OR($F121="sell_put",$F121="sell_call"),$AE121,0)-IF(AND(OR($F121="buy_to_close",$F121="expire",$F121="roll",$F121="assignment",$F121="called_away"),$F121&lt;&gt;"roll"),$AE121,0))</f>
        <v/>
      </c>
      <c r="AR121" t="str">
        <f t="shared" si="30"/>
        <v/>
      </c>
      <c r="AS121" s="50" t="str">
        <f t="shared" si="31"/>
        <v/>
      </c>
      <c r="AT121" s="50" t="str">
        <f>IF($A121="","",MAX(IF($T121=IFERROR(LOOKUP(2,1/($B$9:$B$120=$B121),$T$9:$T120),0),IFERROR(LOOKUP(2,1/($B$9:$B$120=$B121),$AT$9:$AT120),0),0),$AS121))</f>
        <v/>
      </c>
      <c r="AU121" t="str">
        <f t="shared" si="32"/>
        <v/>
      </c>
      <c r="AV121" s="51">
        <f>IF($AU121="",0,IF(AND(IFERROR(LOOKUP(2,1/($B$9:$B$120=$B121),$AR$9:$AR120),1),NOT(AND(OR($F121="dividend",$F121="fee"),IFERROR(LOOKUP(2,1/($B$9:$B$120=$B121),$T$9:$T120),0)&gt;0))),ROW(),0))</f>
        <v>0</v>
      </c>
      <c r="AW121">
        <f>IF($A121="",0,IF($AV121&gt;0,MAX($AW$9:$AW$120)+1,MAX($AW$9:$AW$120)))</f>
        <v>0</v>
      </c>
      <c r="AX121">
        <f>IF($AU121="",0,IF(AND($AR121,OR(NOT(IFERROR(LOOKUP(2,1/($B$9:$B$120=$B121),$AR$9:$AR120),1)),IFERROR(LOOKUP(2,1/($B$9:$B$120=$B121),$T$9:$T120),0)=0)),ROW(),0))</f>
        <v>0</v>
      </c>
      <c r="AY121" t="str">
        <f t="shared" si="33"/>
        <v/>
      </c>
    </row>
    <row r="122" spans="1:51" ht="15" x14ac:dyDescent="0.25">
      <c r="A122" s="52" t="str">
        <f>IF(Trades!$A122="","",Trades!O122)</f>
        <v/>
      </c>
      <c r="B122" s="52" t="str">
        <f>IF(Trades!$A122="","",Trades!B122)</f>
        <v/>
      </c>
      <c r="C122" s="52" t="str">
        <f>IF(Trades!$A122="","",Trades!C122)</f>
        <v/>
      </c>
      <c r="D122" s="53" t="str">
        <f>IF(Trades!$A122="","",IF(Trades!$L122&gt;0,Trades!$L122,Trades!$C$6))</f>
        <v/>
      </c>
      <c r="E122" s="54" t="str">
        <f>IF(Trades!$A122="","",Trades!A122)</f>
        <v/>
      </c>
      <c r="F122" s="52" t="str">
        <f>IF(Trades!$A122="","",IFERROR(INDEX(Trades!$V$2:$V$14,MATCH(Trades!$E122,Trades!$U$2:$U$14,0)),""))</f>
        <v/>
      </c>
      <c r="G122" s="52" t="str">
        <f>IF(Trades!$A122="","",Trades!N122)</f>
        <v/>
      </c>
      <c r="H122" s="53" t="str">
        <f>IF(Trades!$A122="","",Trades!F122)</f>
        <v/>
      </c>
      <c r="I122" s="55" t="str">
        <f>IF(Trades!$A122="","",Trades!G122)</f>
        <v/>
      </c>
      <c r="J122" s="55" t="str">
        <f>IF(Trades!$A122="","",Trades!I122)</f>
        <v/>
      </c>
      <c r="K122" s="55" t="str">
        <f>IF(Trades!$A122="","",Trades!Q122)</f>
        <v/>
      </c>
      <c r="L122" s="53" t="str">
        <f>IF(Trades!$A122="","",Trades!F122)</f>
        <v/>
      </c>
      <c r="M122" s="55" t="str">
        <f>IF(Trades!$A122="","",Trades!M122)</f>
        <v/>
      </c>
      <c r="N122" s="55" t="str">
        <f>IF(Trades!$A122="","",Trades!R122)</f>
        <v/>
      </c>
      <c r="O122" s="55" t="str">
        <f>IF(Trades!$A122="","",Trades!J122)</f>
        <v/>
      </c>
      <c r="P122" s="54" t="str">
        <f>IF(Trades!$A122="","",Trades!H122)</f>
        <v/>
      </c>
      <c r="Q122" s="52" t="str">
        <f>IF(Trades!$A122="","",Trades!P122)</f>
        <v/>
      </c>
      <c r="R122" s="56" t="str">
        <f t="shared" si="17"/>
        <v/>
      </c>
      <c r="S122" s="56" t="str">
        <f t="shared" si="18"/>
        <v/>
      </c>
      <c r="T122" s="57" t="str">
        <f>IF(OR($A122="",$B122=""),"",IF(AND(IFERROR(LOOKUP(2,1/($B$9:$B$121=$B122),$AR$9:$AR121),1),NOT(AND(OR($F122="dividend",$F122="fee"),IFERROR(LOOKUP(2,1/($B$9:$B$121=$B122),$T$9:$T121),0)&gt;0))),IFERROR(LOOKUP(2,1/($B$9:$B$121=$B122),$T$9:$T121),0)+1,IFERROR(LOOKUP(2,1/($B$9:$B$121=$B122),$T$9:$T121),0)))</f>
        <v/>
      </c>
      <c r="U122" s="58" t="str">
        <f t="shared" si="19"/>
        <v/>
      </c>
      <c r="V122" s="58" t="str">
        <f>IF($A122="","",IF(OR($B122="",$C122="",$D122="",$E122="",$F122=""),"Missing required field",IF(COUNTIFS($A$9:$A122,$A122,$B$9:$B122,$B122)&gt;1,"Duplicate event ID",IF(AND($E122&lt;&gt;IFERROR(LOOKUP(2,1/($B$9:$B$121=$B122),$E$9:$E121),0),IFERROR(LOOKUP(2,1/($B$9:$B$121=$B122),$E$9:$E121),0)&gt;$E122),"Date out of order",IF(AND(OR($F122="buy_to_close",$F122="expire",$F122="roll",$F122="assignment",$F122="called_away"),$AF122=0),"Unknown lot",IF(OR(AND($F122="assignment",$AF122&gt;0,IF($AF122&gt;0,INDEX($AG$9:$AG$121,$AF122),"")&lt;&gt;"put"),AND($F122="called_away",$AF122&gt;0,IF($AF122&gt;0,INDEX($AG$9:$AG$121,$AF122),"")&lt;&gt;"call")),"Wrong option leg",IF(OR(AND(OR($F122="sell_put",$F122="sell_call"),OR($H122&lt;=0,$I122&lt;=0,$J122&lt;0)),AND(OR($F122="buy_to_close",$F122="expire",$F122="assignment",$F122="called_away"),OR($H122&lt;=0,$J122&lt;0)),AND($F122="roll",OR($H122&lt;=0,$I122&lt;=0,$J122&lt;0,$K122&lt;0)),AND(OR($F122="buy_shares",$F122="sell_shares"),OR($L122&lt;=0,$M122&lt;0)),AND(OR($F122="dividend",$F122="fee"),$N122&lt;0)),"Invalid value",IF(AND(OR($F122="sell_shares",$F122="called_away"),$AL122&lt;IF($F122="called_away",$AE122*$D122,$L122)),"Insufficient shares (capped)",IF(AND(OR($F122="buy_to_close",$F122="expire",$F122="roll",$F122="assignment",$F122="called_away"),$AF122&gt;0,$H122&gt;IF($AF122&gt;0,MAX(0,INDEX($AI$9:$AI$121,$AF122)-SUMIFS($AE$9:$AE$121,$G$9:$G$121,$G122,$B$9:$B$121,$B122)),0)),"Close quantity capped","OK")))))))))</f>
        <v/>
      </c>
      <c r="W122" s="59" t="str">
        <f t="shared" si="20"/>
        <v/>
      </c>
      <c r="X122" s="60" t="str">
        <f t="shared" si="21"/>
        <v/>
      </c>
      <c r="Y122" s="50" t="str">
        <f t="shared" si="22"/>
        <v/>
      </c>
      <c r="Z122" s="50" t="str">
        <f t="shared" si="23"/>
        <v/>
      </c>
      <c r="AA122" s="50" t="str">
        <f t="shared" si="24"/>
        <v/>
      </c>
      <c r="AB122" s="50" t="str">
        <f t="shared" si="25"/>
        <v/>
      </c>
      <c r="AC122" s="50" t="str">
        <f>IF($A122="","",IF($F122="assignment",IF($AF122&gt;0,INDEX($AH$9:$AH$121,$AF122),0)*$AE122*$D122,IF($F122="buy_shares",$M122*$AL122,0)))</f>
        <v/>
      </c>
      <c r="AD122" s="50" t="str">
        <f>IF($A122="","",IF($F122="called_away",IF($AF122&gt;0,INDEX($AH$9:$AH$121,$AF122),0)*$AL122,IF($F122="sell_shares",$M122*$AL122,0)))</f>
        <v/>
      </c>
      <c r="AE122" s="51" t="str">
        <f>IF($A122="","",IF(OR($F122="sell_put",$F122="sell_call"),IF(AND($H122&gt;0,$I122&gt;0,$J122&gt;=0),$H122,0),IF(OR($F122="buy_to_close",$F122="expire",$F122="roll",$F122="assignment",$F122="called_away"),IF(AND($AF122&gt;0,$H122&gt;0,IF($F122="assignment",IF($AF122&gt;0,INDEX($AG$9:$AG$121,$AF122),"")="put",TRUE),IF($F122="called_away",IF($AF122&gt;0,INDEX($AG$9:$AG$121,$AF122),"")="call",TRUE)),MIN($H122,IF($AF122&gt;0,MAX(0,INDEX($AI$9:$AI$121,$AF122)-SUMIFS($AE$9:$AE$121,$G$9:$G$121,$G122,$B$9:$B$121,$B122)),0)),0),0)))</f>
        <v/>
      </c>
      <c r="AF122" t="str">
        <f>IF($A122="","",IFERROR(MATCH(LEN($B122)&amp;":"&amp;$B122&amp;$G122,$AY$9:$AY$121,0),0))</f>
        <v/>
      </c>
      <c r="AG122" t="str">
        <f>IF($A122="","",IF($F122="sell_put","put",IF($F122="sell_call","call",IF($F122="roll",IF($AF122&gt;0,IF($AF122&gt;0,INDEX($AG$9:$AG$121,$AF122),""),""),IF($AF122&gt;0,IF($AF122&gt;0,INDEX($AG$9:$AG$121,$AF122),""),"")))))</f>
        <v/>
      </c>
      <c r="AH122" t="str">
        <f>IF($A122="","",IF(OR($F122="sell_put",$F122="sell_call",$F122="roll"),$I122,IF($AF122&gt;0,IF($AF122&gt;0,INDEX($AH$9:$AH$121,$AF122),0),0)))</f>
        <v/>
      </c>
      <c r="AI122" s="51" t="str">
        <f t="shared" si="26"/>
        <v/>
      </c>
      <c r="AJ122" s="51" t="str">
        <f>IF($A122="","",IFERROR(LOOKUP(2,1/($B$9:$B$121=$B122),$AM$9:$AM121),0))</f>
        <v/>
      </c>
      <c r="AK122" t="str">
        <f>IF($A122="","",IFERROR(LOOKUP(2,1/($B$9:$B$121=$B122),$AN$9:$AN121),0))</f>
        <v/>
      </c>
      <c r="AL122" s="51" t="str">
        <f t="shared" si="27"/>
        <v/>
      </c>
      <c r="AM122" s="51" t="str">
        <f t="shared" si="28"/>
        <v/>
      </c>
      <c r="AN122" t="str">
        <f t="shared" si="29"/>
        <v/>
      </c>
      <c r="AO122" s="50" t="str">
        <f>IF($A122="","",IFERROR(LOOKUP(2,1/($B$9:$B$121=$B122),$AO$9:$AO121),0)+IF($F122="sell_put",$I122*$AE122*$D122,IF($F122="roll",IF($AG122="put",($I122-IF($AF122&gt;0,INDEX($AH$9:$AH$121,$AF122),0))*$AE122*$D122,0),IF(AND(OR($F122="buy_to_close",$F122="expire",$F122="roll",$F122="assignment",$F122="called_away"),$F122&lt;&gt;"roll",$AG122="put"),-IF($AF122&gt;0,INDEX($AH$9:$AH$121,$AF122),0)*$AE122*$D122,0))))</f>
        <v/>
      </c>
      <c r="AP122" s="51" t="str">
        <f>IF($A122="","",IFERROR(LOOKUP(2,1/($B$9:$B$121=$B122),$AP$9:$AP121),0)+IF($F122="sell_put",$AE122*$D122,IF(AND(OR($F122="buy_to_close",$F122="expire",$F122="roll",$F122="assignment",$F122="called_away"),$F122&lt;&gt;"roll",$AG122="put"),-$AE122*$D122,0)))</f>
        <v/>
      </c>
      <c r="AQ122" s="51" t="str">
        <f>IF($A122="","",IFERROR(LOOKUP(2,1/($B$9:$B$121=$B122),$AQ$9:$AQ121),0)+IF(OR($F122="sell_put",$F122="sell_call"),$AE122,0)-IF(AND(OR($F122="buy_to_close",$F122="expire",$F122="roll",$F122="assignment",$F122="called_away"),$F122&lt;&gt;"roll"),$AE122,0))</f>
        <v/>
      </c>
      <c r="AR122" t="str">
        <f t="shared" si="30"/>
        <v/>
      </c>
      <c r="AS122" s="50" t="str">
        <f t="shared" si="31"/>
        <v/>
      </c>
      <c r="AT122" s="50" t="str">
        <f>IF($A122="","",MAX(IF($T122=IFERROR(LOOKUP(2,1/($B$9:$B$121=$B122),$T$9:$T121),0),IFERROR(LOOKUP(2,1/($B$9:$B$121=$B122),$AT$9:$AT121),0),0),$AS122))</f>
        <v/>
      </c>
      <c r="AU122" t="str">
        <f t="shared" si="32"/>
        <v/>
      </c>
      <c r="AV122" s="51">
        <f>IF($AU122="",0,IF(AND(IFERROR(LOOKUP(2,1/($B$9:$B$121=$B122),$AR$9:$AR121),1),NOT(AND(OR($F122="dividend",$F122="fee"),IFERROR(LOOKUP(2,1/($B$9:$B$121=$B122),$T$9:$T121),0)&gt;0))),ROW(),0))</f>
        <v>0</v>
      </c>
      <c r="AW122">
        <f>IF($A122="",0,IF($AV122&gt;0,MAX($AW$9:$AW$121)+1,MAX($AW$9:$AW$121)))</f>
        <v>0</v>
      </c>
      <c r="AX122">
        <f>IF($AU122="",0,IF(AND($AR122,OR(NOT(IFERROR(LOOKUP(2,1/($B$9:$B$121=$B122),$AR$9:$AR121),1)),IFERROR(LOOKUP(2,1/($B$9:$B$121=$B122),$T$9:$T121),0)=0)),ROW(),0))</f>
        <v>0</v>
      </c>
      <c r="AY122" t="str">
        <f t="shared" si="33"/>
        <v/>
      </c>
    </row>
    <row r="123" spans="1:51" ht="15" x14ac:dyDescent="0.25">
      <c r="A123" s="41" t="str">
        <f>IF(Trades!$A123="","",Trades!O123)</f>
        <v/>
      </c>
      <c r="B123" s="41" t="str">
        <f>IF(Trades!$A123="","",Trades!B123)</f>
        <v/>
      </c>
      <c r="C123" s="41" t="str">
        <f>IF(Trades!$A123="","",Trades!C123)</f>
        <v/>
      </c>
      <c r="D123" s="42" t="str">
        <f>IF(Trades!$A123="","",IF(Trades!$L123&gt;0,Trades!$L123,Trades!$C$6))</f>
        <v/>
      </c>
      <c r="E123" s="43" t="str">
        <f>IF(Trades!$A123="","",Trades!A123)</f>
        <v/>
      </c>
      <c r="F123" s="41" t="str">
        <f>IF(Trades!$A123="","",IFERROR(INDEX(Trades!$V$2:$V$14,MATCH(Trades!$E123,Trades!$U$2:$U$14,0)),""))</f>
        <v/>
      </c>
      <c r="G123" s="41" t="str">
        <f>IF(Trades!$A123="","",Trades!N123)</f>
        <v/>
      </c>
      <c r="H123" s="42" t="str">
        <f>IF(Trades!$A123="","",Trades!F123)</f>
        <v/>
      </c>
      <c r="I123" s="44" t="str">
        <f>IF(Trades!$A123="","",Trades!G123)</f>
        <v/>
      </c>
      <c r="J123" s="44" t="str">
        <f>IF(Trades!$A123="","",Trades!I123)</f>
        <v/>
      </c>
      <c r="K123" s="44" t="str">
        <f>IF(Trades!$A123="","",Trades!Q123)</f>
        <v/>
      </c>
      <c r="L123" s="42" t="str">
        <f>IF(Trades!$A123="","",Trades!F123)</f>
        <v/>
      </c>
      <c r="M123" s="44" t="str">
        <f>IF(Trades!$A123="","",Trades!M123)</f>
        <v/>
      </c>
      <c r="N123" s="44" t="str">
        <f>IF(Trades!$A123="","",Trades!R123)</f>
        <v/>
      </c>
      <c r="O123" s="44" t="str">
        <f>IF(Trades!$A123="","",Trades!J123)</f>
        <v/>
      </c>
      <c r="P123" s="43" t="str">
        <f>IF(Trades!$A123="","",Trades!H123)</f>
        <v/>
      </c>
      <c r="Q123" s="41" t="str">
        <f>IF(Trades!$A123="","",Trades!P123)</f>
        <v/>
      </c>
      <c r="R123" s="45" t="str">
        <f t="shared" si="17"/>
        <v/>
      </c>
      <c r="S123" s="45" t="str">
        <f t="shared" si="18"/>
        <v/>
      </c>
      <c r="T123" s="46" t="str">
        <f>IF(OR($A123="",$B123=""),"",IF(AND(IFERROR(LOOKUP(2,1/($B$9:$B$122=$B123),$AR$9:$AR122),1),NOT(AND(OR($F123="dividend",$F123="fee"),IFERROR(LOOKUP(2,1/($B$9:$B$122=$B123),$T$9:$T122),0)&gt;0))),IFERROR(LOOKUP(2,1/($B$9:$B$122=$B123),$T$9:$T122),0)+1,IFERROR(LOOKUP(2,1/($B$9:$B$122=$B123),$T$9:$T122),0)))</f>
        <v/>
      </c>
      <c r="U123" s="47" t="str">
        <f t="shared" si="19"/>
        <v/>
      </c>
      <c r="V123" s="47" t="str">
        <f>IF($A123="","",IF(OR($B123="",$C123="",$D123="",$E123="",$F123=""),"Missing required field",IF(COUNTIFS($A$9:$A123,$A123,$B$9:$B123,$B123)&gt;1,"Duplicate event ID",IF(AND($E123&lt;&gt;IFERROR(LOOKUP(2,1/($B$9:$B$122=$B123),$E$9:$E122),0),IFERROR(LOOKUP(2,1/($B$9:$B$122=$B123),$E$9:$E122),0)&gt;$E123),"Date out of order",IF(AND(OR($F123="buy_to_close",$F123="expire",$F123="roll",$F123="assignment",$F123="called_away"),$AF123=0),"Unknown lot",IF(OR(AND($F123="assignment",$AF123&gt;0,IF($AF123&gt;0,INDEX($AG$9:$AG$122,$AF123),"")&lt;&gt;"put"),AND($F123="called_away",$AF123&gt;0,IF($AF123&gt;0,INDEX($AG$9:$AG$122,$AF123),"")&lt;&gt;"call")),"Wrong option leg",IF(OR(AND(OR($F123="sell_put",$F123="sell_call"),OR($H123&lt;=0,$I123&lt;=0,$J123&lt;0)),AND(OR($F123="buy_to_close",$F123="expire",$F123="assignment",$F123="called_away"),OR($H123&lt;=0,$J123&lt;0)),AND($F123="roll",OR($H123&lt;=0,$I123&lt;=0,$J123&lt;0,$K123&lt;0)),AND(OR($F123="buy_shares",$F123="sell_shares"),OR($L123&lt;=0,$M123&lt;0)),AND(OR($F123="dividend",$F123="fee"),$N123&lt;0)),"Invalid value",IF(AND(OR($F123="sell_shares",$F123="called_away"),$AL123&lt;IF($F123="called_away",$AE123*$D123,$L123)),"Insufficient shares (capped)",IF(AND(OR($F123="buy_to_close",$F123="expire",$F123="roll",$F123="assignment",$F123="called_away"),$AF123&gt;0,$H123&gt;IF($AF123&gt;0,MAX(0,INDEX($AI$9:$AI$122,$AF123)-SUMIFS($AE$9:$AE$122,$G$9:$G$122,$G123,$B$9:$B$122,$B123)),0)),"Close quantity capped","OK")))))))))</f>
        <v/>
      </c>
      <c r="W123" s="48" t="str">
        <f t="shared" si="20"/>
        <v/>
      </c>
      <c r="X123" s="49" t="str">
        <f t="shared" si="21"/>
        <v/>
      </c>
      <c r="Y123" s="50" t="str">
        <f t="shared" si="22"/>
        <v/>
      </c>
      <c r="Z123" s="50" t="str">
        <f t="shared" si="23"/>
        <v/>
      </c>
      <c r="AA123" s="50" t="str">
        <f t="shared" si="24"/>
        <v/>
      </c>
      <c r="AB123" s="50" t="str">
        <f t="shared" si="25"/>
        <v/>
      </c>
      <c r="AC123" s="50" t="str">
        <f>IF($A123="","",IF($F123="assignment",IF($AF123&gt;0,INDEX($AH$9:$AH$122,$AF123),0)*$AE123*$D123,IF($F123="buy_shares",$M123*$AL123,0)))</f>
        <v/>
      </c>
      <c r="AD123" s="50" t="str">
        <f>IF($A123="","",IF($F123="called_away",IF($AF123&gt;0,INDEX($AH$9:$AH$122,$AF123),0)*$AL123,IF($F123="sell_shares",$M123*$AL123,0)))</f>
        <v/>
      </c>
      <c r="AE123" s="51" t="str">
        <f>IF($A123="","",IF(OR($F123="sell_put",$F123="sell_call"),IF(AND($H123&gt;0,$I123&gt;0,$J123&gt;=0),$H123,0),IF(OR($F123="buy_to_close",$F123="expire",$F123="roll",$F123="assignment",$F123="called_away"),IF(AND($AF123&gt;0,$H123&gt;0,IF($F123="assignment",IF($AF123&gt;0,INDEX($AG$9:$AG$122,$AF123),"")="put",TRUE),IF($F123="called_away",IF($AF123&gt;0,INDEX($AG$9:$AG$122,$AF123),"")="call",TRUE)),MIN($H123,IF($AF123&gt;0,MAX(0,INDEX($AI$9:$AI$122,$AF123)-SUMIFS($AE$9:$AE$122,$G$9:$G$122,$G123,$B$9:$B$122,$B123)),0)),0),0)))</f>
        <v/>
      </c>
      <c r="AF123" t="str">
        <f>IF($A123="","",IFERROR(MATCH(LEN($B123)&amp;":"&amp;$B123&amp;$G123,$AY$9:$AY$122,0),0))</f>
        <v/>
      </c>
      <c r="AG123" t="str">
        <f>IF($A123="","",IF($F123="sell_put","put",IF($F123="sell_call","call",IF($F123="roll",IF($AF123&gt;0,IF($AF123&gt;0,INDEX($AG$9:$AG$122,$AF123),""),""),IF($AF123&gt;0,IF($AF123&gt;0,INDEX($AG$9:$AG$122,$AF123),""),"")))))</f>
        <v/>
      </c>
      <c r="AH123" t="str">
        <f>IF($A123="","",IF(OR($F123="sell_put",$F123="sell_call",$F123="roll"),$I123,IF($AF123&gt;0,IF($AF123&gt;0,INDEX($AH$9:$AH$122,$AF123),0),0)))</f>
        <v/>
      </c>
      <c r="AI123" s="51" t="str">
        <f t="shared" si="26"/>
        <v/>
      </c>
      <c r="AJ123" s="51" t="str">
        <f>IF($A123="","",IFERROR(LOOKUP(2,1/($B$9:$B$122=$B123),$AM$9:$AM122),0))</f>
        <v/>
      </c>
      <c r="AK123" t="str">
        <f>IF($A123="","",IFERROR(LOOKUP(2,1/($B$9:$B$122=$B123),$AN$9:$AN122),0))</f>
        <v/>
      </c>
      <c r="AL123" s="51" t="str">
        <f t="shared" si="27"/>
        <v/>
      </c>
      <c r="AM123" s="51" t="str">
        <f t="shared" si="28"/>
        <v/>
      </c>
      <c r="AN123" t="str">
        <f t="shared" si="29"/>
        <v/>
      </c>
      <c r="AO123" s="50" t="str">
        <f>IF($A123="","",IFERROR(LOOKUP(2,1/($B$9:$B$122=$B123),$AO$9:$AO122),0)+IF($F123="sell_put",$I123*$AE123*$D123,IF($F123="roll",IF($AG123="put",($I123-IF($AF123&gt;0,INDEX($AH$9:$AH$122,$AF123),0))*$AE123*$D123,0),IF(AND(OR($F123="buy_to_close",$F123="expire",$F123="roll",$F123="assignment",$F123="called_away"),$F123&lt;&gt;"roll",$AG123="put"),-IF($AF123&gt;0,INDEX($AH$9:$AH$122,$AF123),0)*$AE123*$D123,0))))</f>
        <v/>
      </c>
      <c r="AP123" s="51" t="str">
        <f>IF($A123="","",IFERROR(LOOKUP(2,1/($B$9:$B$122=$B123),$AP$9:$AP122),0)+IF($F123="sell_put",$AE123*$D123,IF(AND(OR($F123="buy_to_close",$F123="expire",$F123="roll",$F123="assignment",$F123="called_away"),$F123&lt;&gt;"roll",$AG123="put"),-$AE123*$D123,0)))</f>
        <v/>
      </c>
      <c r="AQ123" s="51" t="str">
        <f>IF($A123="","",IFERROR(LOOKUP(2,1/($B$9:$B$122=$B123),$AQ$9:$AQ122),0)+IF(OR($F123="sell_put",$F123="sell_call"),$AE123,0)-IF(AND(OR($F123="buy_to_close",$F123="expire",$F123="roll",$F123="assignment",$F123="called_away"),$F123&lt;&gt;"roll"),$AE123,0))</f>
        <v/>
      </c>
      <c r="AR123" t="str">
        <f t="shared" si="30"/>
        <v/>
      </c>
      <c r="AS123" s="50" t="str">
        <f t="shared" si="31"/>
        <v/>
      </c>
      <c r="AT123" s="50" t="str">
        <f>IF($A123="","",MAX(IF($T123=IFERROR(LOOKUP(2,1/($B$9:$B$122=$B123),$T$9:$T122),0),IFERROR(LOOKUP(2,1/($B$9:$B$122=$B123),$AT$9:$AT122),0),0),$AS123))</f>
        <v/>
      </c>
      <c r="AU123" t="str">
        <f t="shared" si="32"/>
        <v/>
      </c>
      <c r="AV123" s="51">
        <f>IF($AU123="",0,IF(AND(IFERROR(LOOKUP(2,1/($B$9:$B$122=$B123),$AR$9:$AR122),1),NOT(AND(OR($F123="dividend",$F123="fee"),IFERROR(LOOKUP(2,1/($B$9:$B$122=$B123),$T$9:$T122),0)&gt;0))),ROW(),0))</f>
        <v>0</v>
      </c>
      <c r="AW123">
        <f>IF($A123="",0,IF($AV123&gt;0,MAX($AW$9:$AW$122)+1,MAX($AW$9:$AW$122)))</f>
        <v>0</v>
      </c>
      <c r="AX123">
        <f>IF($AU123="",0,IF(AND($AR123,OR(NOT(IFERROR(LOOKUP(2,1/($B$9:$B$122=$B123),$AR$9:$AR122),1)),IFERROR(LOOKUP(2,1/($B$9:$B$122=$B123),$T$9:$T122),0)=0)),ROW(),0))</f>
        <v>0</v>
      </c>
      <c r="AY123" t="str">
        <f t="shared" si="33"/>
        <v/>
      </c>
    </row>
    <row r="124" spans="1:51" ht="15" x14ac:dyDescent="0.25">
      <c r="A124" s="52" t="str">
        <f>IF(Trades!$A124="","",Trades!O124)</f>
        <v/>
      </c>
      <c r="B124" s="52" t="str">
        <f>IF(Trades!$A124="","",Trades!B124)</f>
        <v/>
      </c>
      <c r="C124" s="52" t="str">
        <f>IF(Trades!$A124="","",Trades!C124)</f>
        <v/>
      </c>
      <c r="D124" s="53" t="str">
        <f>IF(Trades!$A124="","",IF(Trades!$L124&gt;0,Trades!$L124,Trades!$C$6))</f>
        <v/>
      </c>
      <c r="E124" s="54" t="str">
        <f>IF(Trades!$A124="","",Trades!A124)</f>
        <v/>
      </c>
      <c r="F124" s="52" t="str">
        <f>IF(Trades!$A124="","",IFERROR(INDEX(Trades!$V$2:$V$14,MATCH(Trades!$E124,Trades!$U$2:$U$14,0)),""))</f>
        <v/>
      </c>
      <c r="G124" s="52" t="str">
        <f>IF(Trades!$A124="","",Trades!N124)</f>
        <v/>
      </c>
      <c r="H124" s="53" t="str">
        <f>IF(Trades!$A124="","",Trades!F124)</f>
        <v/>
      </c>
      <c r="I124" s="55" t="str">
        <f>IF(Trades!$A124="","",Trades!G124)</f>
        <v/>
      </c>
      <c r="J124" s="55" t="str">
        <f>IF(Trades!$A124="","",Trades!I124)</f>
        <v/>
      </c>
      <c r="K124" s="55" t="str">
        <f>IF(Trades!$A124="","",Trades!Q124)</f>
        <v/>
      </c>
      <c r="L124" s="53" t="str">
        <f>IF(Trades!$A124="","",Trades!F124)</f>
        <v/>
      </c>
      <c r="M124" s="55" t="str">
        <f>IF(Trades!$A124="","",Trades!M124)</f>
        <v/>
      </c>
      <c r="N124" s="55" t="str">
        <f>IF(Trades!$A124="","",Trades!R124)</f>
        <v/>
      </c>
      <c r="O124" s="55" t="str">
        <f>IF(Trades!$A124="","",Trades!J124)</f>
        <v/>
      </c>
      <c r="P124" s="54" t="str">
        <f>IF(Trades!$A124="","",Trades!H124)</f>
        <v/>
      </c>
      <c r="Q124" s="52" t="str">
        <f>IF(Trades!$A124="","",Trades!P124)</f>
        <v/>
      </c>
      <c r="R124" s="56" t="str">
        <f t="shared" si="17"/>
        <v/>
      </c>
      <c r="S124" s="56" t="str">
        <f t="shared" si="18"/>
        <v/>
      </c>
      <c r="T124" s="57" t="str">
        <f>IF(OR($A124="",$B124=""),"",IF(AND(IFERROR(LOOKUP(2,1/($B$9:$B$123=$B124),$AR$9:$AR123),1),NOT(AND(OR($F124="dividend",$F124="fee"),IFERROR(LOOKUP(2,1/($B$9:$B$123=$B124),$T$9:$T123),0)&gt;0))),IFERROR(LOOKUP(2,1/($B$9:$B$123=$B124),$T$9:$T123),0)+1,IFERROR(LOOKUP(2,1/($B$9:$B$123=$B124),$T$9:$T123),0)))</f>
        <v/>
      </c>
      <c r="U124" s="58" t="str">
        <f t="shared" si="19"/>
        <v/>
      </c>
      <c r="V124" s="58" t="str">
        <f>IF($A124="","",IF(OR($B124="",$C124="",$D124="",$E124="",$F124=""),"Missing required field",IF(COUNTIFS($A$9:$A124,$A124,$B$9:$B124,$B124)&gt;1,"Duplicate event ID",IF(AND($E124&lt;&gt;IFERROR(LOOKUP(2,1/($B$9:$B$123=$B124),$E$9:$E123),0),IFERROR(LOOKUP(2,1/($B$9:$B$123=$B124),$E$9:$E123),0)&gt;$E124),"Date out of order",IF(AND(OR($F124="buy_to_close",$F124="expire",$F124="roll",$F124="assignment",$F124="called_away"),$AF124=0),"Unknown lot",IF(OR(AND($F124="assignment",$AF124&gt;0,IF($AF124&gt;0,INDEX($AG$9:$AG$123,$AF124),"")&lt;&gt;"put"),AND($F124="called_away",$AF124&gt;0,IF($AF124&gt;0,INDEX($AG$9:$AG$123,$AF124),"")&lt;&gt;"call")),"Wrong option leg",IF(OR(AND(OR($F124="sell_put",$F124="sell_call"),OR($H124&lt;=0,$I124&lt;=0,$J124&lt;0)),AND(OR($F124="buy_to_close",$F124="expire",$F124="assignment",$F124="called_away"),OR($H124&lt;=0,$J124&lt;0)),AND($F124="roll",OR($H124&lt;=0,$I124&lt;=0,$J124&lt;0,$K124&lt;0)),AND(OR($F124="buy_shares",$F124="sell_shares"),OR($L124&lt;=0,$M124&lt;0)),AND(OR($F124="dividend",$F124="fee"),$N124&lt;0)),"Invalid value",IF(AND(OR($F124="sell_shares",$F124="called_away"),$AL124&lt;IF($F124="called_away",$AE124*$D124,$L124)),"Insufficient shares (capped)",IF(AND(OR($F124="buy_to_close",$F124="expire",$F124="roll",$F124="assignment",$F124="called_away"),$AF124&gt;0,$H124&gt;IF($AF124&gt;0,MAX(0,INDEX($AI$9:$AI$123,$AF124)-SUMIFS($AE$9:$AE$123,$G$9:$G$123,$G124,$B$9:$B$123,$B124)),0)),"Close quantity capped","OK")))))))))</f>
        <v/>
      </c>
      <c r="W124" s="59" t="str">
        <f t="shared" si="20"/>
        <v/>
      </c>
      <c r="X124" s="60" t="str">
        <f t="shared" si="21"/>
        <v/>
      </c>
      <c r="Y124" s="50" t="str">
        <f t="shared" si="22"/>
        <v/>
      </c>
      <c r="Z124" s="50" t="str">
        <f t="shared" si="23"/>
        <v/>
      </c>
      <c r="AA124" s="50" t="str">
        <f t="shared" si="24"/>
        <v/>
      </c>
      <c r="AB124" s="50" t="str">
        <f t="shared" si="25"/>
        <v/>
      </c>
      <c r="AC124" s="50" t="str">
        <f>IF($A124="","",IF($F124="assignment",IF($AF124&gt;0,INDEX($AH$9:$AH$123,$AF124),0)*$AE124*$D124,IF($F124="buy_shares",$M124*$AL124,0)))</f>
        <v/>
      </c>
      <c r="AD124" s="50" t="str">
        <f>IF($A124="","",IF($F124="called_away",IF($AF124&gt;0,INDEX($AH$9:$AH$123,$AF124),0)*$AL124,IF($F124="sell_shares",$M124*$AL124,0)))</f>
        <v/>
      </c>
      <c r="AE124" s="51" t="str">
        <f>IF($A124="","",IF(OR($F124="sell_put",$F124="sell_call"),IF(AND($H124&gt;0,$I124&gt;0,$J124&gt;=0),$H124,0),IF(OR($F124="buy_to_close",$F124="expire",$F124="roll",$F124="assignment",$F124="called_away"),IF(AND($AF124&gt;0,$H124&gt;0,IF($F124="assignment",IF($AF124&gt;0,INDEX($AG$9:$AG$123,$AF124),"")="put",TRUE),IF($F124="called_away",IF($AF124&gt;0,INDEX($AG$9:$AG$123,$AF124),"")="call",TRUE)),MIN($H124,IF($AF124&gt;0,MAX(0,INDEX($AI$9:$AI$123,$AF124)-SUMIFS($AE$9:$AE$123,$G$9:$G$123,$G124,$B$9:$B$123,$B124)),0)),0),0)))</f>
        <v/>
      </c>
      <c r="AF124" t="str">
        <f>IF($A124="","",IFERROR(MATCH(LEN($B124)&amp;":"&amp;$B124&amp;$G124,$AY$9:$AY$123,0),0))</f>
        <v/>
      </c>
      <c r="AG124" t="str">
        <f>IF($A124="","",IF($F124="sell_put","put",IF($F124="sell_call","call",IF($F124="roll",IF($AF124&gt;0,IF($AF124&gt;0,INDEX($AG$9:$AG$123,$AF124),""),""),IF($AF124&gt;0,IF($AF124&gt;0,INDEX($AG$9:$AG$123,$AF124),""),"")))))</f>
        <v/>
      </c>
      <c r="AH124" t="str">
        <f>IF($A124="","",IF(OR($F124="sell_put",$F124="sell_call",$F124="roll"),$I124,IF($AF124&gt;0,IF($AF124&gt;0,INDEX($AH$9:$AH$123,$AF124),0),0)))</f>
        <v/>
      </c>
      <c r="AI124" s="51" t="str">
        <f t="shared" si="26"/>
        <v/>
      </c>
      <c r="AJ124" s="51" t="str">
        <f>IF($A124="","",IFERROR(LOOKUP(2,1/($B$9:$B$123=$B124),$AM$9:$AM123),0))</f>
        <v/>
      </c>
      <c r="AK124" t="str">
        <f>IF($A124="","",IFERROR(LOOKUP(2,1/($B$9:$B$123=$B124),$AN$9:$AN123),0))</f>
        <v/>
      </c>
      <c r="AL124" s="51" t="str">
        <f t="shared" si="27"/>
        <v/>
      </c>
      <c r="AM124" s="51" t="str">
        <f t="shared" si="28"/>
        <v/>
      </c>
      <c r="AN124" t="str">
        <f t="shared" si="29"/>
        <v/>
      </c>
      <c r="AO124" s="50" t="str">
        <f>IF($A124="","",IFERROR(LOOKUP(2,1/($B$9:$B$123=$B124),$AO$9:$AO123),0)+IF($F124="sell_put",$I124*$AE124*$D124,IF($F124="roll",IF($AG124="put",($I124-IF($AF124&gt;0,INDEX($AH$9:$AH$123,$AF124),0))*$AE124*$D124,0),IF(AND(OR($F124="buy_to_close",$F124="expire",$F124="roll",$F124="assignment",$F124="called_away"),$F124&lt;&gt;"roll",$AG124="put"),-IF($AF124&gt;0,INDEX($AH$9:$AH$123,$AF124),0)*$AE124*$D124,0))))</f>
        <v/>
      </c>
      <c r="AP124" s="51" t="str">
        <f>IF($A124="","",IFERROR(LOOKUP(2,1/($B$9:$B$123=$B124),$AP$9:$AP123),0)+IF($F124="sell_put",$AE124*$D124,IF(AND(OR($F124="buy_to_close",$F124="expire",$F124="roll",$F124="assignment",$F124="called_away"),$F124&lt;&gt;"roll",$AG124="put"),-$AE124*$D124,0)))</f>
        <v/>
      </c>
      <c r="AQ124" s="51" t="str">
        <f>IF($A124="","",IFERROR(LOOKUP(2,1/($B$9:$B$123=$B124),$AQ$9:$AQ123),0)+IF(OR($F124="sell_put",$F124="sell_call"),$AE124,0)-IF(AND(OR($F124="buy_to_close",$F124="expire",$F124="roll",$F124="assignment",$F124="called_away"),$F124&lt;&gt;"roll"),$AE124,0))</f>
        <v/>
      </c>
      <c r="AR124" t="str">
        <f t="shared" si="30"/>
        <v/>
      </c>
      <c r="AS124" s="50" t="str">
        <f t="shared" si="31"/>
        <v/>
      </c>
      <c r="AT124" s="50" t="str">
        <f>IF($A124="","",MAX(IF($T124=IFERROR(LOOKUP(2,1/($B$9:$B$123=$B124),$T$9:$T123),0),IFERROR(LOOKUP(2,1/($B$9:$B$123=$B124),$AT$9:$AT123),0),0),$AS124))</f>
        <v/>
      </c>
      <c r="AU124" t="str">
        <f t="shared" si="32"/>
        <v/>
      </c>
      <c r="AV124" s="51">
        <f>IF($AU124="",0,IF(AND(IFERROR(LOOKUP(2,1/($B$9:$B$123=$B124),$AR$9:$AR123),1),NOT(AND(OR($F124="dividend",$F124="fee"),IFERROR(LOOKUP(2,1/($B$9:$B$123=$B124),$T$9:$T123),0)&gt;0))),ROW(),0))</f>
        <v>0</v>
      </c>
      <c r="AW124">
        <f>IF($A124="",0,IF($AV124&gt;0,MAX($AW$9:$AW$123)+1,MAX($AW$9:$AW$123)))</f>
        <v>0</v>
      </c>
      <c r="AX124">
        <f>IF($AU124="",0,IF(AND($AR124,OR(NOT(IFERROR(LOOKUP(2,1/($B$9:$B$123=$B124),$AR$9:$AR123),1)),IFERROR(LOOKUP(2,1/($B$9:$B$123=$B124),$T$9:$T123),0)=0)),ROW(),0))</f>
        <v>0</v>
      </c>
      <c r="AY124" t="str">
        <f t="shared" si="33"/>
        <v/>
      </c>
    </row>
    <row r="125" spans="1:51" ht="15" x14ac:dyDescent="0.25">
      <c r="A125" s="41" t="str">
        <f>IF(Trades!$A125="","",Trades!O125)</f>
        <v/>
      </c>
      <c r="B125" s="41" t="str">
        <f>IF(Trades!$A125="","",Trades!B125)</f>
        <v/>
      </c>
      <c r="C125" s="41" t="str">
        <f>IF(Trades!$A125="","",Trades!C125)</f>
        <v/>
      </c>
      <c r="D125" s="42" t="str">
        <f>IF(Trades!$A125="","",IF(Trades!$L125&gt;0,Trades!$L125,Trades!$C$6))</f>
        <v/>
      </c>
      <c r="E125" s="43" t="str">
        <f>IF(Trades!$A125="","",Trades!A125)</f>
        <v/>
      </c>
      <c r="F125" s="41" t="str">
        <f>IF(Trades!$A125="","",IFERROR(INDEX(Trades!$V$2:$V$14,MATCH(Trades!$E125,Trades!$U$2:$U$14,0)),""))</f>
        <v/>
      </c>
      <c r="G125" s="41" t="str">
        <f>IF(Trades!$A125="","",Trades!N125)</f>
        <v/>
      </c>
      <c r="H125" s="42" t="str">
        <f>IF(Trades!$A125="","",Trades!F125)</f>
        <v/>
      </c>
      <c r="I125" s="44" t="str">
        <f>IF(Trades!$A125="","",Trades!G125)</f>
        <v/>
      </c>
      <c r="J125" s="44" t="str">
        <f>IF(Trades!$A125="","",Trades!I125)</f>
        <v/>
      </c>
      <c r="K125" s="44" t="str">
        <f>IF(Trades!$A125="","",Trades!Q125)</f>
        <v/>
      </c>
      <c r="L125" s="42" t="str">
        <f>IF(Trades!$A125="","",Trades!F125)</f>
        <v/>
      </c>
      <c r="M125" s="44" t="str">
        <f>IF(Trades!$A125="","",Trades!M125)</f>
        <v/>
      </c>
      <c r="N125" s="44" t="str">
        <f>IF(Trades!$A125="","",Trades!R125)</f>
        <v/>
      </c>
      <c r="O125" s="44" t="str">
        <f>IF(Trades!$A125="","",Trades!J125)</f>
        <v/>
      </c>
      <c r="P125" s="43" t="str">
        <f>IF(Trades!$A125="","",Trades!H125)</f>
        <v/>
      </c>
      <c r="Q125" s="41" t="str">
        <f>IF(Trades!$A125="","",Trades!P125)</f>
        <v/>
      </c>
      <c r="R125" s="45" t="str">
        <f t="shared" si="17"/>
        <v/>
      </c>
      <c r="S125" s="45" t="str">
        <f t="shared" si="18"/>
        <v/>
      </c>
      <c r="T125" s="46" t="str">
        <f>IF(OR($A125="",$B125=""),"",IF(AND(IFERROR(LOOKUP(2,1/($B$9:$B$124=$B125),$AR$9:$AR124),1),NOT(AND(OR($F125="dividend",$F125="fee"),IFERROR(LOOKUP(2,1/($B$9:$B$124=$B125),$T$9:$T124),0)&gt;0))),IFERROR(LOOKUP(2,1/($B$9:$B$124=$B125),$T$9:$T124),0)+1,IFERROR(LOOKUP(2,1/($B$9:$B$124=$B125),$T$9:$T124),0)))</f>
        <v/>
      </c>
      <c r="U125" s="47" t="str">
        <f t="shared" si="19"/>
        <v/>
      </c>
      <c r="V125" s="47" t="str">
        <f>IF($A125="","",IF(OR($B125="",$C125="",$D125="",$E125="",$F125=""),"Missing required field",IF(COUNTIFS($A$9:$A125,$A125,$B$9:$B125,$B125)&gt;1,"Duplicate event ID",IF(AND($E125&lt;&gt;IFERROR(LOOKUP(2,1/($B$9:$B$124=$B125),$E$9:$E124),0),IFERROR(LOOKUP(2,1/($B$9:$B$124=$B125),$E$9:$E124),0)&gt;$E125),"Date out of order",IF(AND(OR($F125="buy_to_close",$F125="expire",$F125="roll",$F125="assignment",$F125="called_away"),$AF125=0),"Unknown lot",IF(OR(AND($F125="assignment",$AF125&gt;0,IF($AF125&gt;0,INDEX($AG$9:$AG$124,$AF125),"")&lt;&gt;"put"),AND($F125="called_away",$AF125&gt;0,IF($AF125&gt;0,INDEX($AG$9:$AG$124,$AF125),"")&lt;&gt;"call")),"Wrong option leg",IF(OR(AND(OR($F125="sell_put",$F125="sell_call"),OR($H125&lt;=0,$I125&lt;=0,$J125&lt;0)),AND(OR($F125="buy_to_close",$F125="expire",$F125="assignment",$F125="called_away"),OR($H125&lt;=0,$J125&lt;0)),AND($F125="roll",OR($H125&lt;=0,$I125&lt;=0,$J125&lt;0,$K125&lt;0)),AND(OR($F125="buy_shares",$F125="sell_shares"),OR($L125&lt;=0,$M125&lt;0)),AND(OR($F125="dividend",$F125="fee"),$N125&lt;0)),"Invalid value",IF(AND(OR($F125="sell_shares",$F125="called_away"),$AL125&lt;IF($F125="called_away",$AE125*$D125,$L125)),"Insufficient shares (capped)",IF(AND(OR($F125="buy_to_close",$F125="expire",$F125="roll",$F125="assignment",$F125="called_away"),$AF125&gt;0,$H125&gt;IF($AF125&gt;0,MAX(0,INDEX($AI$9:$AI$124,$AF125)-SUMIFS($AE$9:$AE$124,$G$9:$G$124,$G125,$B$9:$B$124,$B125)),0)),"Close quantity capped","OK")))))))))</f>
        <v/>
      </c>
      <c r="W125" s="48" t="str">
        <f t="shared" si="20"/>
        <v/>
      </c>
      <c r="X125" s="49" t="str">
        <f t="shared" si="21"/>
        <v/>
      </c>
      <c r="Y125" s="50" t="str">
        <f t="shared" si="22"/>
        <v/>
      </c>
      <c r="Z125" s="50" t="str">
        <f t="shared" si="23"/>
        <v/>
      </c>
      <c r="AA125" s="50" t="str">
        <f t="shared" si="24"/>
        <v/>
      </c>
      <c r="AB125" s="50" t="str">
        <f t="shared" si="25"/>
        <v/>
      </c>
      <c r="AC125" s="50" t="str">
        <f>IF($A125="","",IF($F125="assignment",IF($AF125&gt;0,INDEX($AH$9:$AH$124,$AF125),0)*$AE125*$D125,IF($F125="buy_shares",$M125*$AL125,0)))</f>
        <v/>
      </c>
      <c r="AD125" s="50" t="str">
        <f>IF($A125="","",IF($F125="called_away",IF($AF125&gt;0,INDEX($AH$9:$AH$124,$AF125),0)*$AL125,IF($F125="sell_shares",$M125*$AL125,0)))</f>
        <v/>
      </c>
      <c r="AE125" s="51" t="str">
        <f>IF($A125="","",IF(OR($F125="sell_put",$F125="sell_call"),IF(AND($H125&gt;0,$I125&gt;0,$J125&gt;=0),$H125,0),IF(OR($F125="buy_to_close",$F125="expire",$F125="roll",$F125="assignment",$F125="called_away"),IF(AND($AF125&gt;0,$H125&gt;0,IF($F125="assignment",IF($AF125&gt;0,INDEX($AG$9:$AG$124,$AF125),"")="put",TRUE),IF($F125="called_away",IF($AF125&gt;0,INDEX($AG$9:$AG$124,$AF125),"")="call",TRUE)),MIN($H125,IF($AF125&gt;0,MAX(0,INDEX($AI$9:$AI$124,$AF125)-SUMIFS($AE$9:$AE$124,$G$9:$G$124,$G125,$B$9:$B$124,$B125)),0)),0),0)))</f>
        <v/>
      </c>
      <c r="AF125" t="str">
        <f>IF($A125="","",IFERROR(MATCH(LEN($B125)&amp;":"&amp;$B125&amp;$G125,$AY$9:$AY$124,0),0))</f>
        <v/>
      </c>
      <c r="AG125" t="str">
        <f>IF($A125="","",IF($F125="sell_put","put",IF($F125="sell_call","call",IF($F125="roll",IF($AF125&gt;0,IF($AF125&gt;0,INDEX($AG$9:$AG$124,$AF125),""),""),IF($AF125&gt;0,IF($AF125&gt;0,INDEX($AG$9:$AG$124,$AF125),""),"")))))</f>
        <v/>
      </c>
      <c r="AH125" t="str">
        <f>IF($A125="","",IF(OR($F125="sell_put",$F125="sell_call",$F125="roll"),$I125,IF($AF125&gt;0,IF($AF125&gt;0,INDEX($AH$9:$AH$124,$AF125),0),0)))</f>
        <v/>
      </c>
      <c r="AI125" s="51" t="str">
        <f t="shared" si="26"/>
        <v/>
      </c>
      <c r="AJ125" s="51" t="str">
        <f>IF($A125="","",IFERROR(LOOKUP(2,1/($B$9:$B$124=$B125),$AM$9:$AM124),0))</f>
        <v/>
      </c>
      <c r="AK125" t="str">
        <f>IF($A125="","",IFERROR(LOOKUP(2,1/($B$9:$B$124=$B125),$AN$9:$AN124),0))</f>
        <v/>
      </c>
      <c r="AL125" s="51" t="str">
        <f t="shared" si="27"/>
        <v/>
      </c>
      <c r="AM125" s="51" t="str">
        <f t="shared" si="28"/>
        <v/>
      </c>
      <c r="AN125" t="str">
        <f t="shared" si="29"/>
        <v/>
      </c>
      <c r="AO125" s="50" t="str">
        <f>IF($A125="","",IFERROR(LOOKUP(2,1/($B$9:$B$124=$B125),$AO$9:$AO124),0)+IF($F125="sell_put",$I125*$AE125*$D125,IF($F125="roll",IF($AG125="put",($I125-IF($AF125&gt;0,INDEX($AH$9:$AH$124,$AF125),0))*$AE125*$D125,0),IF(AND(OR($F125="buy_to_close",$F125="expire",$F125="roll",$F125="assignment",$F125="called_away"),$F125&lt;&gt;"roll",$AG125="put"),-IF($AF125&gt;0,INDEX($AH$9:$AH$124,$AF125),0)*$AE125*$D125,0))))</f>
        <v/>
      </c>
      <c r="AP125" s="51" t="str">
        <f>IF($A125="","",IFERROR(LOOKUP(2,1/($B$9:$B$124=$B125),$AP$9:$AP124),0)+IF($F125="sell_put",$AE125*$D125,IF(AND(OR($F125="buy_to_close",$F125="expire",$F125="roll",$F125="assignment",$F125="called_away"),$F125&lt;&gt;"roll",$AG125="put"),-$AE125*$D125,0)))</f>
        <v/>
      </c>
      <c r="AQ125" s="51" t="str">
        <f>IF($A125="","",IFERROR(LOOKUP(2,1/($B$9:$B$124=$B125),$AQ$9:$AQ124),0)+IF(OR($F125="sell_put",$F125="sell_call"),$AE125,0)-IF(AND(OR($F125="buy_to_close",$F125="expire",$F125="roll",$F125="assignment",$F125="called_away"),$F125&lt;&gt;"roll"),$AE125,0))</f>
        <v/>
      </c>
      <c r="AR125" t="str">
        <f t="shared" si="30"/>
        <v/>
      </c>
      <c r="AS125" s="50" t="str">
        <f t="shared" si="31"/>
        <v/>
      </c>
      <c r="AT125" s="50" t="str">
        <f>IF($A125="","",MAX(IF($T125=IFERROR(LOOKUP(2,1/($B$9:$B$124=$B125),$T$9:$T124),0),IFERROR(LOOKUP(2,1/($B$9:$B$124=$B125),$AT$9:$AT124),0),0),$AS125))</f>
        <v/>
      </c>
      <c r="AU125" t="str">
        <f t="shared" si="32"/>
        <v/>
      </c>
      <c r="AV125" s="51">
        <f>IF($AU125="",0,IF(AND(IFERROR(LOOKUP(2,1/($B$9:$B$124=$B125),$AR$9:$AR124),1),NOT(AND(OR($F125="dividend",$F125="fee"),IFERROR(LOOKUP(2,1/($B$9:$B$124=$B125),$T$9:$T124),0)&gt;0))),ROW(),0))</f>
        <v>0</v>
      </c>
      <c r="AW125">
        <f>IF($A125="",0,IF($AV125&gt;0,MAX($AW$9:$AW$124)+1,MAX($AW$9:$AW$124)))</f>
        <v>0</v>
      </c>
      <c r="AX125">
        <f>IF($AU125="",0,IF(AND($AR125,OR(NOT(IFERROR(LOOKUP(2,1/($B$9:$B$124=$B125),$AR$9:$AR124),1)),IFERROR(LOOKUP(2,1/($B$9:$B$124=$B125),$T$9:$T124),0)=0)),ROW(),0))</f>
        <v>0</v>
      </c>
      <c r="AY125" t="str">
        <f t="shared" si="33"/>
        <v/>
      </c>
    </row>
    <row r="126" spans="1:51" ht="15" x14ac:dyDescent="0.25">
      <c r="A126" s="52" t="str">
        <f>IF(Trades!$A126="","",Trades!O126)</f>
        <v/>
      </c>
      <c r="B126" s="52" t="str">
        <f>IF(Trades!$A126="","",Trades!B126)</f>
        <v/>
      </c>
      <c r="C126" s="52" t="str">
        <f>IF(Trades!$A126="","",Trades!C126)</f>
        <v/>
      </c>
      <c r="D126" s="53" t="str">
        <f>IF(Trades!$A126="","",IF(Trades!$L126&gt;0,Trades!$L126,Trades!$C$6))</f>
        <v/>
      </c>
      <c r="E126" s="54" t="str">
        <f>IF(Trades!$A126="","",Trades!A126)</f>
        <v/>
      </c>
      <c r="F126" s="52" t="str">
        <f>IF(Trades!$A126="","",IFERROR(INDEX(Trades!$V$2:$V$14,MATCH(Trades!$E126,Trades!$U$2:$U$14,0)),""))</f>
        <v/>
      </c>
      <c r="G126" s="52" t="str">
        <f>IF(Trades!$A126="","",Trades!N126)</f>
        <v/>
      </c>
      <c r="H126" s="53" t="str">
        <f>IF(Trades!$A126="","",Trades!F126)</f>
        <v/>
      </c>
      <c r="I126" s="55" t="str">
        <f>IF(Trades!$A126="","",Trades!G126)</f>
        <v/>
      </c>
      <c r="J126" s="55" t="str">
        <f>IF(Trades!$A126="","",Trades!I126)</f>
        <v/>
      </c>
      <c r="K126" s="55" t="str">
        <f>IF(Trades!$A126="","",Trades!Q126)</f>
        <v/>
      </c>
      <c r="L126" s="53" t="str">
        <f>IF(Trades!$A126="","",Trades!F126)</f>
        <v/>
      </c>
      <c r="M126" s="55" t="str">
        <f>IF(Trades!$A126="","",Trades!M126)</f>
        <v/>
      </c>
      <c r="N126" s="55" t="str">
        <f>IF(Trades!$A126="","",Trades!R126)</f>
        <v/>
      </c>
      <c r="O126" s="55" t="str">
        <f>IF(Trades!$A126="","",Trades!J126)</f>
        <v/>
      </c>
      <c r="P126" s="54" t="str">
        <f>IF(Trades!$A126="","",Trades!H126)</f>
        <v/>
      </c>
      <c r="Q126" s="52" t="str">
        <f>IF(Trades!$A126="","",Trades!P126)</f>
        <v/>
      </c>
      <c r="R126" s="56" t="str">
        <f t="shared" si="17"/>
        <v/>
      </c>
      <c r="S126" s="56" t="str">
        <f t="shared" si="18"/>
        <v/>
      </c>
      <c r="T126" s="57" t="str">
        <f>IF(OR($A126="",$B126=""),"",IF(AND(IFERROR(LOOKUP(2,1/($B$9:$B$125=$B126),$AR$9:$AR125),1),NOT(AND(OR($F126="dividend",$F126="fee"),IFERROR(LOOKUP(2,1/($B$9:$B$125=$B126),$T$9:$T125),0)&gt;0))),IFERROR(LOOKUP(2,1/($B$9:$B$125=$B126),$T$9:$T125),0)+1,IFERROR(LOOKUP(2,1/($B$9:$B$125=$B126),$T$9:$T125),0)))</f>
        <v/>
      </c>
      <c r="U126" s="58" t="str">
        <f t="shared" si="19"/>
        <v/>
      </c>
      <c r="V126" s="58" t="str">
        <f>IF($A126="","",IF(OR($B126="",$C126="",$D126="",$E126="",$F126=""),"Missing required field",IF(COUNTIFS($A$9:$A126,$A126,$B$9:$B126,$B126)&gt;1,"Duplicate event ID",IF(AND($E126&lt;&gt;IFERROR(LOOKUP(2,1/($B$9:$B$125=$B126),$E$9:$E125),0),IFERROR(LOOKUP(2,1/($B$9:$B$125=$B126),$E$9:$E125),0)&gt;$E126),"Date out of order",IF(AND(OR($F126="buy_to_close",$F126="expire",$F126="roll",$F126="assignment",$F126="called_away"),$AF126=0),"Unknown lot",IF(OR(AND($F126="assignment",$AF126&gt;0,IF($AF126&gt;0,INDEX($AG$9:$AG$125,$AF126),"")&lt;&gt;"put"),AND($F126="called_away",$AF126&gt;0,IF($AF126&gt;0,INDEX($AG$9:$AG$125,$AF126),"")&lt;&gt;"call")),"Wrong option leg",IF(OR(AND(OR($F126="sell_put",$F126="sell_call"),OR($H126&lt;=0,$I126&lt;=0,$J126&lt;0)),AND(OR($F126="buy_to_close",$F126="expire",$F126="assignment",$F126="called_away"),OR($H126&lt;=0,$J126&lt;0)),AND($F126="roll",OR($H126&lt;=0,$I126&lt;=0,$J126&lt;0,$K126&lt;0)),AND(OR($F126="buy_shares",$F126="sell_shares"),OR($L126&lt;=0,$M126&lt;0)),AND(OR($F126="dividend",$F126="fee"),$N126&lt;0)),"Invalid value",IF(AND(OR($F126="sell_shares",$F126="called_away"),$AL126&lt;IF($F126="called_away",$AE126*$D126,$L126)),"Insufficient shares (capped)",IF(AND(OR($F126="buy_to_close",$F126="expire",$F126="roll",$F126="assignment",$F126="called_away"),$AF126&gt;0,$H126&gt;IF($AF126&gt;0,MAX(0,INDEX($AI$9:$AI$125,$AF126)-SUMIFS($AE$9:$AE$125,$G$9:$G$125,$G126,$B$9:$B$125,$B126)),0)),"Close quantity capped","OK")))))))))</f>
        <v/>
      </c>
      <c r="W126" s="59" t="str">
        <f t="shared" si="20"/>
        <v/>
      </c>
      <c r="X126" s="60" t="str">
        <f t="shared" si="21"/>
        <v/>
      </c>
      <c r="Y126" s="50" t="str">
        <f t="shared" si="22"/>
        <v/>
      </c>
      <c r="Z126" s="50" t="str">
        <f t="shared" si="23"/>
        <v/>
      </c>
      <c r="AA126" s="50" t="str">
        <f t="shared" si="24"/>
        <v/>
      </c>
      <c r="AB126" s="50" t="str">
        <f t="shared" si="25"/>
        <v/>
      </c>
      <c r="AC126" s="50" t="str">
        <f>IF($A126="","",IF($F126="assignment",IF($AF126&gt;0,INDEX($AH$9:$AH$125,$AF126),0)*$AE126*$D126,IF($F126="buy_shares",$M126*$AL126,0)))</f>
        <v/>
      </c>
      <c r="AD126" s="50" t="str">
        <f>IF($A126="","",IF($F126="called_away",IF($AF126&gt;0,INDEX($AH$9:$AH$125,$AF126),0)*$AL126,IF($F126="sell_shares",$M126*$AL126,0)))</f>
        <v/>
      </c>
      <c r="AE126" s="51" t="str">
        <f>IF($A126="","",IF(OR($F126="sell_put",$F126="sell_call"),IF(AND($H126&gt;0,$I126&gt;0,$J126&gt;=0),$H126,0),IF(OR($F126="buy_to_close",$F126="expire",$F126="roll",$F126="assignment",$F126="called_away"),IF(AND($AF126&gt;0,$H126&gt;0,IF($F126="assignment",IF($AF126&gt;0,INDEX($AG$9:$AG$125,$AF126),"")="put",TRUE),IF($F126="called_away",IF($AF126&gt;0,INDEX($AG$9:$AG$125,$AF126),"")="call",TRUE)),MIN($H126,IF($AF126&gt;0,MAX(0,INDEX($AI$9:$AI$125,$AF126)-SUMIFS($AE$9:$AE$125,$G$9:$G$125,$G126,$B$9:$B$125,$B126)),0)),0),0)))</f>
        <v/>
      </c>
      <c r="AF126" t="str">
        <f>IF($A126="","",IFERROR(MATCH(LEN($B126)&amp;":"&amp;$B126&amp;$G126,$AY$9:$AY$125,0),0))</f>
        <v/>
      </c>
      <c r="AG126" t="str">
        <f>IF($A126="","",IF($F126="sell_put","put",IF($F126="sell_call","call",IF($F126="roll",IF($AF126&gt;0,IF($AF126&gt;0,INDEX($AG$9:$AG$125,$AF126),""),""),IF($AF126&gt;0,IF($AF126&gt;0,INDEX($AG$9:$AG$125,$AF126),""),"")))))</f>
        <v/>
      </c>
      <c r="AH126" t="str">
        <f>IF($A126="","",IF(OR($F126="sell_put",$F126="sell_call",$F126="roll"),$I126,IF($AF126&gt;0,IF($AF126&gt;0,INDEX($AH$9:$AH$125,$AF126),0),0)))</f>
        <v/>
      </c>
      <c r="AI126" s="51" t="str">
        <f t="shared" si="26"/>
        <v/>
      </c>
      <c r="AJ126" s="51" t="str">
        <f>IF($A126="","",IFERROR(LOOKUP(2,1/($B$9:$B$125=$B126),$AM$9:$AM125),0))</f>
        <v/>
      </c>
      <c r="AK126" t="str">
        <f>IF($A126="","",IFERROR(LOOKUP(2,1/($B$9:$B$125=$B126),$AN$9:$AN125),0))</f>
        <v/>
      </c>
      <c r="AL126" s="51" t="str">
        <f t="shared" si="27"/>
        <v/>
      </c>
      <c r="AM126" s="51" t="str">
        <f t="shared" si="28"/>
        <v/>
      </c>
      <c r="AN126" t="str">
        <f t="shared" si="29"/>
        <v/>
      </c>
      <c r="AO126" s="50" t="str">
        <f>IF($A126="","",IFERROR(LOOKUP(2,1/($B$9:$B$125=$B126),$AO$9:$AO125),0)+IF($F126="sell_put",$I126*$AE126*$D126,IF($F126="roll",IF($AG126="put",($I126-IF($AF126&gt;0,INDEX($AH$9:$AH$125,$AF126),0))*$AE126*$D126,0),IF(AND(OR($F126="buy_to_close",$F126="expire",$F126="roll",$F126="assignment",$F126="called_away"),$F126&lt;&gt;"roll",$AG126="put"),-IF($AF126&gt;0,INDEX($AH$9:$AH$125,$AF126),0)*$AE126*$D126,0))))</f>
        <v/>
      </c>
      <c r="AP126" s="51" t="str">
        <f>IF($A126="","",IFERROR(LOOKUP(2,1/($B$9:$B$125=$B126),$AP$9:$AP125),0)+IF($F126="sell_put",$AE126*$D126,IF(AND(OR($F126="buy_to_close",$F126="expire",$F126="roll",$F126="assignment",$F126="called_away"),$F126&lt;&gt;"roll",$AG126="put"),-$AE126*$D126,0)))</f>
        <v/>
      </c>
      <c r="AQ126" s="51" t="str">
        <f>IF($A126="","",IFERROR(LOOKUP(2,1/($B$9:$B$125=$B126),$AQ$9:$AQ125),0)+IF(OR($F126="sell_put",$F126="sell_call"),$AE126,0)-IF(AND(OR($F126="buy_to_close",$F126="expire",$F126="roll",$F126="assignment",$F126="called_away"),$F126&lt;&gt;"roll"),$AE126,0))</f>
        <v/>
      </c>
      <c r="AR126" t="str">
        <f t="shared" si="30"/>
        <v/>
      </c>
      <c r="AS126" s="50" t="str">
        <f t="shared" si="31"/>
        <v/>
      </c>
      <c r="AT126" s="50" t="str">
        <f>IF($A126="","",MAX(IF($T126=IFERROR(LOOKUP(2,1/($B$9:$B$125=$B126),$T$9:$T125),0),IFERROR(LOOKUP(2,1/($B$9:$B$125=$B126),$AT$9:$AT125),0),0),$AS126))</f>
        <v/>
      </c>
      <c r="AU126" t="str">
        <f t="shared" si="32"/>
        <v/>
      </c>
      <c r="AV126" s="51">
        <f>IF($AU126="",0,IF(AND(IFERROR(LOOKUP(2,1/($B$9:$B$125=$B126),$AR$9:$AR125),1),NOT(AND(OR($F126="dividend",$F126="fee"),IFERROR(LOOKUP(2,1/($B$9:$B$125=$B126),$T$9:$T125),0)&gt;0))),ROW(),0))</f>
        <v>0</v>
      </c>
      <c r="AW126">
        <f>IF($A126="",0,IF($AV126&gt;0,MAX($AW$9:$AW$125)+1,MAX($AW$9:$AW$125)))</f>
        <v>0</v>
      </c>
      <c r="AX126">
        <f>IF($AU126="",0,IF(AND($AR126,OR(NOT(IFERROR(LOOKUP(2,1/($B$9:$B$125=$B126),$AR$9:$AR125),1)),IFERROR(LOOKUP(2,1/($B$9:$B$125=$B126),$T$9:$T125),0)=0)),ROW(),0))</f>
        <v>0</v>
      </c>
      <c r="AY126" t="str">
        <f t="shared" si="33"/>
        <v/>
      </c>
    </row>
    <row r="127" spans="1:51" ht="15" x14ac:dyDescent="0.25">
      <c r="A127" s="41" t="str">
        <f>IF(Trades!$A127="","",Trades!O127)</f>
        <v/>
      </c>
      <c r="B127" s="41" t="str">
        <f>IF(Trades!$A127="","",Trades!B127)</f>
        <v/>
      </c>
      <c r="C127" s="41" t="str">
        <f>IF(Trades!$A127="","",Trades!C127)</f>
        <v/>
      </c>
      <c r="D127" s="42" t="str">
        <f>IF(Trades!$A127="","",IF(Trades!$L127&gt;0,Trades!$L127,Trades!$C$6))</f>
        <v/>
      </c>
      <c r="E127" s="43" t="str">
        <f>IF(Trades!$A127="","",Trades!A127)</f>
        <v/>
      </c>
      <c r="F127" s="41" t="str">
        <f>IF(Trades!$A127="","",IFERROR(INDEX(Trades!$V$2:$V$14,MATCH(Trades!$E127,Trades!$U$2:$U$14,0)),""))</f>
        <v/>
      </c>
      <c r="G127" s="41" t="str">
        <f>IF(Trades!$A127="","",Trades!N127)</f>
        <v/>
      </c>
      <c r="H127" s="42" t="str">
        <f>IF(Trades!$A127="","",Trades!F127)</f>
        <v/>
      </c>
      <c r="I127" s="44" t="str">
        <f>IF(Trades!$A127="","",Trades!G127)</f>
        <v/>
      </c>
      <c r="J127" s="44" t="str">
        <f>IF(Trades!$A127="","",Trades!I127)</f>
        <v/>
      </c>
      <c r="K127" s="44" t="str">
        <f>IF(Trades!$A127="","",Trades!Q127)</f>
        <v/>
      </c>
      <c r="L127" s="42" t="str">
        <f>IF(Trades!$A127="","",Trades!F127)</f>
        <v/>
      </c>
      <c r="M127" s="44" t="str">
        <f>IF(Trades!$A127="","",Trades!M127)</f>
        <v/>
      </c>
      <c r="N127" s="44" t="str">
        <f>IF(Trades!$A127="","",Trades!R127)</f>
        <v/>
      </c>
      <c r="O127" s="44" t="str">
        <f>IF(Trades!$A127="","",Trades!J127)</f>
        <v/>
      </c>
      <c r="P127" s="43" t="str">
        <f>IF(Trades!$A127="","",Trades!H127)</f>
        <v/>
      </c>
      <c r="Q127" s="41" t="str">
        <f>IF(Trades!$A127="","",Trades!P127)</f>
        <v/>
      </c>
      <c r="R127" s="45" t="str">
        <f t="shared" si="17"/>
        <v/>
      </c>
      <c r="S127" s="45" t="str">
        <f t="shared" si="18"/>
        <v/>
      </c>
      <c r="T127" s="46" t="str">
        <f>IF(OR($A127="",$B127=""),"",IF(AND(IFERROR(LOOKUP(2,1/($B$9:$B$126=$B127),$AR$9:$AR126),1),NOT(AND(OR($F127="dividend",$F127="fee"),IFERROR(LOOKUP(2,1/($B$9:$B$126=$B127),$T$9:$T126),0)&gt;0))),IFERROR(LOOKUP(2,1/($B$9:$B$126=$B127),$T$9:$T126),0)+1,IFERROR(LOOKUP(2,1/($B$9:$B$126=$B127),$T$9:$T126),0)))</f>
        <v/>
      </c>
      <c r="U127" s="47" t="str">
        <f t="shared" si="19"/>
        <v/>
      </c>
      <c r="V127" s="47" t="str">
        <f>IF($A127="","",IF(OR($B127="",$C127="",$D127="",$E127="",$F127=""),"Missing required field",IF(COUNTIFS($A$9:$A127,$A127,$B$9:$B127,$B127)&gt;1,"Duplicate event ID",IF(AND($E127&lt;&gt;IFERROR(LOOKUP(2,1/($B$9:$B$126=$B127),$E$9:$E126),0),IFERROR(LOOKUP(2,1/($B$9:$B$126=$B127),$E$9:$E126),0)&gt;$E127),"Date out of order",IF(AND(OR($F127="buy_to_close",$F127="expire",$F127="roll",$F127="assignment",$F127="called_away"),$AF127=0),"Unknown lot",IF(OR(AND($F127="assignment",$AF127&gt;0,IF($AF127&gt;0,INDEX($AG$9:$AG$126,$AF127),"")&lt;&gt;"put"),AND($F127="called_away",$AF127&gt;0,IF($AF127&gt;0,INDEX($AG$9:$AG$126,$AF127),"")&lt;&gt;"call")),"Wrong option leg",IF(OR(AND(OR($F127="sell_put",$F127="sell_call"),OR($H127&lt;=0,$I127&lt;=0,$J127&lt;0)),AND(OR($F127="buy_to_close",$F127="expire",$F127="assignment",$F127="called_away"),OR($H127&lt;=0,$J127&lt;0)),AND($F127="roll",OR($H127&lt;=0,$I127&lt;=0,$J127&lt;0,$K127&lt;0)),AND(OR($F127="buy_shares",$F127="sell_shares"),OR($L127&lt;=0,$M127&lt;0)),AND(OR($F127="dividend",$F127="fee"),$N127&lt;0)),"Invalid value",IF(AND(OR($F127="sell_shares",$F127="called_away"),$AL127&lt;IF($F127="called_away",$AE127*$D127,$L127)),"Insufficient shares (capped)",IF(AND(OR($F127="buy_to_close",$F127="expire",$F127="roll",$F127="assignment",$F127="called_away"),$AF127&gt;0,$H127&gt;IF($AF127&gt;0,MAX(0,INDEX($AI$9:$AI$126,$AF127)-SUMIFS($AE$9:$AE$126,$G$9:$G$126,$G127,$B$9:$B$126,$B127)),0)),"Close quantity capped","OK")))))))))</f>
        <v/>
      </c>
      <c r="W127" s="48" t="str">
        <f t="shared" si="20"/>
        <v/>
      </c>
      <c r="X127" s="49" t="str">
        <f t="shared" si="21"/>
        <v/>
      </c>
      <c r="Y127" s="50" t="str">
        <f t="shared" si="22"/>
        <v/>
      </c>
      <c r="Z127" s="50" t="str">
        <f t="shared" si="23"/>
        <v/>
      </c>
      <c r="AA127" s="50" t="str">
        <f t="shared" si="24"/>
        <v/>
      </c>
      <c r="AB127" s="50" t="str">
        <f t="shared" si="25"/>
        <v/>
      </c>
      <c r="AC127" s="50" t="str">
        <f>IF($A127="","",IF($F127="assignment",IF($AF127&gt;0,INDEX($AH$9:$AH$126,$AF127),0)*$AE127*$D127,IF($F127="buy_shares",$M127*$AL127,0)))</f>
        <v/>
      </c>
      <c r="AD127" s="50" t="str">
        <f>IF($A127="","",IF($F127="called_away",IF($AF127&gt;0,INDEX($AH$9:$AH$126,$AF127),0)*$AL127,IF($F127="sell_shares",$M127*$AL127,0)))</f>
        <v/>
      </c>
      <c r="AE127" s="51" t="str">
        <f>IF($A127="","",IF(OR($F127="sell_put",$F127="sell_call"),IF(AND($H127&gt;0,$I127&gt;0,$J127&gt;=0),$H127,0),IF(OR($F127="buy_to_close",$F127="expire",$F127="roll",$F127="assignment",$F127="called_away"),IF(AND($AF127&gt;0,$H127&gt;0,IF($F127="assignment",IF($AF127&gt;0,INDEX($AG$9:$AG$126,$AF127),"")="put",TRUE),IF($F127="called_away",IF($AF127&gt;0,INDEX($AG$9:$AG$126,$AF127),"")="call",TRUE)),MIN($H127,IF($AF127&gt;0,MAX(0,INDEX($AI$9:$AI$126,$AF127)-SUMIFS($AE$9:$AE$126,$G$9:$G$126,$G127,$B$9:$B$126,$B127)),0)),0),0)))</f>
        <v/>
      </c>
      <c r="AF127" t="str">
        <f>IF($A127="","",IFERROR(MATCH(LEN($B127)&amp;":"&amp;$B127&amp;$G127,$AY$9:$AY$126,0),0))</f>
        <v/>
      </c>
      <c r="AG127" t="str">
        <f>IF($A127="","",IF($F127="sell_put","put",IF($F127="sell_call","call",IF($F127="roll",IF($AF127&gt;0,IF($AF127&gt;0,INDEX($AG$9:$AG$126,$AF127),""),""),IF($AF127&gt;0,IF($AF127&gt;0,INDEX($AG$9:$AG$126,$AF127),""),"")))))</f>
        <v/>
      </c>
      <c r="AH127" t="str">
        <f>IF($A127="","",IF(OR($F127="sell_put",$F127="sell_call",$F127="roll"),$I127,IF($AF127&gt;0,IF($AF127&gt;0,INDEX($AH$9:$AH$126,$AF127),0),0)))</f>
        <v/>
      </c>
      <c r="AI127" s="51" t="str">
        <f t="shared" si="26"/>
        <v/>
      </c>
      <c r="AJ127" s="51" t="str">
        <f>IF($A127="","",IFERROR(LOOKUP(2,1/($B$9:$B$126=$B127),$AM$9:$AM126),0))</f>
        <v/>
      </c>
      <c r="AK127" t="str">
        <f>IF($A127="","",IFERROR(LOOKUP(2,1/($B$9:$B$126=$B127),$AN$9:$AN126),0))</f>
        <v/>
      </c>
      <c r="AL127" s="51" t="str">
        <f t="shared" si="27"/>
        <v/>
      </c>
      <c r="AM127" s="51" t="str">
        <f t="shared" si="28"/>
        <v/>
      </c>
      <c r="AN127" t="str">
        <f t="shared" si="29"/>
        <v/>
      </c>
      <c r="AO127" s="50" t="str">
        <f>IF($A127="","",IFERROR(LOOKUP(2,1/($B$9:$B$126=$B127),$AO$9:$AO126),0)+IF($F127="sell_put",$I127*$AE127*$D127,IF($F127="roll",IF($AG127="put",($I127-IF($AF127&gt;0,INDEX($AH$9:$AH$126,$AF127),0))*$AE127*$D127,0),IF(AND(OR($F127="buy_to_close",$F127="expire",$F127="roll",$F127="assignment",$F127="called_away"),$F127&lt;&gt;"roll",$AG127="put"),-IF($AF127&gt;0,INDEX($AH$9:$AH$126,$AF127),0)*$AE127*$D127,0))))</f>
        <v/>
      </c>
      <c r="AP127" s="51" t="str">
        <f>IF($A127="","",IFERROR(LOOKUP(2,1/($B$9:$B$126=$B127),$AP$9:$AP126),0)+IF($F127="sell_put",$AE127*$D127,IF(AND(OR($F127="buy_to_close",$F127="expire",$F127="roll",$F127="assignment",$F127="called_away"),$F127&lt;&gt;"roll",$AG127="put"),-$AE127*$D127,0)))</f>
        <v/>
      </c>
      <c r="AQ127" s="51" t="str">
        <f>IF($A127="","",IFERROR(LOOKUP(2,1/($B$9:$B$126=$B127),$AQ$9:$AQ126),0)+IF(OR($F127="sell_put",$F127="sell_call"),$AE127,0)-IF(AND(OR($F127="buy_to_close",$F127="expire",$F127="roll",$F127="assignment",$F127="called_away"),$F127&lt;&gt;"roll"),$AE127,0))</f>
        <v/>
      </c>
      <c r="AR127" t="str">
        <f t="shared" si="30"/>
        <v/>
      </c>
      <c r="AS127" s="50" t="str">
        <f t="shared" si="31"/>
        <v/>
      </c>
      <c r="AT127" s="50" t="str">
        <f>IF($A127="","",MAX(IF($T127=IFERROR(LOOKUP(2,1/($B$9:$B$126=$B127),$T$9:$T126),0),IFERROR(LOOKUP(2,1/($B$9:$B$126=$B127),$AT$9:$AT126),0),0),$AS127))</f>
        <v/>
      </c>
      <c r="AU127" t="str">
        <f t="shared" si="32"/>
        <v/>
      </c>
      <c r="AV127" s="51">
        <f>IF($AU127="",0,IF(AND(IFERROR(LOOKUP(2,1/($B$9:$B$126=$B127),$AR$9:$AR126),1),NOT(AND(OR($F127="dividend",$F127="fee"),IFERROR(LOOKUP(2,1/($B$9:$B$126=$B127),$T$9:$T126),0)&gt;0))),ROW(),0))</f>
        <v>0</v>
      </c>
      <c r="AW127">
        <f>IF($A127="",0,IF($AV127&gt;0,MAX($AW$9:$AW$126)+1,MAX($AW$9:$AW$126)))</f>
        <v>0</v>
      </c>
      <c r="AX127">
        <f>IF($AU127="",0,IF(AND($AR127,OR(NOT(IFERROR(LOOKUP(2,1/($B$9:$B$126=$B127),$AR$9:$AR126),1)),IFERROR(LOOKUP(2,1/($B$9:$B$126=$B127),$T$9:$T126),0)=0)),ROW(),0))</f>
        <v>0</v>
      </c>
      <c r="AY127" t="str">
        <f t="shared" si="33"/>
        <v/>
      </c>
    </row>
    <row r="128" spans="1:51" ht="15" x14ac:dyDescent="0.25">
      <c r="A128" s="52" t="str">
        <f>IF(Trades!$A128="","",Trades!O128)</f>
        <v/>
      </c>
      <c r="B128" s="52" t="str">
        <f>IF(Trades!$A128="","",Trades!B128)</f>
        <v/>
      </c>
      <c r="C128" s="52" t="str">
        <f>IF(Trades!$A128="","",Trades!C128)</f>
        <v/>
      </c>
      <c r="D128" s="53" t="str">
        <f>IF(Trades!$A128="","",IF(Trades!$L128&gt;0,Trades!$L128,Trades!$C$6))</f>
        <v/>
      </c>
      <c r="E128" s="54" t="str">
        <f>IF(Trades!$A128="","",Trades!A128)</f>
        <v/>
      </c>
      <c r="F128" s="52" t="str">
        <f>IF(Trades!$A128="","",IFERROR(INDEX(Trades!$V$2:$V$14,MATCH(Trades!$E128,Trades!$U$2:$U$14,0)),""))</f>
        <v/>
      </c>
      <c r="G128" s="52" t="str">
        <f>IF(Trades!$A128="","",Trades!N128)</f>
        <v/>
      </c>
      <c r="H128" s="53" t="str">
        <f>IF(Trades!$A128="","",Trades!F128)</f>
        <v/>
      </c>
      <c r="I128" s="55" t="str">
        <f>IF(Trades!$A128="","",Trades!G128)</f>
        <v/>
      </c>
      <c r="J128" s="55" t="str">
        <f>IF(Trades!$A128="","",Trades!I128)</f>
        <v/>
      </c>
      <c r="K128" s="55" t="str">
        <f>IF(Trades!$A128="","",Trades!Q128)</f>
        <v/>
      </c>
      <c r="L128" s="53" t="str">
        <f>IF(Trades!$A128="","",Trades!F128)</f>
        <v/>
      </c>
      <c r="M128" s="55" t="str">
        <f>IF(Trades!$A128="","",Trades!M128)</f>
        <v/>
      </c>
      <c r="N128" s="55" t="str">
        <f>IF(Trades!$A128="","",Trades!R128)</f>
        <v/>
      </c>
      <c r="O128" s="55" t="str">
        <f>IF(Trades!$A128="","",Trades!J128)</f>
        <v/>
      </c>
      <c r="P128" s="54" t="str">
        <f>IF(Trades!$A128="","",Trades!H128)</f>
        <v/>
      </c>
      <c r="Q128" s="52" t="str">
        <f>IF(Trades!$A128="","",Trades!P128)</f>
        <v/>
      </c>
      <c r="R128" s="56" t="str">
        <f t="shared" si="17"/>
        <v/>
      </c>
      <c r="S128" s="56" t="str">
        <f t="shared" si="18"/>
        <v/>
      </c>
      <c r="T128" s="57" t="str">
        <f>IF(OR($A128="",$B128=""),"",IF(AND(IFERROR(LOOKUP(2,1/($B$9:$B$127=$B128),$AR$9:$AR127),1),NOT(AND(OR($F128="dividend",$F128="fee"),IFERROR(LOOKUP(2,1/($B$9:$B$127=$B128),$T$9:$T127),0)&gt;0))),IFERROR(LOOKUP(2,1/($B$9:$B$127=$B128),$T$9:$T127),0)+1,IFERROR(LOOKUP(2,1/($B$9:$B$127=$B128),$T$9:$T127),0)))</f>
        <v/>
      </c>
      <c r="U128" s="58" t="str">
        <f t="shared" si="19"/>
        <v/>
      </c>
      <c r="V128" s="58" t="str">
        <f>IF($A128="","",IF(OR($B128="",$C128="",$D128="",$E128="",$F128=""),"Missing required field",IF(COUNTIFS($A$9:$A128,$A128,$B$9:$B128,$B128)&gt;1,"Duplicate event ID",IF(AND($E128&lt;&gt;IFERROR(LOOKUP(2,1/($B$9:$B$127=$B128),$E$9:$E127),0),IFERROR(LOOKUP(2,1/($B$9:$B$127=$B128),$E$9:$E127),0)&gt;$E128),"Date out of order",IF(AND(OR($F128="buy_to_close",$F128="expire",$F128="roll",$F128="assignment",$F128="called_away"),$AF128=0),"Unknown lot",IF(OR(AND($F128="assignment",$AF128&gt;0,IF($AF128&gt;0,INDEX($AG$9:$AG$127,$AF128),"")&lt;&gt;"put"),AND($F128="called_away",$AF128&gt;0,IF($AF128&gt;0,INDEX($AG$9:$AG$127,$AF128),"")&lt;&gt;"call")),"Wrong option leg",IF(OR(AND(OR($F128="sell_put",$F128="sell_call"),OR($H128&lt;=0,$I128&lt;=0,$J128&lt;0)),AND(OR($F128="buy_to_close",$F128="expire",$F128="assignment",$F128="called_away"),OR($H128&lt;=0,$J128&lt;0)),AND($F128="roll",OR($H128&lt;=0,$I128&lt;=0,$J128&lt;0,$K128&lt;0)),AND(OR($F128="buy_shares",$F128="sell_shares"),OR($L128&lt;=0,$M128&lt;0)),AND(OR($F128="dividend",$F128="fee"),$N128&lt;0)),"Invalid value",IF(AND(OR($F128="sell_shares",$F128="called_away"),$AL128&lt;IF($F128="called_away",$AE128*$D128,$L128)),"Insufficient shares (capped)",IF(AND(OR($F128="buy_to_close",$F128="expire",$F128="roll",$F128="assignment",$F128="called_away"),$AF128&gt;0,$H128&gt;IF($AF128&gt;0,MAX(0,INDEX($AI$9:$AI$127,$AF128)-SUMIFS($AE$9:$AE$127,$G$9:$G$127,$G128,$B$9:$B$127,$B128)),0)),"Close quantity capped","OK")))))))))</f>
        <v/>
      </c>
      <c r="W128" s="59" t="str">
        <f t="shared" si="20"/>
        <v/>
      </c>
      <c r="X128" s="60" t="str">
        <f t="shared" si="21"/>
        <v/>
      </c>
      <c r="Y128" s="50" t="str">
        <f t="shared" si="22"/>
        <v/>
      </c>
      <c r="Z128" s="50" t="str">
        <f t="shared" si="23"/>
        <v/>
      </c>
      <c r="AA128" s="50" t="str">
        <f t="shared" si="24"/>
        <v/>
      </c>
      <c r="AB128" s="50" t="str">
        <f t="shared" si="25"/>
        <v/>
      </c>
      <c r="AC128" s="50" t="str">
        <f>IF($A128="","",IF($F128="assignment",IF($AF128&gt;0,INDEX($AH$9:$AH$127,$AF128),0)*$AE128*$D128,IF($F128="buy_shares",$M128*$AL128,0)))</f>
        <v/>
      </c>
      <c r="AD128" s="50" t="str">
        <f>IF($A128="","",IF($F128="called_away",IF($AF128&gt;0,INDEX($AH$9:$AH$127,$AF128),0)*$AL128,IF($F128="sell_shares",$M128*$AL128,0)))</f>
        <v/>
      </c>
      <c r="AE128" s="51" t="str">
        <f>IF($A128="","",IF(OR($F128="sell_put",$F128="sell_call"),IF(AND($H128&gt;0,$I128&gt;0,$J128&gt;=0),$H128,0),IF(OR($F128="buy_to_close",$F128="expire",$F128="roll",$F128="assignment",$F128="called_away"),IF(AND($AF128&gt;0,$H128&gt;0,IF($F128="assignment",IF($AF128&gt;0,INDEX($AG$9:$AG$127,$AF128),"")="put",TRUE),IF($F128="called_away",IF($AF128&gt;0,INDEX($AG$9:$AG$127,$AF128),"")="call",TRUE)),MIN($H128,IF($AF128&gt;0,MAX(0,INDEX($AI$9:$AI$127,$AF128)-SUMIFS($AE$9:$AE$127,$G$9:$G$127,$G128,$B$9:$B$127,$B128)),0)),0),0)))</f>
        <v/>
      </c>
      <c r="AF128" t="str">
        <f>IF($A128="","",IFERROR(MATCH(LEN($B128)&amp;":"&amp;$B128&amp;$G128,$AY$9:$AY$127,0),0))</f>
        <v/>
      </c>
      <c r="AG128" t="str">
        <f>IF($A128="","",IF($F128="sell_put","put",IF($F128="sell_call","call",IF($F128="roll",IF($AF128&gt;0,IF($AF128&gt;0,INDEX($AG$9:$AG$127,$AF128),""),""),IF($AF128&gt;0,IF($AF128&gt;0,INDEX($AG$9:$AG$127,$AF128),""),"")))))</f>
        <v/>
      </c>
      <c r="AH128" t="str">
        <f>IF($A128="","",IF(OR($F128="sell_put",$F128="sell_call",$F128="roll"),$I128,IF($AF128&gt;0,IF($AF128&gt;0,INDEX($AH$9:$AH$127,$AF128),0),0)))</f>
        <v/>
      </c>
      <c r="AI128" s="51" t="str">
        <f t="shared" si="26"/>
        <v/>
      </c>
      <c r="AJ128" s="51" t="str">
        <f>IF($A128="","",IFERROR(LOOKUP(2,1/($B$9:$B$127=$B128),$AM$9:$AM127),0))</f>
        <v/>
      </c>
      <c r="AK128" t="str">
        <f>IF($A128="","",IFERROR(LOOKUP(2,1/($B$9:$B$127=$B128),$AN$9:$AN127),0))</f>
        <v/>
      </c>
      <c r="AL128" s="51" t="str">
        <f t="shared" si="27"/>
        <v/>
      </c>
      <c r="AM128" s="51" t="str">
        <f t="shared" si="28"/>
        <v/>
      </c>
      <c r="AN128" t="str">
        <f t="shared" si="29"/>
        <v/>
      </c>
      <c r="AO128" s="50" t="str">
        <f>IF($A128="","",IFERROR(LOOKUP(2,1/($B$9:$B$127=$B128),$AO$9:$AO127),0)+IF($F128="sell_put",$I128*$AE128*$D128,IF($F128="roll",IF($AG128="put",($I128-IF($AF128&gt;0,INDEX($AH$9:$AH$127,$AF128),0))*$AE128*$D128,0),IF(AND(OR($F128="buy_to_close",$F128="expire",$F128="roll",$F128="assignment",$F128="called_away"),$F128&lt;&gt;"roll",$AG128="put"),-IF($AF128&gt;0,INDEX($AH$9:$AH$127,$AF128),0)*$AE128*$D128,0))))</f>
        <v/>
      </c>
      <c r="AP128" s="51" t="str">
        <f>IF($A128="","",IFERROR(LOOKUP(2,1/($B$9:$B$127=$B128),$AP$9:$AP127),0)+IF($F128="sell_put",$AE128*$D128,IF(AND(OR($F128="buy_to_close",$F128="expire",$F128="roll",$F128="assignment",$F128="called_away"),$F128&lt;&gt;"roll",$AG128="put"),-$AE128*$D128,0)))</f>
        <v/>
      </c>
      <c r="AQ128" s="51" t="str">
        <f>IF($A128="","",IFERROR(LOOKUP(2,1/($B$9:$B$127=$B128),$AQ$9:$AQ127),0)+IF(OR($F128="sell_put",$F128="sell_call"),$AE128,0)-IF(AND(OR($F128="buy_to_close",$F128="expire",$F128="roll",$F128="assignment",$F128="called_away"),$F128&lt;&gt;"roll"),$AE128,0))</f>
        <v/>
      </c>
      <c r="AR128" t="str">
        <f t="shared" si="30"/>
        <v/>
      </c>
      <c r="AS128" s="50" t="str">
        <f t="shared" si="31"/>
        <v/>
      </c>
      <c r="AT128" s="50" t="str">
        <f>IF($A128="","",MAX(IF($T128=IFERROR(LOOKUP(2,1/($B$9:$B$127=$B128),$T$9:$T127),0),IFERROR(LOOKUP(2,1/($B$9:$B$127=$B128),$AT$9:$AT127),0),0),$AS128))</f>
        <v/>
      </c>
      <c r="AU128" t="str">
        <f t="shared" si="32"/>
        <v/>
      </c>
      <c r="AV128" s="51">
        <f>IF($AU128="",0,IF(AND(IFERROR(LOOKUP(2,1/($B$9:$B$127=$B128),$AR$9:$AR127),1),NOT(AND(OR($F128="dividend",$F128="fee"),IFERROR(LOOKUP(2,1/($B$9:$B$127=$B128),$T$9:$T127),0)&gt;0))),ROW(),0))</f>
        <v>0</v>
      </c>
      <c r="AW128">
        <f>IF($A128="",0,IF($AV128&gt;0,MAX($AW$9:$AW$127)+1,MAX($AW$9:$AW$127)))</f>
        <v>0</v>
      </c>
      <c r="AX128">
        <f>IF($AU128="",0,IF(AND($AR128,OR(NOT(IFERROR(LOOKUP(2,1/($B$9:$B$127=$B128),$AR$9:$AR127),1)),IFERROR(LOOKUP(2,1/($B$9:$B$127=$B128),$T$9:$T127),0)=0)),ROW(),0))</f>
        <v>0</v>
      </c>
      <c r="AY128" t="str">
        <f t="shared" si="33"/>
        <v/>
      </c>
    </row>
    <row r="129" spans="1:51" ht="15" x14ac:dyDescent="0.25">
      <c r="A129" s="41" t="str">
        <f>IF(Trades!$A129="","",Trades!O129)</f>
        <v/>
      </c>
      <c r="B129" s="41" t="str">
        <f>IF(Trades!$A129="","",Trades!B129)</f>
        <v/>
      </c>
      <c r="C129" s="41" t="str">
        <f>IF(Trades!$A129="","",Trades!C129)</f>
        <v/>
      </c>
      <c r="D129" s="42" t="str">
        <f>IF(Trades!$A129="","",IF(Trades!$L129&gt;0,Trades!$L129,Trades!$C$6))</f>
        <v/>
      </c>
      <c r="E129" s="43" t="str">
        <f>IF(Trades!$A129="","",Trades!A129)</f>
        <v/>
      </c>
      <c r="F129" s="41" t="str">
        <f>IF(Trades!$A129="","",IFERROR(INDEX(Trades!$V$2:$V$14,MATCH(Trades!$E129,Trades!$U$2:$U$14,0)),""))</f>
        <v/>
      </c>
      <c r="G129" s="41" t="str">
        <f>IF(Trades!$A129="","",Trades!N129)</f>
        <v/>
      </c>
      <c r="H129" s="42" t="str">
        <f>IF(Trades!$A129="","",Trades!F129)</f>
        <v/>
      </c>
      <c r="I129" s="44" t="str">
        <f>IF(Trades!$A129="","",Trades!G129)</f>
        <v/>
      </c>
      <c r="J129" s="44" t="str">
        <f>IF(Trades!$A129="","",Trades!I129)</f>
        <v/>
      </c>
      <c r="K129" s="44" t="str">
        <f>IF(Trades!$A129="","",Trades!Q129)</f>
        <v/>
      </c>
      <c r="L129" s="42" t="str">
        <f>IF(Trades!$A129="","",Trades!F129)</f>
        <v/>
      </c>
      <c r="M129" s="44" t="str">
        <f>IF(Trades!$A129="","",Trades!M129)</f>
        <v/>
      </c>
      <c r="N129" s="44" t="str">
        <f>IF(Trades!$A129="","",Trades!R129)</f>
        <v/>
      </c>
      <c r="O129" s="44" t="str">
        <f>IF(Trades!$A129="","",Trades!J129)</f>
        <v/>
      </c>
      <c r="P129" s="43" t="str">
        <f>IF(Trades!$A129="","",Trades!H129)</f>
        <v/>
      </c>
      <c r="Q129" s="41" t="str">
        <f>IF(Trades!$A129="","",Trades!P129)</f>
        <v/>
      </c>
      <c r="R129" s="45" t="str">
        <f t="shared" si="17"/>
        <v/>
      </c>
      <c r="S129" s="45" t="str">
        <f t="shared" si="18"/>
        <v/>
      </c>
      <c r="T129" s="46" t="str">
        <f>IF(OR($A129="",$B129=""),"",IF(AND(IFERROR(LOOKUP(2,1/($B$9:$B$128=$B129),$AR$9:$AR128),1),NOT(AND(OR($F129="dividend",$F129="fee"),IFERROR(LOOKUP(2,1/($B$9:$B$128=$B129),$T$9:$T128),0)&gt;0))),IFERROR(LOOKUP(2,1/($B$9:$B$128=$B129),$T$9:$T128),0)+1,IFERROR(LOOKUP(2,1/($B$9:$B$128=$B129),$T$9:$T128),0)))</f>
        <v/>
      </c>
      <c r="U129" s="47" t="str">
        <f t="shared" si="19"/>
        <v/>
      </c>
      <c r="V129" s="47" t="str">
        <f>IF($A129="","",IF(OR($B129="",$C129="",$D129="",$E129="",$F129=""),"Missing required field",IF(COUNTIFS($A$9:$A129,$A129,$B$9:$B129,$B129)&gt;1,"Duplicate event ID",IF(AND($E129&lt;&gt;IFERROR(LOOKUP(2,1/($B$9:$B$128=$B129),$E$9:$E128),0),IFERROR(LOOKUP(2,1/($B$9:$B$128=$B129),$E$9:$E128),0)&gt;$E129),"Date out of order",IF(AND(OR($F129="buy_to_close",$F129="expire",$F129="roll",$F129="assignment",$F129="called_away"),$AF129=0),"Unknown lot",IF(OR(AND($F129="assignment",$AF129&gt;0,IF($AF129&gt;0,INDEX($AG$9:$AG$128,$AF129),"")&lt;&gt;"put"),AND($F129="called_away",$AF129&gt;0,IF($AF129&gt;0,INDEX($AG$9:$AG$128,$AF129),"")&lt;&gt;"call")),"Wrong option leg",IF(OR(AND(OR($F129="sell_put",$F129="sell_call"),OR($H129&lt;=0,$I129&lt;=0,$J129&lt;0)),AND(OR($F129="buy_to_close",$F129="expire",$F129="assignment",$F129="called_away"),OR($H129&lt;=0,$J129&lt;0)),AND($F129="roll",OR($H129&lt;=0,$I129&lt;=0,$J129&lt;0,$K129&lt;0)),AND(OR($F129="buy_shares",$F129="sell_shares"),OR($L129&lt;=0,$M129&lt;0)),AND(OR($F129="dividend",$F129="fee"),$N129&lt;0)),"Invalid value",IF(AND(OR($F129="sell_shares",$F129="called_away"),$AL129&lt;IF($F129="called_away",$AE129*$D129,$L129)),"Insufficient shares (capped)",IF(AND(OR($F129="buy_to_close",$F129="expire",$F129="roll",$F129="assignment",$F129="called_away"),$AF129&gt;0,$H129&gt;IF($AF129&gt;0,MAX(0,INDEX($AI$9:$AI$128,$AF129)-SUMIFS($AE$9:$AE$128,$G$9:$G$128,$G129,$B$9:$B$128,$B129)),0)),"Close quantity capped","OK")))))))))</f>
        <v/>
      </c>
      <c r="W129" s="48" t="str">
        <f t="shared" si="20"/>
        <v/>
      </c>
      <c r="X129" s="49" t="str">
        <f t="shared" si="21"/>
        <v/>
      </c>
      <c r="Y129" s="50" t="str">
        <f t="shared" si="22"/>
        <v/>
      </c>
      <c r="Z129" s="50" t="str">
        <f t="shared" si="23"/>
        <v/>
      </c>
      <c r="AA129" s="50" t="str">
        <f t="shared" si="24"/>
        <v/>
      </c>
      <c r="AB129" s="50" t="str">
        <f t="shared" si="25"/>
        <v/>
      </c>
      <c r="AC129" s="50" t="str">
        <f>IF($A129="","",IF($F129="assignment",IF($AF129&gt;0,INDEX($AH$9:$AH$128,$AF129),0)*$AE129*$D129,IF($F129="buy_shares",$M129*$AL129,0)))</f>
        <v/>
      </c>
      <c r="AD129" s="50" t="str">
        <f>IF($A129="","",IF($F129="called_away",IF($AF129&gt;0,INDEX($AH$9:$AH$128,$AF129),0)*$AL129,IF($F129="sell_shares",$M129*$AL129,0)))</f>
        <v/>
      </c>
      <c r="AE129" s="51" t="str">
        <f>IF($A129="","",IF(OR($F129="sell_put",$F129="sell_call"),IF(AND($H129&gt;0,$I129&gt;0,$J129&gt;=0),$H129,0),IF(OR($F129="buy_to_close",$F129="expire",$F129="roll",$F129="assignment",$F129="called_away"),IF(AND($AF129&gt;0,$H129&gt;0,IF($F129="assignment",IF($AF129&gt;0,INDEX($AG$9:$AG$128,$AF129),"")="put",TRUE),IF($F129="called_away",IF($AF129&gt;0,INDEX($AG$9:$AG$128,$AF129),"")="call",TRUE)),MIN($H129,IF($AF129&gt;0,MAX(0,INDEX($AI$9:$AI$128,$AF129)-SUMIFS($AE$9:$AE$128,$G$9:$G$128,$G129,$B$9:$B$128,$B129)),0)),0),0)))</f>
        <v/>
      </c>
      <c r="AF129" t="str">
        <f>IF($A129="","",IFERROR(MATCH(LEN($B129)&amp;":"&amp;$B129&amp;$G129,$AY$9:$AY$128,0),0))</f>
        <v/>
      </c>
      <c r="AG129" t="str">
        <f>IF($A129="","",IF($F129="sell_put","put",IF($F129="sell_call","call",IF($F129="roll",IF($AF129&gt;0,IF($AF129&gt;0,INDEX($AG$9:$AG$128,$AF129),""),""),IF($AF129&gt;0,IF($AF129&gt;0,INDEX($AG$9:$AG$128,$AF129),""),"")))))</f>
        <v/>
      </c>
      <c r="AH129" t="str">
        <f>IF($A129="","",IF(OR($F129="sell_put",$F129="sell_call",$F129="roll"),$I129,IF($AF129&gt;0,IF($AF129&gt;0,INDEX($AH$9:$AH$128,$AF129),0),0)))</f>
        <v/>
      </c>
      <c r="AI129" s="51" t="str">
        <f t="shared" si="26"/>
        <v/>
      </c>
      <c r="AJ129" s="51" t="str">
        <f>IF($A129="","",IFERROR(LOOKUP(2,1/($B$9:$B$128=$B129),$AM$9:$AM128),0))</f>
        <v/>
      </c>
      <c r="AK129" t="str">
        <f>IF($A129="","",IFERROR(LOOKUP(2,1/($B$9:$B$128=$B129),$AN$9:$AN128),0))</f>
        <v/>
      </c>
      <c r="AL129" s="51" t="str">
        <f t="shared" si="27"/>
        <v/>
      </c>
      <c r="AM129" s="51" t="str">
        <f t="shared" si="28"/>
        <v/>
      </c>
      <c r="AN129" t="str">
        <f t="shared" si="29"/>
        <v/>
      </c>
      <c r="AO129" s="50" t="str">
        <f>IF($A129="","",IFERROR(LOOKUP(2,1/($B$9:$B$128=$B129),$AO$9:$AO128),0)+IF($F129="sell_put",$I129*$AE129*$D129,IF($F129="roll",IF($AG129="put",($I129-IF($AF129&gt;0,INDEX($AH$9:$AH$128,$AF129),0))*$AE129*$D129,0),IF(AND(OR($F129="buy_to_close",$F129="expire",$F129="roll",$F129="assignment",$F129="called_away"),$F129&lt;&gt;"roll",$AG129="put"),-IF($AF129&gt;0,INDEX($AH$9:$AH$128,$AF129),0)*$AE129*$D129,0))))</f>
        <v/>
      </c>
      <c r="AP129" s="51" t="str">
        <f>IF($A129="","",IFERROR(LOOKUP(2,1/($B$9:$B$128=$B129),$AP$9:$AP128),0)+IF($F129="sell_put",$AE129*$D129,IF(AND(OR($F129="buy_to_close",$F129="expire",$F129="roll",$F129="assignment",$F129="called_away"),$F129&lt;&gt;"roll",$AG129="put"),-$AE129*$D129,0)))</f>
        <v/>
      </c>
      <c r="AQ129" s="51" t="str">
        <f>IF($A129="","",IFERROR(LOOKUP(2,1/($B$9:$B$128=$B129),$AQ$9:$AQ128),0)+IF(OR($F129="sell_put",$F129="sell_call"),$AE129,0)-IF(AND(OR($F129="buy_to_close",$F129="expire",$F129="roll",$F129="assignment",$F129="called_away"),$F129&lt;&gt;"roll"),$AE129,0))</f>
        <v/>
      </c>
      <c r="AR129" t="str">
        <f t="shared" si="30"/>
        <v/>
      </c>
      <c r="AS129" s="50" t="str">
        <f t="shared" si="31"/>
        <v/>
      </c>
      <c r="AT129" s="50" t="str">
        <f>IF($A129="","",MAX(IF($T129=IFERROR(LOOKUP(2,1/($B$9:$B$128=$B129),$T$9:$T128),0),IFERROR(LOOKUP(2,1/($B$9:$B$128=$B129),$AT$9:$AT128),0),0),$AS129))</f>
        <v/>
      </c>
      <c r="AU129" t="str">
        <f t="shared" si="32"/>
        <v/>
      </c>
      <c r="AV129" s="51">
        <f>IF($AU129="",0,IF(AND(IFERROR(LOOKUP(2,1/($B$9:$B$128=$B129),$AR$9:$AR128),1),NOT(AND(OR($F129="dividend",$F129="fee"),IFERROR(LOOKUP(2,1/($B$9:$B$128=$B129),$T$9:$T128),0)&gt;0))),ROW(),0))</f>
        <v>0</v>
      </c>
      <c r="AW129">
        <f>IF($A129="",0,IF($AV129&gt;0,MAX($AW$9:$AW$128)+1,MAX($AW$9:$AW$128)))</f>
        <v>0</v>
      </c>
      <c r="AX129">
        <f>IF($AU129="",0,IF(AND($AR129,OR(NOT(IFERROR(LOOKUP(2,1/($B$9:$B$128=$B129),$AR$9:$AR128),1)),IFERROR(LOOKUP(2,1/($B$9:$B$128=$B129),$T$9:$T128),0)=0)),ROW(),0))</f>
        <v>0</v>
      </c>
      <c r="AY129" t="str">
        <f t="shared" si="33"/>
        <v/>
      </c>
    </row>
    <row r="130" spans="1:51" ht="15" x14ac:dyDescent="0.25">
      <c r="A130" s="52" t="str">
        <f>IF(Trades!$A130="","",Trades!O130)</f>
        <v/>
      </c>
      <c r="B130" s="52" t="str">
        <f>IF(Trades!$A130="","",Trades!B130)</f>
        <v/>
      </c>
      <c r="C130" s="52" t="str">
        <f>IF(Trades!$A130="","",Trades!C130)</f>
        <v/>
      </c>
      <c r="D130" s="53" t="str">
        <f>IF(Trades!$A130="","",IF(Trades!$L130&gt;0,Trades!$L130,Trades!$C$6))</f>
        <v/>
      </c>
      <c r="E130" s="54" t="str">
        <f>IF(Trades!$A130="","",Trades!A130)</f>
        <v/>
      </c>
      <c r="F130" s="52" t="str">
        <f>IF(Trades!$A130="","",IFERROR(INDEX(Trades!$V$2:$V$14,MATCH(Trades!$E130,Trades!$U$2:$U$14,0)),""))</f>
        <v/>
      </c>
      <c r="G130" s="52" t="str">
        <f>IF(Trades!$A130="","",Trades!N130)</f>
        <v/>
      </c>
      <c r="H130" s="53" t="str">
        <f>IF(Trades!$A130="","",Trades!F130)</f>
        <v/>
      </c>
      <c r="I130" s="55" t="str">
        <f>IF(Trades!$A130="","",Trades!G130)</f>
        <v/>
      </c>
      <c r="J130" s="55" t="str">
        <f>IF(Trades!$A130="","",Trades!I130)</f>
        <v/>
      </c>
      <c r="K130" s="55" t="str">
        <f>IF(Trades!$A130="","",Trades!Q130)</f>
        <v/>
      </c>
      <c r="L130" s="53" t="str">
        <f>IF(Trades!$A130="","",Trades!F130)</f>
        <v/>
      </c>
      <c r="M130" s="55" t="str">
        <f>IF(Trades!$A130="","",Trades!M130)</f>
        <v/>
      </c>
      <c r="N130" s="55" t="str">
        <f>IF(Trades!$A130="","",Trades!R130)</f>
        <v/>
      </c>
      <c r="O130" s="55" t="str">
        <f>IF(Trades!$A130="","",Trades!J130)</f>
        <v/>
      </c>
      <c r="P130" s="54" t="str">
        <f>IF(Trades!$A130="","",Trades!H130)</f>
        <v/>
      </c>
      <c r="Q130" s="52" t="str">
        <f>IF(Trades!$A130="","",Trades!P130)</f>
        <v/>
      </c>
      <c r="R130" s="56" t="str">
        <f t="shared" si="17"/>
        <v/>
      </c>
      <c r="S130" s="56" t="str">
        <f t="shared" si="18"/>
        <v/>
      </c>
      <c r="T130" s="57" t="str">
        <f>IF(OR($A130="",$B130=""),"",IF(AND(IFERROR(LOOKUP(2,1/($B$9:$B$129=$B130),$AR$9:$AR129),1),NOT(AND(OR($F130="dividend",$F130="fee"),IFERROR(LOOKUP(2,1/($B$9:$B$129=$B130),$T$9:$T129),0)&gt;0))),IFERROR(LOOKUP(2,1/($B$9:$B$129=$B130),$T$9:$T129),0)+1,IFERROR(LOOKUP(2,1/($B$9:$B$129=$B130),$T$9:$T129),0)))</f>
        <v/>
      </c>
      <c r="U130" s="58" t="str">
        <f t="shared" si="19"/>
        <v/>
      </c>
      <c r="V130" s="58" t="str">
        <f>IF($A130="","",IF(OR($B130="",$C130="",$D130="",$E130="",$F130=""),"Missing required field",IF(COUNTIFS($A$9:$A130,$A130,$B$9:$B130,$B130)&gt;1,"Duplicate event ID",IF(AND($E130&lt;&gt;IFERROR(LOOKUP(2,1/($B$9:$B$129=$B130),$E$9:$E129),0),IFERROR(LOOKUP(2,1/($B$9:$B$129=$B130),$E$9:$E129),0)&gt;$E130),"Date out of order",IF(AND(OR($F130="buy_to_close",$F130="expire",$F130="roll",$F130="assignment",$F130="called_away"),$AF130=0),"Unknown lot",IF(OR(AND($F130="assignment",$AF130&gt;0,IF($AF130&gt;0,INDEX($AG$9:$AG$129,$AF130),"")&lt;&gt;"put"),AND($F130="called_away",$AF130&gt;0,IF($AF130&gt;0,INDEX($AG$9:$AG$129,$AF130),"")&lt;&gt;"call")),"Wrong option leg",IF(OR(AND(OR($F130="sell_put",$F130="sell_call"),OR($H130&lt;=0,$I130&lt;=0,$J130&lt;0)),AND(OR($F130="buy_to_close",$F130="expire",$F130="assignment",$F130="called_away"),OR($H130&lt;=0,$J130&lt;0)),AND($F130="roll",OR($H130&lt;=0,$I130&lt;=0,$J130&lt;0,$K130&lt;0)),AND(OR($F130="buy_shares",$F130="sell_shares"),OR($L130&lt;=0,$M130&lt;0)),AND(OR($F130="dividend",$F130="fee"),$N130&lt;0)),"Invalid value",IF(AND(OR($F130="sell_shares",$F130="called_away"),$AL130&lt;IF($F130="called_away",$AE130*$D130,$L130)),"Insufficient shares (capped)",IF(AND(OR($F130="buy_to_close",$F130="expire",$F130="roll",$F130="assignment",$F130="called_away"),$AF130&gt;0,$H130&gt;IF($AF130&gt;0,MAX(0,INDEX($AI$9:$AI$129,$AF130)-SUMIFS($AE$9:$AE$129,$G$9:$G$129,$G130,$B$9:$B$129,$B130)),0)),"Close quantity capped","OK")))))))))</f>
        <v/>
      </c>
      <c r="W130" s="59" t="str">
        <f t="shared" si="20"/>
        <v/>
      </c>
      <c r="X130" s="60" t="str">
        <f t="shared" si="21"/>
        <v/>
      </c>
      <c r="Y130" s="50" t="str">
        <f t="shared" si="22"/>
        <v/>
      </c>
      <c r="Z130" s="50" t="str">
        <f t="shared" si="23"/>
        <v/>
      </c>
      <c r="AA130" s="50" t="str">
        <f t="shared" si="24"/>
        <v/>
      </c>
      <c r="AB130" s="50" t="str">
        <f t="shared" si="25"/>
        <v/>
      </c>
      <c r="AC130" s="50" t="str">
        <f>IF($A130="","",IF($F130="assignment",IF($AF130&gt;0,INDEX($AH$9:$AH$129,$AF130),0)*$AE130*$D130,IF($F130="buy_shares",$M130*$AL130,0)))</f>
        <v/>
      </c>
      <c r="AD130" s="50" t="str">
        <f>IF($A130="","",IF($F130="called_away",IF($AF130&gt;0,INDEX($AH$9:$AH$129,$AF130),0)*$AL130,IF($F130="sell_shares",$M130*$AL130,0)))</f>
        <v/>
      </c>
      <c r="AE130" s="51" t="str">
        <f>IF($A130="","",IF(OR($F130="sell_put",$F130="sell_call"),IF(AND($H130&gt;0,$I130&gt;0,$J130&gt;=0),$H130,0),IF(OR($F130="buy_to_close",$F130="expire",$F130="roll",$F130="assignment",$F130="called_away"),IF(AND($AF130&gt;0,$H130&gt;0,IF($F130="assignment",IF($AF130&gt;0,INDEX($AG$9:$AG$129,$AF130),"")="put",TRUE),IF($F130="called_away",IF($AF130&gt;0,INDEX($AG$9:$AG$129,$AF130),"")="call",TRUE)),MIN($H130,IF($AF130&gt;0,MAX(0,INDEX($AI$9:$AI$129,$AF130)-SUMIFS($AE$9:$AE$129,$G$9:$G$129,$G130,$B$9:$B$129,$B130)),0)),0),0)))</f>
        <v/>
      </c>
      <c r="AF130" t="str">
        <f>IF($A130="","",IFERROR(MATCH(LEN($B130)&amp;":"&amp;$B130&amp;$G130,$AY$9:$AY$129,0),0))</f>
        <v/>
      </c>
      <c r="AG130" t="str">
        <f>IF($A130="","",IF($F130="sell_put","put",IF($F130="sell_call","call",IF($F130="roll",IF($AF130&gt;0,IF($AF130&gt;0,INDEX($AG$9:$AG$129,$AF130),""),""),IF($AF130&gt;0,IF($AF130&gt;0,INDEX($AG$9:$AG$129,$AF130),""),"")))))</f>
        <v/>
      </c>
      <c r="AH130" t="str">
        <f>IF($A130="","",IF(OR($F130="sell_put",$F130="sell_call",$F130="roll"),$I130,IF($AF130&gt;0,IF($AF130&gt;0,INDEX($AH$9:$AH$129,$AF130),0),0)))</f>
        <v/>
      </c>
      <c r="AI130" s="51" t="str">
        <f t="shared" si="26"/>
        <v/>
      </c>
      <c r="AJ130" s="51" t="str">
        <f>IF($A130="","",IFERROR(LOOKUP(2,1/($B$9:$B$129=$B130),$AM$9:$AM129),0))</f>
        <v/>
      </c>
      <c r="AK130" t="str">
        <f>IF($A130="","",IFERROR(LOOKUP(2,1/($B$9:$B$129=$B130),$AN$9:$AN129),0))</f>
        <v/>
      </c>
      <c r="AL130" s="51" t="str">
        <f t="shared" si="27"/>
        <v/>
      </c>
      <c r="AM130" s="51" t="str">
        <f t="shared" si="28"/>
        <v/>
      </c>
      <c r="AN130" t="str">
        <f t="shared" si="29"/>
        <v/>
      </c>
      <c r="AO130" s="50" t="str">
        <f>IF($A130="","",IFERROR(LOOKUP(2,1/($B$9:$B$129=$B130),$AO$9:$AO129),0)+IF($F130="sell_put",$I130*$AE130*$D130,IF($F130="roll",IF($AG130="put",($I130-IF($AF130&gt;0,INDEX($AH$9:$AH$129,$AF130),0))*$AE130*$D130,0),IF(AND(OR($F130="buy_to_close",$F130="expire",$F130="roll",$F130="assignment",$F130="called_away"),$F130&lt;&gt;"roll",$AG130="put"),-IF($AF130&gt;0,INDEX($AH$9:$AH$129,$AF130),0)*$AE130*$D130,0))))</f>
        <v/>
      </c>
      <c r="AP130" s="51" t="str">
        <f>IF($A130="","",IFERROR(LOOKUP(2,1/($B$9:$B$129=$B130),$AP$9:$AP129),0)+IF($F130="sell_put",$AE130*$D130,IF(AND(OR($F130="buy_to_close",$F130="expire",$F130="roll",$F130="assignment",$F130="called_away"),$F130&lt;&gt;"roll",$AG130="put"),-$AE130*$D130,0)))</f>
        <v/>
      </c>
      <c r="AQ130" s="51" t="str">
        <f>IF($A130="","",IFERROR(LOOKUP(2,1/($B$9:$B$129=$B130),$AQ$9:$AQ129),0)+IF(OR($F130="sell_put",$F130="sell_call"),$AE130,0)-IF(AND(OR($F130="buy_to_close",$F130="expire",$F130="roll",$F130="assignment",$F130="called_away"),$F130&lt;&gt;"roll"),$AE130,0))</f>
        <v/>
      </c>
      <c r="AR130" t="str">
        <f t="shared" si="30"/>
        <v/>
      </c>
      <c r="AS130" s="50" t="str">
        <f t="shared" si="31"/>
        <v/>
      </c>
      <c r="AT130" s="50" t="str">
        <f>IF($A130="","",MAX(IF($T130=IFERROR(LOOKUP(2,1/($B$9:$B$129=$B130),$T$9:$T129),0),IFERROR(LOOKUP(2,1/($B$9:$B$129=$B130),$AT$9:$AT129),0),0),$AS130))</f>
        <v/>
      </c>
      <c r="AU130" t="str">
        <f t="shared" si="32"/>
        <v/>
      </c>
      <c r="AV130" s="51">
        <f>IF($AU130="",0,IF(AND(IFERROR(LOOKUP(2,1/($B$9:$B$129=$B130),$AR$9:$AR129),1),NOT(AND(OR($F130="dividend",$F130="fee"),IFERROR(LOOKUP(2,1/($B$9:$B$129=$B130),$T$9:$T129),0)&gt;0))),ROW(),0))</f>
        <v>0</v>
      </c>
      <c r="AW130">
        <f>IF($A130="",0,IF($AV130&gt;0,MAX($AW$9:$AW$129)+1,MAX($AW$9:$AW$129)))</f>
        <v>0</v>
      </c>
      <c r="AX130">
        <f>IF($AU130="",0,IF(AND($AR130,OR(NOT(IFERROR(LOOKUP(2,1/($B$9:$B$129=$B130),$AR$9:$AR129),1)),IFERROR(LOOKUP(2,1/($B$9:$B$129=$B130),$T$9:$T129),0)=0)),ROW(),0))</f>
        <v>0</v>
      </c>
      <c r="AY130" t="str">
        <f t="shared" si="33"/>
        <v/>
      </c>
    </row>
    <row r="131" spans="1:51" ht="15" x14ac:dyDescent="0.25">
      <c r="A131" s="41" t="str">
        <f>IF(Trades!$A131="","",Trades!O131)</f>
        <v/>
      </c>
      <c r="B131" s="41" t="str">
        <f>IF(Trades!$A131="","",Trades!B131)</f>
        <v/>
      </c>
      <c r="C131" s="41" t="str">
        <f>IF(Trades!$A131="","",Trades!C131)</f>
        <v/>
      </c>
      <c r="D131" s="42" t="str">
        <f>IF(Trades!$A131="","",IF(Trades!$L131&gt;0,Trades!$L131,Trades!$C$6))</f>
        <v/>
      </c>
      <c r="E131" s="43" t="str">
        <f>IF(Trades!$A131="","",Trades!A131)</f>
        <v/>
      </c>
      <c r="F131" s="41" t="str">
        <f>IF(Trades!$A131="","",IFERROR(INDEX(Trades!$V$2:$V$14,MATCH(Trades!$E131,Trades!$U$2:$U$14,0)),""))</f>
        <v/>
      </c>
      <c r="G131" s="41" t="str">
        <f>IF(Trades!$A131="","",Trades!N131)</f>
        <v/>
      </c>
      <c r="H131" s="42" t="str">
        <f>IF(Trades!$A131="","",Trades!F131)</f>
        <v/>
      </c>
      <c r="I131" s="44" t="str">
        <f>IF(Trades!$A131="","",Trades!G131)</f>
        <v/>
      </c>
      <c r="J131" s="44" t="str">
        <f>IF(Trades!$A131="","",Trades!I131)</f>
        <v/>
      </c>
      <c r="K131" s="44" t="str">
        <f>IF(Trades!$A131="","",Trades!Q131)</f>
        <v/>
      </c>
      <c r="L131" s="42" t="str">
        <f>IF(Trades!$A131="","",Trades!F131)</f>
        <v/>
      </c>
      <c r="M131" s="44" t="str">
        <f>IF(Trades!$A131="","",Trades!M131)</f>
        <v/>
      </c>
      <c r="N131" s="44" t="str">
        <f>IF(Trades!$A131="","",Trades!R131)</f>
        <v/>
      </c>
      <c r="O131" s="44" t="str">
        <f>IF(Trades!$A131="","",Trades!J131)</f>
        <v/>
      </c>
      <c r="P131" s="43" t="str">
        <f>IF(Trades!$A131="","",Trades!H131)</f>
        <v/>
      </c>
      <c r="Q131" s="41" t="str">
        <f>IF(Trades!$A131="","",Trades!P131)</f>
        <v/>
      </c>
      <c r="R131" s="45" t="str">
        <f t="shared" si="17"/>
        <v/>
      </c>
      <c r="S131" s="45" t="str">
        <f t="shared" si="18"/>
        <v/>
      </c>
      <c r="T131" s="46" t="str">
        <f>IF(OR($A131="",$B131=""),"",IF(AND(IFERROR(LOOKUP(2,1/($B$9:$B$130=$B131),$AR$9:$AR130),1),NOT(AND(OR($F131="dividend",$F131="fee"),IFERROR(LOOKUP(2,1/($B$9:$B$130=$B131),$T$9:$T130),0)&gt;0))),IFERROR(LOOKUP(2,1/($B$9:$B$130=$B131),$T$9:$T130),0)+1,IFERROR(LOOKUP(2,1/($B$9:$B$130=$B131),$T$9:$T130),0)))</f>
        <v/>
      </c>
      <c r="U131" s="47" t="str">
        <f t="shared" si="19"/>
        <v/>
      </c>
      <c r="V131" s="47" t="str">
        <f>IF($A131="","",IF(OR($B131="",$C131="",$D131="",$E131="",$F131=""),"Missing required field",IF(COUNTIFS($A$9:$A131,$A131,$B$9:$B131,$B131)&gt;1,"Duplicate event ID",IF(AND($E131&lt;&gt;IFERROR(LOOKUP(2,1/($B$9:$B$130=$B131),$E$9:$E130),0),IFERROR(LOOKUP(2,1/($B$9:$B$130=$B131),$E$9:$E130),0)&gt;$E131),"Date out of order",IF(AND(OR($F131="buy_to_close",$F131="expire",$F131="roll",$F131="assignment",$F131="called_away"),$AF131=0),"Unknown lot",IF(OR(AND($F131="assignment",$AF131&gt;0,IF($AF131&gt;0,INDEX($AG$9:$AG$130,$AF131),"")&lt;&gt;"put"),AND($F131="called_away",$AF131&gt;0,IF($AF131&gt;0,INDEX($AG$9:$AG$130,$AF131),"")&lt;&gt;"call")),"Wrong option leg",IF(OR(AND(OR($F131="sell_put",$F131="sell_call"),OR($H131&lt;=0,$I131&lt;=0,$J131&lt;0)),AND(OR($F131="buy_to_close",$F131="expire",$F131="assignment",$F131="called_away"),OR($H131&lt;=0,$J131&lt;0)),AND($F131="roll",OR($H131&lt;=0,$I131&lt;=0,$J131&lt;0,$K131&lt;0)),AND(OR($F131="buy_shares",$F131="sell_shares"),OR($L131&lt;=0,$M131&lt;0)),AND(OR($F131="dividend",$F131="fee"),$N131&lt;0)),"Invalid value",IF(AND(OR($F131="sell_shares",$F131="called_away"),$AL131&lt;IF($F131="called_away",$AE131*$D131,$L131)),"Insufficient shares (capped)",IF(AND(OR($F131="buy_to_close",$F131="expire",$F131="roll",$F131="assignment",$F131="called_away"),$AF131&gt;0,$H131&gt;IF($AF131&gt;0,MAX(0,INDEX($AI$9:$AI$130,$AF131)-SUMIFS($AE$9:$AE$130,$G$9:$G$130,$G131,$B$9:$B$130,$B131)),0)),"Close quantity capped","OK")))))))))</f>
        <v/>
      </c>
      <c r="W131" s="48" t="str">
        <f t="shared" si="20"/>
        <v/>
      </c>
      <c r="X131" s="49" t="str">
        <f t="shared" si="21"/>
        <v/>
      </c>
      <c r="Y131" s="50" t="str">
        <f t="shared" si="22"/>
        <v/>
      </c>
      <c r="Z131" s="50" t="str">
        <f t="shared" si="23"/>
        <v/>
      </c>
      <c r="AA131" s="50" t="str">
        <f t="shared" si="24"/>
        <v/>
      </c>
      <c r="AB131" s="50" t="str">
        <f t="shared" si="25"/>
        <v/>
      </c>
      <c r="AC131" s="50" t="str">
        <f>IF($A131="","",IF($F131="assignment",IF($AF131&gt;0,INDEX($AH$9:$AH$130,$AF131),0)*$AE131*$D131,IF($F131="buy_shares",$M131*$AL131,0)))</f>
        <v/>
      </c>
      <c r="AD131" s="50" t="str">
        <f>IF($A131="","",IF($F131="called_away",IF($AF131&gt;0,INDEX($AH$9:$AH$130,$AF131),0)*$AL131,IF($F131="sell_shares",$M131*$AL131,0)))</f>
        <v/>
      </c>
      <c r="AE131" s="51" t="str">
        <f>IF($A131="","",IF(OR($F131="sell_put",$F131="sell_call"),IF(AND($H131&gt;0,$I131&gt;0,$J131&gt;=0),$H131,0),IF(OR($F131="buy_to_close",$F131="expire",$F131="roll",$F131="assignment",$F131="called_away"),IF(AND($AF131&gt;0,$H131&gt;0,IF($F131="assignment",IF($AF131&gt;0,INDEX($AG$9:$AG$130,$AF131),"")="put",TRUE),IF($F131="called_away",IF($AF131&gt;0,INDEX($AG$9:$AG$130,$AF131),"")="call",TRUE)),MIN($H131,IF($AF131&gt;0,MAX(0,INDEX($AI$9:$AI$130,$AF131)-SUMIFS($AE$9:$AE$130,$G$9:$G$130,$G131,$B$9:$B$130,$B131)),0)),0),0)))</f>
        <v/>
      </c>
      <c r="AF131" t="str">
        <f>IF($A131="","",IFERROR(MATCH(LEN($B131)&amp;":"&amp;$B131&amp;$G131,$AY$9:$AY$130,0),0))</f>
        <v/>
      </c>
      <c r="AG131" t="str">
        <f>IF($A131="","",IF($F131="sell_put","put",IF($F131="sell_call","call",IF($F131="roll",IF($AF131&gt;0,IF($AF131&gt;0,INDEX($AG$9:$AG$130,$AF131),""),""),IF($AF131&gt;0,IF($AF131&gt;0,INDEX($AG$9:$AG$130,$AF131),""),"")))))</f>
        <v/>
      </c>
      <c r="AH131" t="str">
        <f>IF($A131="","",IF(OR($F131="sell_put",$F131="sell_call",$F131="roll"),$I131,IF($AF131&gt;0,IF($AF131&gt;0,INDEX($AH$9:$AH$130,$AF131),0),0)))</f>
        <v/>
      </c>
      <c r="AI131" s="51" t="str">
        <f t="shared" si="26"/>
        <v/>
      </c>
      <c r="AJ131" s="51" t="str">
        <f>IF($A131="","",IFERROR(LOOKUP(2,1/($B$9:$B$130=$B131),$AM$9:$AM130),0))</f>
        <v/>
      </c>
      <c r="AK131" t="str">
        <f>IF($A131="","",IFERROR(LOOKUP(2,1/($B$9:$B$130=$B131),$AN$9:$AN130),0))</f>
        <v/>
      </c>
      <c r="AL131" s="51" t="str">
        <f t="shared" si="27"/>
        <v/>
      </c>
      <c r="AM131" s="51" t="str">
        <f t="shared" si="28"/>
        <v/>
      </c>
      <c r="AN131" t="str">
        <f t="shared" si="29"/>
        <v/>
      </c>
      <c r="AO131" s="50" t="str">
        <f>IF($A131="","",IFERROR(LOOKUP(2,1/($B$9:$B$130=$B131),$AO$9:$AO130),0)+IF($F131="sell_put",$I131*$AE131*$D131,IF($F131="roll",IF($AG131="put",($I131-IF($AF131&gt;0,INDEX($AH$9:$AH$130,$AF131),0))*$AE131*$D131,0),IF(AND(OR($F131="buy_to_close",$F131="expire",$F131="roll",$F131="assignment",$F131="called_away"),$F131&lt;&gt;"roll",$AG131="put"),-IF($AF131&gt;0,INDEX($AH$9:$AH$130,$AF131),0)*$AE131*$D131,0))))</f>
        <v/>
      </c>
      <c r="AP131" s="51" t="str">
        <f>IF($A131="","",IFERROR(LOOKUP(2,1/($B$9:$B$130=$B131),$AP$9:$AP130),0)+IF($F131="sell_put",$AE131*$D131,IF(AND(OR($F131="buy_to_close",$F131="expire",$F131="roll",$F131="assignment",$F131="called_away"),$F131&lt;&gt;"roll",$AG131="put"),-$AE131*$D131,0)))</f>
        <v/>
      </c>
      <c r="AQ131" s="51" t="str">
        <f>IF($A131="","",IFERROR(LOOKUP(2,1/($B$9:$B$130=$B131),$AQ$9:$AQ130),0)+IF(OR($F131="sell_put",$F131="sell_call"),$AE131,0)-IF(AND(OR($F131="buy_to_close",$F131="expire",$F131="roll",$F131="assignment",$F131="called_away"),$F131&lt;&gt;"roll"),$AE131,0))</f>
        <v/>
      </c>
      <c r="AR131" t="str">
        <f t="shared" si="30"/>
        <v/>
      </c>
      <c r="AS131" s="50" t="str">
        <f t="shared" si="31"/>
        <v/>
      </c>
      <c r="AT131" s="50" t="str">
        <f>IF($A131="","",MAX(IF($T131=IFERROR(LOOKUP(2,1/($B$9:$B$130=$B131),$T$9:$T130),0),IFERROR(LOOKUP(2,1/($B$9:$B$130=$B131),$AT$9:$AT130),0),0),$AS131))</f>
        <v/>
      </c>
      <c r="AU131" t="str">
        <f t="shared" si="32"/>
        <v/>
      </c>
      <c r="AV131" s="51">
        <f>IF($AU131="",0,IF(AND(IFERROR(LOOKUP(2,1/($B$9:$B$130=$B131),$AR$9:$AR130),1),NOT(AND(OR($F131="dividend",$F131="fee"),IFERROR(LOOKUP(2,1/($B$9:$B$130=$B131),$T$9:$T130),0)&gt;0))),ROW(),0))</f>
        <v>0</v>
      </c>
      <c r="AW131">
        <f>IF($A131="",0,IF($AV131&gt;0,MAX($AW$9:$AW$130)+1,MAX($AW$9:$AW$130)))</f>
        <v>0</v>
      </c>
      <c r="AX131">
        <f>IF($AU131="",0,IF(AND($AR131,OR(NOT(IFERROR(LOOKUP(2,1/($B$9:$B$130=$B131),$AR$9:$AR130),1)),IFERROR(LOOKUP(2,1/($B$9:$B$130=$B131),$T$9:$T130),0)=0)),ROW(),0))</f>
        <v>0</v>
      </c>
      <c r="AY131" t="str">
        <f t="shared" si="33"/>
        <v/>
      </c>
    </row>
    <row r="132" spans="1:51" ht="15" x14ac:dyDescent="0.25">
      <c r="A132" s="52" t="str">
        <f>IF(Trades!$A132="","",Trades!O132)</f>
        <v/>
      </c>
      <c r="B132" s="52" t="str">
        <f>IF(Trades!$A132="","",Trades!B132)</f>
        <v/>
      </c>
      <c r="C132" s="52" t="str">
        <f>IF(Trades!$A132="","",Trades!C132)</f>
        <v/>
      </c>
      <c r="D132" s="53" t="str">
        <f>IF(Trades!$A132="","",IF(Trades!$L132&gt;0,Trades!$L132,Trades!$C$6))</f>
        <v/>
      </c>
      <c r="E132" s="54" t="str">
        <f>IF(Trades!$A132="","",Trades!A132)</f>
        <v/>
      </c>
      <c r="F132" s="52" t="str">
        <f>IF(Trades!$A132="","",IFERROR(INDEX(Trades!$V$2:$V$14,MATCH(Trades!$E132,Trades!$U$2:$U$14,0)),""))</f>
        <v/>
      </c>
      <c r="G132" s="52" t="str">
        <f>IF(Trades!$A132="","",Trades!N132)</f>
        <v/>
      </c>
      <c r="H132" s="53" t="str">
        <f>IF(Trades!$A132="","",Trades!F132)</f>
        <v/>
      </c>
      <c r="I132" s="55" t="str">
        <f>IF(Trades!$A132="","",Trades!G132)</f>
        <v/>
      </c>
      <c r="J132" s="55" t="str">
        <f>IF(Trades!$A132="","",Trades!I132)</f>
        <v/>
      </c>
      <c r="K132" s="55" t="str">
        <f>IF(Trades!$A132="","",Trades!Q132)</f>
        <v/>
      </c>
      <c r="L132" s="53" t="str">
        <f>IF(Trades!$A132="","",Trades!F132)</f>
        <v/>
      </c>
      <c r="M132" s="55" t="str">
        <f>IF(Trades!$A132="","",Trades!M132)</f>
        <v/>
      </c>
      <c r="N132" s="55" t="str">
        <f>IF(Trades!$A132="","",Trades!R132)</f>
        <v/>
      </c>
      <c r="O132" s="55" t="str">
        <f>IF(Trades!$A132="","",Trades!J132)</f>
        <v/>
      </c>
      <c r="P132" s="54" t="str">
        <f>IF(Trades!$A132="","",Trades!H132)</f>
        <v/>
      </c>
      <c r="Q132" s="52" t="str">
        <f>IF(Trades!$A132="","",Trades!P132)</f>
        <v/>
      </c>
      <c r="R132" s="56" t="str">
        <f t="shared" si="17"/>
        <v/>
      </c>
      <c r="S132" s="56" t="str">
        <f t="shared" si="18"/>
        <v/>
      </c>
      <c r="T132" s="57" t="str">
        <f>IF(OR($A132="",$B132=""),"",IF(AND(IFERROR(LOOKUP(2,1/($B$9:$B$131=$B132),$AR$9:$AR131),1),NOT(AND(OR($F132="dividend",$F132="fee"),IFERROR(LOOKUP(2,1/($B$9:$B$131=$B132),$T$9:$T131),0)&gt;0))),IFERROR(LOOKUP(2,1/($B$9:$B$131=$B132),$T$9:$T131),0)+1,IFERROR(LOOKUP(2,1/($B$9:$B$131=$B132),$T$9:$T131),0)))</f>
        <v/>
      </c>
      <c r="U132" s="58" t="str">
        <f t="shared" si="19"/>
        <v/>
      </c>
      <c r="V132" s="58" t="str">
        <f>IF($A132="","",IF(OR($B132="",$C132="",$D132="",$E132="",$F132=""),"Missing required field",IF(COUNTIFS($A$9:$A132,$A132,$B$9:$B132,$B132)&gt;1,"Duplicate event ID",IF(AND($E132&lt;&gt;IFERROR(LOOKUP(2,1/($B$9:$B$131=$B132),$E$9:$E131),0),IFERROR(LOOKUP(2,1/($B$9:$B$131=$B132),$E$9:$E131),0)&gt;$E132),"Date out of order",IF(AND(OR($F132="buy_to_close",$F132="expire",$F132="roll",$F132="assignment",$F132="called_away"),$AF132=0),"Unknown lot",IF(OR(AND($F132="assignment",$AF132&gt;0,IF($AF132&gt;0,INDEX($AG$9:$AG$131,$AF132),"")&lt;&gt;"put"),AND($F132="called_away",$AF132&gt;0,IF($AF132&gt;0,INDEX($AG$9:$AG$131,$AF132),"")&lt;&gt;"call")),"Wrong option leg",IF(OR(AND(OR($F132="sell_put",$F132="sell_call"),OR($H132&lt;=0,$I132&lt;=0,$J132&lt;0)),AND(OR($F132="buy_to_close",$F132="expire",$F132="assignment",$F132="called_away"),OR($H132&lt;=0,$J132&lt;0)),AND($F132="roll",OR($H132&lt;=0,$I132&lt;=0,$J132&lt;0,$K132&lt;0)),AND(OR($F132="buy_shares",$F132="sell_shares"),OR($L132&lt;=0,$M132&lt;0)),AND(OR($F132="dividend",$F132="fee"),$N132&lt;0)),"Invalid value",IF(AND(OR($F132="sell_shares",$F132="called_away"),$AL132&lt;IF($F132="called_away",$AE132*$D132,$L132)),"Insufficient shares (capped)",IF(AND(OR($F132="buy_to_close",$F132="expire",$F132="roll",$F132="assignment",$F132="called_away"),$AF132&gt;0,$H132&gt;IF($AF132&gt;0,MAX(0,INDEX($AI$9:$AI$131,$AF132)-SUMIFS($AE$9:$AE$131,$G$9:$G$131,$G132,$B$9:$B$131,$B132)),0)),"Close quantity capped","OK")))))))))</f>
        <v/>
      </c>
      <c r="W132" s="59" t="str">
        <f t="shared" si="20"/>
        <v/>
      </c>
      <c r="X132" s="60" t="str">
        <f t="shared" si="21"/>
        <v/>
      </c>
      <c r="Y132" s="50" t="str">
        <f t="shared" si="22"/>
        <v/>
      </c>
      <c r="Z132" s="50" t="str">
        <f t="shared" si="23"/>
        <v/>
      </c>
      <c r="AA132" s="50" t="str">
        <f t="shared" si="24"/>
        <v/>
      </c>
      <c r="AB132" s="50" t="str">
        <f t="shared" si="25"/>
        <v/>
      </c>
      <c r="AC132" s="50" t="str">
        <f>IF($A132="","",IF($F132="assignment",IF($AF132&gt;0,INDEX($AH$9:$AH$131,$AF132),0)*$AE132*$D132,IF($F132="buy_shares",$M132*$AL132,0)))</f>
        <v/>
      </c>
      <c r="AD132" s="50" t="str">
        <f>IF($A132="","",IF($F132="called_away",IF($AF132&gt;0,INDEX($AH$9:$AH$131,$AF132),0)*$AL132,IF($F132="sell_shares",$M132*$AL132,0)))</f>
        <v/>
      </c>
      <c r="AE132" s="51" t="str">
        <f>IF($A132="","",IF(OR($F132="sell_put",$F132="sell_call"),IF(AND($H132&gt;0,$I132&gt;0,$J132&gt;=0),$H132,0),IF(OR($F132="buy_to_close",$F132="expire",$F132="roll",$F132="assignment",$F132="called_away"),IF(AND($AF132&gt;0,$H132&gt;0,IF($F132="assignment",IF($AF132&gt;0,INDEX($AG$9:$AG$131,$AF132),"")="put",TRUE),IF($F132="called_away",IF($AF132&gt;0,INDEX($AG$9:$AG$131,$AF132),"")="call",TRUE)),MIN($H132,IF($AF132&gt;0,MAX(0,INDEX($AI$9:$AI$131,$AF132)-SUMIFS($AE$9:$AE$131,$G$9:$G$131,$G132,$B$9:$B$131,$B132)),0)),0),0)))</f>
        <v/>
      </c>
      <c r="AF132" t="str">
        <f>IF($A132="","",IFERROR(MATCH(LEN($B132)&amp;":"&amp;$B132&amp;$G132,$AY$9:$AY$131,0),0))</f>
        <v/>
      </c>
      <c r="AG132" t="str">
        <f>IF($A132="","",IF($F132="sell_put","put",IF($F132="sell_call","call",IF($F132="roll",IF($AF132&gt;0,IF($AF132&gt;0,INDEX($AG$9:$AG$131,$AF132),""),""),IF($AF132&gt;0,IF($AF132&gt;0,INDEX($AG$9:$AG$131,$AF132),""),"")))))</f>
        <v/>
      </c>
      <c r="AH132" t="str">
        <f>IF($A132="","",IF(OR($F132="sell_put",$F132="sell_call",$F132="roll"),$I132,IF($AF132&gt;0,IF($AF132&gt;0,INDEX($AH$9:$AH$131,$AF132),0),0)))</f>
        <v/>
      </c>
      <c r="AI132" s="51" t="str">
        <f t="shared" si="26"/>
        <v/>
      </c>
      <c r="AJ132" s="51" t="str">
        <f>IF($A132="","",IFERROR(LOOKUP(2,1/($B$9:$B$131=$B132),$AM$9:$AM131),0))</f>
        <v/>
      </c>
      <c r="AK132" t="str">
        <f>IF($A132="","",IFERROR(LOOKUP(2,1/($B$9:$B$131=$B132),$AN$9:$AN131),0))</f>
        <v/>
      </c>
      <c r="AL132" s="51" t="str">
        <f t="shared" si="27"/>
        <v/>
      </c>
      <c r="AM132" s="51" t="str">
        <f t="shared" si="28"/>
        <v/>
      </c>
      <c r="AN132" t="str">
        <f t="shared" si="29"/>
        <v/>
      </c>
      <c r="AO132" s="50" t="str">
        <f>IF($A132="","",IFERROR(LOOKUP(2,1/($B$9:$B$131=$B132),$AO$9:$AO131),0)+IF($F132="sell_put",$I132*$AE132*$D132,IF($F132="roll",IF($AG132="put",($I132-IF($AF132&gt;0,INDEX($AH$9:$AH$131,$AF132),0))*$AE132*$D132,0),IF(AND(OR($F132="buy_to_close",$F132="expire",$F132="roll",$F132="assignment",$F132="called_away"),$F132&lt;&gt;"roll",$AG132="put"),-IF($AF132&gt;0,INDEX($AH$9:$AH$131,$AF132),0)*$AE132*$D132,0))))</f>
        <v/>
      </c>
      <c r="AP132" s="51" t="str">
        <f>IF($A132="","",IFERROR(LOOKUP(2,1/($B$9:$B$131=$B132),$AP$9:$AP131),0)+IF($F132="sell_put",$AE132*$D132,IF(AND(OR($F132="buy_to_close",$F132="expire",$F132="roll",$F132="assignment",$F132="called_away"),$F132&lt;&gt;"roll",$AG132="put"),-$AE132*$D132,0)))</f>
        <v/>
      </c>
      <c r="AQ132" s="51" t="str">
        <f>IF($A132="","",IFERROR(LOOKUP(2,1/($B$9:$B$131=$B132),$AQ$9:$AQ131),0)+IF(OR($F132="sell_put",$F132="sell_call"),$AE132,0)-IF(AND(OR($F132="buy_to_close",$F132="expire",$F132="roll",$F132="assignment",$F132="called_away"),$F132&lt;&gt;"roll"),$AE132,0))</f>
        <v/>
      </c>
      <c r="AR132" t="str">
        <f t="shared" si="30"/>
        <v/>
      </c>
      <c r="AS132" s="50" t="str">
        <f t="shared" si="31"/>
        <v/>
      </c>
      <c r="AT132" s="50" t="str">
        <f>IF($A132="","",MAX(IF($T132=IFERROR(LOOKUP(2,1/($B$9:$B$131=$B132),$T$9:$T131),0),IFERROR(LOOKUP(2,1/($B$9:$B$131=$B132),$AT$9:$AT131),0),0),$AS132))</f>
        <v/>
      </c>
      <c r="AU132" t="str">
        <f t="shared" si="32"/>
        <v/>
      </c>
      <c r="AV132" s="51">
        <f>IF($AU132="",0,IF(AND(IFERROR(LOOKUP(2,1/($B$9:$B$131=$B132),$AR$9:$AR131),1),NOT(AND(OR($F132="dividend",$F132="fee"),IFERROR(LOOKUP(2,1/($B$9:$B$131=$B132),$T$9:$T131),0)&gt;0))),ROW(),0))</f>
        <v>0</v>
      </c>
      <c r="AW132">
        <f>IF($A132="",0,IF($AV132&gt;0,MAX($AW$9:$AW$131)+1,MAX($AW$9:$AW$131)))</f>
        <v>0</v>
      </c>
      <c r="AX132">
        <f>IF($AU132="",0,IF(AND($AR132,OR(NOT(IFERROR(LOOKUP(2,1/($B$9:$B$131=$B132),$AR$9:$AR131),1)),IFERROR(LOOKUP(2,1/($B$9:$B$131=$B132),$T$9:$T131),0)=0)),ROW(),0))</f>
        <v>0</v>
      </c>
      <c r="AY132" t="str">
        <f t="shared" si="33"/>
        <v/>
      </c>
    </row>
    <row r="133" spans="1:51" ht="15" x14ac:dyDescent="0.25">
      <c r="A133" s="41" t="str">
        <f>IF(Trades!$A133="","",Trades!O133)</f>
        <v/>
      </c>
      <c r="B133" s="41" t="str">
        <f>IF(Trades!$A133="","",Trades!B133)</f>
        <v/>
      </c>
      <c r="C133" s="41" t="str">
        <f>IF(Trades!$A133="","",Trades!C133)</f>
        <v/>
      </c>
      <c r="D133" s="42" t="str">
        <f>IF(Trades!$A133="","",IF(Trades!$L133&gt;0,Trades!$L133,Trades!$C$6))</f>
        <v/>
      </c>
      <c r="E133" s="43" t="str">
        <f>IF(Trades!$A133="","",Trades!A133)</f>
        <v/>
      </c>
      <c r="F133" s="41" t="str">
        <f>IF(Trades!$A133="","",IFERROR(INDEX(Trades!$V$2:$V$14,MATCH(Trades!$E133,Trades!$U$2:$U$14,0)),""))</f>
        <v/>
      </c>
      <c r="G133" s="41" t="str">
        <f>IF(Trades!$A133="","",Trades!N133)</f>
        <v/>
      </c>
      <c r="H133" s="42" t="str">
        <f>IF(Trades!$A133="","",Trades!F133)</f>
        <v/>
      </c>
      <c r="I133" s="44" t="str">
        <f>IF(Trades!$A133="","",Trades!G133)</f>
        <v/>
      </c>
      <c r="J133" s="44" t="str">
        <f>IF(Trades!$A133="","",Trades!I133)</f>
        <v/>
      </c>
      <c r="K133" s="44" t="str">
        <f>IF(Trades!$A133="","",Trades!Q133)</f>
        <v/>
      </c>
      <c r="L133" s="42" t="str">
        <f>IF(Trades!$A133="","",Trades!F133)</f>
        <v/>
      </c>
      <c r="M133" s="44" t="str">
        <f>IF(Trades!$A133="","",Trades!M133)</f>
        <v/>
      </c>
      <c r="N133" s="44" t="str">
        <f>IF(Trades!$A133="","",Trades!R133)</f>
        <v/>
      </c>
      <c r="O133" s="44" t="str">
        <f>IF(Trades!$A133="","",Trades!J133)</f>
        <v/>
      </c>
      <c r="P133" s="43" t="str">
        <f>IF(Trades!$A133="","",Trades!H133)</f>
        <v/>
      </c>
      <c r="Q133" s="41" t="str">
        <f>IF(Trades!$A133="","",Trades!P133)</f>
        <v/>
      </c>
      <c r="R133" s="45" t="str">
        <f t="shared" si="17"/>
        <v/>
      </c>
      <c r="S133" s="45" t="str">
        <f t="shared" si="18"/>
        <v/>
      </c>
      <c r="T133" s="46" t="str">
        <f>IF(OR($A133="",$B133=""),"",IF(AND(IFERROR(LOOKUP(2,1/($B$9:$B$132=$B133),$AR$9:$AR132),1),NOT(AND(OR($F133="dividend",$F133="fee"),IFERROR(LOOKUP(2,1/($B$9:$B$132=$B133),$T$9:$T132),0)&gt;0))),IFERROR(LOOKUP(2,1/($B$9:$B$132=$B133),$T$9:$T132),0)+1,IFERROR(LOOKUP(2,1/($B$9:$B$132=$B133),$T$9:$T132),0)))</f>
        <v/>
      </c>
      <c r="U133" s="47" t="str">
        <f t="shared" si="19"/>
        <v/>
      </c>
      <c r="V133" s="47" t="str">
        <f>IF($A133="","",IF(OR($B133="",$C133="",$D133="",$E133="",$F133=""),"Missing required field",IF(COUNTIFS($A$9:$A133,$A133,$B$9:$B133,$B133)&gt;1,"Duplicate event ID",IF(AND($E133&lt;&gt;IFERROR(LOOKUP(2,1/($B$9:$B$132=$B133),$E$9:$E132),0),IFERROR(LOOKUP(2,1/($B$9:$B$132=$B133),$E$9:$E132),0)&gt;$E133),"Date out of order",IF(AND(OR($F133="buy_to_close",$F133="expire",$F133="roll",$F133="assignment",$F133="called_away"),$AF133=0),"Unknown lot",IF(OR(AND($F133="assignment",$AF133&gt;0,IF($AF133&gt;0,INDEX($AG$9:$AG$132,$AF133),"")&lt;&gt;"put"),AND($F133="called_away",$AF133&gt;0,IF($AF133&gt;0,INDEX($AG$9:$AG$132,$AF133),"")&lt;&gt;"call")),"Wrong option leg",IF(OR(AND(OR($F133="sell_put",$F133="sell_call"),OR($H133&lt;=0,$I133&lt;=0,$J133&lt;0)),AND(OR($F133="buy_to_close",$F133="expire",$F133="assignment",$F133="called_away"),OR($H133&lt;=0,$J133&lt;0)),AND($F133="roll",OR($H133&lt;=0,$I133&lt;=0,$J133&lt;0,$K133&lt;0)),AND(OR($F133="buy_shares",$F133="sell_shares"),OR($L133&lt;=0,$M133&lt;0)),AND(OR($F133="dividend",$F133="fee"),$N133&lt;0)),"Invalid value",IF(AND(OR($F133="sell_shares",$F133="called_away"),$AL133&lt;IF($F133="called_away",$AE133*$D133,$L133)),"Insufficient shares (capped)",IF(AND(OR($F133="buy_to_close",$F133="expire",$F133="roll",$F133="assignment",$F133="called_away"),$AF133&gt;0,$H133&gt;IF($AF133&gt;0,MAX(0,INDEX($AI$9:$AI$132,$AF133)-SUMIFS($AE$9:$AE$132,$G$9:$G$132,$G133,$B$9:$B$132,$B133)),0)),"Close quantity capped","OK")))))))))</f>
        <v/>
      </c>
      <c r="W133" s="48" t="str">
        <f t="shared" si="20"/>
        <v/>
      </c>
      <c r="X133" s="49" t="str">
        <f t="shared" si="21"/>
        <v/>
      </c>
      <c r="Y133" s="50" t="str">
        <f t="shared" si="22"/>
        <v/>
      </c>
      <c r="Z133" s="50" t="str">
        <f t="shared" si="23"/>
        <v/>
      </c>
      <c r="AA133" s="50" t="str">
        <f t="shared" si="24"/>
        <v/>
      </c>
      <c r="AB133" s="50" t="str">
        <f t="shared" si="25"/>
        <v/>
      </c>
      <c r="AC133" s="50" t="str">
        <f>IF($A133="","",IF($F133="assignment",IF($AF133&gt;0,INDEX($AH$9:$AH$132,$AF133),0)*$AE133*$D133,IF($F133="buy_shares",$M133*$AL133,0)))</f>
        <v/>
      </c>
      <c r="AD133" s="50" t="str">
        <f>IF($A133="","",IF($F133="called_away",IF($AF133&gt;0,INDEX($AH$9:$AH$132,$AF133),0)*$AL133,IF($F133="sell_shares",$M133*$AL133,0)))</f>
        <v/>
      </c>
      <c r="AE133" s="51" t="str">
        <f>IF($A133="","",IF(OR($F133="sell_put",$F133="sell_call"),IF(AND($H133&gt;0,$I133&gt;0,$J133&gt;=0),$H133,0),IF(OR($F133="buy_to_close",$F133="expire",$F133="roll",$F133="assignment",$F133="called_away"),IF(AND($AF133&gt;0,$H133&gt;0,IF($F133="assignment",IF($AF133&gt;0,INDEX($AG$9:$AG$132,$AF133),"")="put",TRUE),IF($F133="called_away",IF($AF133&gt;0,INDEX($AG$9:$AG$132,$AF133),"")="call",TRUE)),MIN($H133,IF($AF133&gt;0,MAX(0,INDEX($AI$9:$AI$132,$AF133)-SUMIFS($AE$9:$AE$132,$G$9:$G$132,$G133,$B$9:$B$132,$B133)),0)),0),0)))</f>
        <v/>
      </c>
      <c r="AF133" t="str">
        <f>IF($A133="","",IFERROR(MATCH(LEN($B133)&amp;":"&amp;$B133&amp;$G133,$AY$9:$AY$132,0),0))</f>
        <v/>
      </c>
      <c r="AG133" t="str">
        <f>IF($A133="","",IF($F133="sell_put","put",IF($F133="sell_call","call",IF($F133="roll",IF($AF133&gt;0,IF($AF133&gt;0,INDEX($AG$9:$AG$132,$AF133),""),""),IF($AF133&gt;0,IF($AF133&gt;0,INDEX($AG$9:$AG$132,$AF133),""),"")))))</f>
        <v/>
      </c>
      <c r="AH133" t="str">
        <f>IF($A133="","",IF(OR($F133="sell_put",$F133="sell_call",$F133="roll"),$I133,IF($AF133&gt;0,IF($AF133&gt;0,INDEX($AH$9:$AH$132,$AF133),0),0)))</f>
        <v/>
      </c>
      <c r="AI133" s="51" t="str">
        <f t="shared" si="26"/>
        <v/>
      </c>
      <c r="AJ133" s="51" t="str">
        <f>IF($A133="","",IFERROR(LOOKUP(2,1/($B$9:$B$132=$B133),$AM$9:$AM132),0))</f>
        <v/>
      </c>
      <c r="AK133" t="str">
        <f>IF($A133="","",IFERROR(LOOKUP(2,1/($B$9:$B$132=$B133),$AN$9:$AN132),0))</f>
        <v/>
      </c>
      <c r="AL133" s="51" t="str">
        <f t="shared" si="27"/>
        <v/>
      </c>
      <c r="AM133" s="51" t="str">
        <f t="shared" si="28"/>
        <v/>
      </c>
      <c r="AN133" t="str">
        <f t="shared" si="29"/>
        <v/>
      </c>
      <c r="AO133" s="50" t="str">
        <f>IF($A133="","",IFERROR(LOOKUP(2,1/($B$9:$B$132=$B133),$AO$9:$AO132),0)+IF($F133="sell_put",$I133*$AE133*$D133,IF($F133="roll",IF($AG133="put",($I133-IF($AF133&gt;0,INDEX($AH$9:$AH$132,$AF133),0))*$AE133*$D133,0),IF(AND(OR($F133="buy_to_close",$F133="expire",$F133="roll",$F133="assignment",$F133="called_away"),$F133&lt;&gt;"roll",$AG133="put"),-IF($AF133&gt;0,INDEX($AH$9:$AH$132,$AF133),0)*$AE133*$D133,0))))</f>
        <v/>
      </c>
      <c r="AP133" s="51" t="str">
        <f>IF($A133="","",IFERROR(LOOKUP(2,1/($B$9:$B$132=$B133),$AP$9:$AP132),0)+IF($F133="sell_put",$AE133*$D133,IF(AND(OR($F133="buy_to_close",$F133="expire",$F133="roll",$F133="assignment",$F133="called_away"),$F133&lt;&gt;"roll",$AG133="put"),-$AE133*$D133,0)))</f>
        <v/>
      </c>
      <c r="AQ133" s="51" t="str">
        <f>IF($A133="","",IFERROR(LOOKUP(2,1/($B$9:$B$132=$B133),$AQ$9:$AQ132),0)+IF(OR($F133="sell_put",$F133="sell_call"),$AE133,0)-IF(AND(OR($F133="buy_to_close",$F133="expire",$F133="roll",$F133="assignment",$F133="called_away"),$F133&lt;&gt;"roll"),$AE133,0))</f>
        <v/>
      </c>
      <c r="AR133" t="str">
        <f t="shared" si="30"/>
        <v/>
      </c>
      <c r="AS133" s="50" t="str">
        <f t="shared" si="31"/>
        <v/>
      </c>
      <c r="AT133" s="50" t="str">
        <f>IF($A133="","",MAX(IF($T133=IFERROR(LOOKUP(2,1/($B$9:$B$132=$B133),$T$9:$T132),0),IFERROR(LOOKUP(2,1/($B$9:$B$132=$B133),$AT$9:$AT132),0),0),$AS133))</f>
        <v/>
      </c>
      <c r="AU133" t="str">
        <f t="shared" si="32"/>
        <v/>
      </c>
      <c r="AV133" s="51">
        <f>IF($AU133="",0,IF(AND(IFERROR(LOOKUP(2,1/($B$9:$B$132=$B133),$AR$9:$AR132),1),NOT(AND(OR($F133="dividend",$F133="fee"),IFERROR(LOOKUP(2,1/($B$9:$B$132=$B133),$T$9:$T132),0)&gt;0))),ROW(),0))</f>
        <v>0</v>
      </c>
      <c r="AW133">
        <f>IF($A133="",0,IF($AV133&gt;0,MAX($AW$9:$AW$132)+1,MAX($AW$9:$AW$132)))</f>
        <v>0</v>
      </c>
      <c r="AX133">
        <f>IF($AU133="",0,IF(AND($AR133,OR(NOT(IFERROR(LOOKUP(2,1/($B$9:$B$132=$B133),$AR$9:$AR132),1)),IFERROR(LOOKUP(2,1/($B$9:$B$132=$B133),$T$9:$T132),0)=0)),ROW(),0))</f>
        <v>0</v>
      </c>
      <c r="AY133" t="str">
        <f t="shared" si="33"/>
        <v/>
      </c>
    </row>
    <row r="134" spans="1:51" ht="15" x14ac:dyDescent="0.25">
      <c r="A134" s="52" t="str">
        <f>IF(Trades!$A134="","",Trades!O134)</f>
        <v/>
      </c>
      <c r="B134" s="52" t="str">
        <f>IF(Trades!$A134="","",Trades!B134)</f>
        <v/>
      </c>
      <c r="C134" s="52" t="str">
        <f>IF(Trades!$A134="","",Trades!C134)</f>
        <v/>
      </c>
      <c r="D134" s="53" t="str">
        <f>IF(Trades!$A134="","",IF(Trades!$L134&gt;0,Trades!$L134,Trades!$C$6))</f>
        <v/>
      </c>
      <c r="E134" s="54" t="str">
        <f>IF(Trades!$A134="","",Trades!A134)</f>
        <v/>
      </c>
      <c r="F134" s="52" t="str">
        <f>IF(Trades!$A134="","",IFERROR(INDEX(Trades!$V$2:$V$14,MATCH(Trades!$E134,Trades!$U$2:$U$14,0)),""))</f>
        <v/>
      </c>
      <c r="G134" s="52" t="str">
        <f>IF(Trades!$A134="","",Trades!N134)</f>
        <v/>
      </c>
      <c r="H134" s="53" t="str">
        <f>IF(Trades!$A134="","",Trades!F134)</f>
        <v/>
      </c>
      <c r="I134" s="55" t="str">
        <f>IF(Trades!$A134="","",Trades!G134)</f>
        <v/>
      </c>
      <c r="J134" s="55" t="str">
        <f>IF(Trades!$A134="","",Trades!I134)</f>
        <v/>
      </c>
      <c r="K134" s="55" t="str">
        <f>IF(Trades!$A134="","",Trades!Q134)</f>
        <v/>
      </c>
      <c r="L134" s="53" t="str">
        <f>IF(Trades!$A134="","",Trades!F134)</f>
        <v/>
      </c>
      <c r="M134" s="55" t="str">
        <f>IF(Trades!$A134="","",Trades!M134)</f>
        <v/>
      </c>
      <c r="N134" s="55" t="str">
        <f>IF(Trades!$A134="","",Trades!R134)</f>
        <v/>
      </c>
      <c r="O134" s="55" t="str">
        <f>IF(Trades!$A134="","",Trades!J134)</f>
        <v/>
      </c>
      <c r="P134" s="54" t="str">
        <f>IF(Trades!$A134="","",Trades!H134)</f>
        <v/>
      </c>
      <c r="Q134" s="52" t="str">
        <f>IF(Trades!$A134="","",Trades!P134)</f>
        <v/>
      </c>
      <c r="R134" s="56" t="str">
        <f t="shared" si="17"/>
        <v/>
      </c>
      <c r="S134" s="56" t="str">
        <f t="shared" si="18"/>
        <v/>
      </c>
      <c r="T134" s="57" t="str">
        <f>IF(OR($A134="",$B134=""),"",IF(AND(IFERROR(LOOKUP(2,1/($B$9:$B$133=$B134),$AR$9:$AR133),1),NOT(AND(OR($F134="dividend",$F134="fee"),IFERROR(LOOKUP(2,1/($B$9:$B$133=$B134),$T$9:$T133),0)&gt;0))),IFERROR(LOOKUP(2,1/($B$9:$B$133=$B134),$T$9:$T133),0)+1,IFERROR(LOOKUP(2,1/($B$9:$B$133=$B134),$T$9:$T133),0)))</f>
        <v/>
      </c>
      <c r="U134" s="58" t="str">
        <f t="shared" si="19"/>
        <v/>
      </c>
      <c r="V134" s="58" t="str">
        <f>IF($A134="","",IF(OR($B134="",$C134="",$D134="",$E134="",$F134=""),"Missing required field",IF(COUNTIFS($A$9:$A134,$A134,$B$9:$B134,$B134)&gt;1,"Duplicate event ID",IF(AND($E134&lt;&gt;IFERROR(LOOKUP(2,1/($B$9:$B$133=$B134),$E$9:$E133),0),IFERROR(LOOKUP(2,1/($B$9:$B$133=$B134),$E$9:$E133),0)&gt;$E134),"Date out of order",IF(AND(OR($F134="buy_to_close",$F134="expire",$F134="roll",$F134="assignment",$F134="called_away"),$AF134=0),"Unknown lot",IF(OR(AND($F134="assignment",$AF134&gt;0,IF($AF134&gt;0,INDEX($AG$9:$AG$133,$AF134),"")&lt;&gt;"put"),AND($F134="called_away",$AF134&gt;0,IF($AF134&gt;0,INDEX($AG$9:$AG$133,$AF134),"")&lt;&gt;"call")),"Wrong option leg",IF(OR(AND(OR($F134="sell_put",$F134="sell_call"),OR($H134&lt;=0,$I134&lt;=0,$J134&lt;0)),AND(OR($F134="buy_to_close",$F134="expire",$F134="assignment",$F134="called_away"),OR($H134&lt;=0,$J134&lt;0)),AND($F134="roll",OR($H134&lt;=0,$I134&lt;=0,$J134&lt;0,$K134&lt;0)),AND(OR($F134="buy_shares",$F134="sell_shares"),OR($L134&lt;=0,$M134&lt;0)),AND(OR($F134="dividend",$F134="fee"),$N134&lt;0)),"Invalid value",IF(AND(OR($F134="sell_shares",$F134="called_away"),$AL134&lt;IF($F134="called_away",$AE134*$D134,$L134)),"Insufficient shares (capped)",IF(AND(OR($F134="buy_to_close",$F134="expire",$F134="roll",$F134="assignment",$F134="called_away"),$AF134&gt;0,$H134&gt;IF($AF134&gt;0,MAX(0,INDEX($AI$9:$AI$133,$AF134)-SUMIFS($AE$9:$AE$133,$G$9:$G$133,$G134,$B$9:$B$133,$B134)),0)),"Close quantity capped","OK")))))))))</f>
        <v/>
      </c>
      <c r="W134" s="59" t="str">
        <f t="shared" si="20"/>
        <v/>
      </c>
      <c r="X134" s="60" t="str">
        <f t="shared" si="21"/>
        <v/>
      </c>
      <c r="Y134" s="50" t="str">
        <f t="shared" si="22"/>
        <v/>
      </c>
      <c r="Z134" s="50" t="str">
        <f t="shared" si="23"/>
        <v/>
      </c>
      <c r="AA134" s="50" t="str">
        <f t="shared" si="24"/>
        <v/>
      </c>
      <c r="AB134" s="50" t="str">
        <f t="shared" si="25"/>
        <v/>
      </c>
      <c r="AC134" s="50" t="str">
        <f>IF($A134="","",IF($F134="assignment",IF($AF134&gt;0,INDEX($AH$9:$AH$133,$AF134),0)*$AE134*$D134,IF($F134="buy_shares",$M134*$AL134,0)))</f>
        <v/>
      </c>
      <c r="AD134" s="50" t="str">
        <f>IF($A134="","",IF($F134="called_away",IF($AF134&gt;0,INDEX($AH$9:$AH$133,$AF134),0)*$AL134,IF($F134="sell_shares",$M134*$AL134,0)))</f>
        <v/>
      </c>
      <c r="AE134" s="51" t="str">
        <f>IF($A134="","",IF(OR($F134="sell_put",$F134="sell_call"),IF(AND($H134&gt;0,$I134&gt;0,$J134&gt;=0),$H134,0),IF(OR($F134="buy_to_close",$F134="expire",$F134="roll",$F134="assignment",$F134="called_away"),IF(AND($AF134&gt;0,$H134&gt;0,IF($F134="assignment",IF($AF134&gt;0,INDEX($AG$9:$AG$133,$AF134),"")="put",TRUE),IF($F134="called_away",IF($AF134&gt;0,INDEX($AG$9:$AG$133,$AF134),"")="call",TRUE)),MIN($H134,IF($AF134&gt;0,MAX(0,INDEX($AI$9:$AI$133,$AF134)-SUMIFS($AE$9:$AE$133,$G$9:$G$133,$G134,$B$9:$B$133,$B134)),0)),0),0)))</f>
        <v/>
      </c>
      <c r="AF134" t="str">
        <f>IF($A134="","",IFERROR(MATCH(LEN($B134)&amp;":"&amp;$B134&amp;$G134,$AY$9:$AY$133,0),0))</f>
        <v/>
      </c>
      <c r="AG134" t="str">
        <f>IF($A134="","",IF($F134="sell_put","put",IF($F134="sell_call","call",IF($F134="roll",IF($AF134&gt;0,IF($AF134&gt;0,INDEX($AG$9:$AG$133,$AF134),""),""),IF($AF134&gt;0,IF($AF134&gt;0,INDEX($AG$9:$AG$133,$AF134),""),"")))))</f>
        <v/>
      </c>
      <c r="AH134" t="str">
        <f>IF($A134="","",IF(OR($F134="sell_put",$F134="sell_call",$F134="roll"),$I134,IF($AF134&gt;0,IF($AF134&gt;0,INDEX($AH$9:$AH$133,$AF134),0),0)))</f>
        <v/>
      </c>
      <c r="AI134" s="51" t="str">
        <f t="shared" si="26"/>
        <v/>
      </c>
      <c r="AJ134" s="51" t="str">
        <f>IF($A134="","",IFERROR(LOOKUP(2,1/($B$9:$B$133=$B134),$AM$9:$AM133),0))</f>
        <v/>
      </c>
      <c r="AK134" t="str">
        <f>IF($A134="","",IFERROR(LOOKUP(2,1/($B$9:$B$133=$B134),$AN$9:$AN133),0))</f>
        <v/>
      </c>
      <c r="AL134" s="51" t="str">
        <f t="shared" si="27"/>
        <v/>
      </c>
      <c r="AM134" s="51" t="str">
        <f t="shared" si="28"/>
        <v/>
      </c>
      <c r="AN134" t="str">
        <f t="shared" si="29"/>
        <v/>
      </c>
      <c r="AO134" s="50" t="str">
        <f>IF($A134="","",IFERROR(LOOKUP(2,1/($B$9:$B$133=$B134),$AO$9:$AO133),0)+IF($F134="sell_put",$I134*$AE134*$D134,IF($F134="roll",IF($AG134="put",($I134-IF($AF134&gt;0,INDEX($AH$9:$AH$133,$AF134),0))*$AE134*$D134,0),IF(AND(OR($F134="buy_to_close",$F134="expire",$F134="roll",$F134="assignment",$F134="called_away"),$F134&lt;&gt;"roll",$AG134="put"),-IF($AF134&gt;0,INDEX($AH$9:$AH$133,$AF134),0)*$AE134*$D134,0))))</f>
        <v/>
      </c>
      <c r="AP134" s="51" t="str">
        <f>IF($A134="","",IFERROR(LOOKUP(2,1/($B$9:$B$133=$B134),$AP$9:$AP133),0)+IF($F134="sell_put",$AE134*$D134,IF(AND(OR($F134="buy_to_close",$F134="expire",$F134="roll",$F134="assignment",$F134="called_away"),$F134&lt;&gt;"roll",$AG134="put"),-$AE134*$D134,0)))</f>
        <v/>
      </c>
      <c r="AQ134" s="51" t="str">
        <f>IF($A134="","",IFERROR(LOOKUP(2,1/($B$9:$B$133=$B134),$AQ$9:$AQ133),0)+IF(OR($F134="sell_put",$F134="sell_call"),$AE134,0)-IF(AND(OR($F134="buy_to_close",$F134="expire",$F134="roll",$F134="assignment",$F134="called_away"),$F134&lt;&gt;"roll"),$AE134,0))</f>
        <v/>
      </c>
      <c r="AR134" t="str">
        <f t="shared" si="30"/>
        <v/>
      </c>
      <c r="AS134" s="50" t="str">
        <f t="shared" si="31"/>
        <v/>
      </c>
      <c r="AT134" s="50" t="str">
        <f>IF($A134="","",MAX(IF($T134=IFERROR(LOOKUP(2,1/($B$9:$B$133=$B134),$T$9:$T133),0),IFERROR(LOOKUP(2,1/($B$9:$B$133=$B134),$AT$9:$AT133),0),0),$AS134))</f>
        <v/>
      </c>
      <c r="AU134" t="str">
        <f t="shared" si="32"/>
        <v/>
      </c>
      <c r="AV134" s="51">
        <f>IF($AU134="",0,IF(AND(IFERROR(LOOKUP(2,1/($B$9:$B$133=$B134),$AR$9:$AR133),1),NOT(AND(OR($F134="dividend",$F134="fee"),IFERROR(LOOKUP(2,1/($B$9:$B$133=$B134),$T$9:$T133),0)&gt;0))),ROW(),0))</f>
        <v>0</v>
      </c>
      <c r="AW134">
        <f>IF($A134="",0,IF($AV134&gt;0,MAX($AW$9:$AW$133)+1,MAX($AW$9:$AW$133)))</f>
        <v>0</v>
      </c>
      <c r="AX134">
        <f>IF($AU134="",0,IF(AND($AR134,OR(NOT(IFERROR(LOOKUP(2,1/($B$9:$B$133=$B134),$AR$9:$AR133),1)),IFERROR(LOOKUP(2,1/($B$9:$B$133=$B134),$T$9:$T133),0)=0)),ROW(),0))</f>
        <v>0</v>
      </c>
      <c r="AY134" t="str">
        <f t="shared" si="33"/>
        <v/>
      </c>
    </row>
    <row r="135" spans="1:51" ht="15" x14ac:dyDescent="0.25">
      <c r="A135" s="41" t="str">
        <f>IF(Trades!$A135="","",Trades!O135)</f>
        <v/>
      </c>
      <c r="B135" s="41" t="str">
        <f>IF(Trades!$A135="","",Trades!B135)</f>
        <v/>
      </c>
      <c r="C135" s="41" t="str">
        <f>IF(Trades!$A135="","",Trades!C135)</f>
        <v/>
      </c>
      <c r="D135" s="42" t="str">
        <f>IF(Trades!$A135="","",IF(Trades!$L135&gt;0,Trades!$L135,Trades!$C$6))</f>
        <v/>
      </c>
      <c r="E135" s="43" t="str">
        <f>IF(Trades!$A135="","",Trades!A135)</f>
        <v/>
      </c>
      <c r="F135" s="41" t="str">
        <f>IF(Trades!$A135="","",IFERROR(INDEX(Trades!$V$2:$V$14,MATCH(Trades!$E135,Trades!$U$2:$U$14,0)),""))</f>
        <v/>
      </c>
      <c r="G135" s="41" t="str">
        <f>IF(Trades!$A135="","",Trades!N135)</f>
        <v/>
      </c>
      <c r="H135" s="42" t="str">
        <f>IF(Trades!$A135="","",Trades!F135)</f>
        <v/>
      </c>
      <c r="I135" s="44" t="str">
        <f>IF(Trades!$A135="","",Trades!G135)</f>
        <v/>
      </c>
      <c r="J135" s="44" t="str">
        <f>IF(Trades!$A135="","",Trades!I135)</f>
        <v/>
      </c>
      <c r="K135" s="44" t="str">
        <f>IF(Trades!$A135="","",Trades!Q135)</f>
        <v/>
      </c>
      <c r="L135" s="42" t="str">
        <f>IF(Trades!$A135="","",Trades!F135)</f>
        <v/>
      </c>
      <c r="M135" s="44" t="str">
        <f>IF(Trades!$A135="","",Trades!M135)</f>
        <v/>
      </c>
      <c r="N135" s="44" t="str">
        <f>IF(Trades!$A135="","",Trades!R135)</f>
        <v/>
      </c>
      <c r="O135" s="44" t="str">
        <f>IF(Trades!$A135="","",Trades!J135)</f>
        <v/>
      </c>
      <c r="P135" s="43" t="str">
        <f>IF(Trades!$A135="","",Trades!H135)</f>
        <v/>
      </c>
      <c r="Q135" s="41" t="str">
        <f>IF(Trades!$A135="","",Trades!P135)</f>
        <v/>
      </c>
      <c r="R135" s="45" t="str">
        <f t="shared" si="17"/>
        <v/>
      </c>
      <c r="S135" s="45" t="str">
        <f t="shared" si="18"/>
        <v/>
      </c>
      <c r="T135" s="46" t="str">
        <f>IF(OR($A135="",$B135=""),"",IF(AND(IFERROR(LOOKUP(2,1/($B$9:$B$134=$B135),$AR$9:$AR134),1),NOT(AND(OR($F135="dividend",$F135="fee"),IFERROR(LOOKUP(2,1/($B$9:$B$134=$B135),$T$9:$T134),0)&gt;0))),IFERROR(LOOKUP(2,1/($B$9:$B$134=$B135),$T$9:$T134),0)+1,IFERROR(LOOKUP(2,1/($B$9:$B$134=$B135),$T$9:$T134),0)))</f>
        <v/>
      </c>
      <c r="U135" s="47" t="str">
        <f t="shared" si="19"/>
        <v/>
      </c>
      <c r="V135" s="47" t="str">
        <f>IF($A135="","",IF(OR($B135="",$C135="",$D135="",$E135="",$F135=""),"Missing required field",IF(COUNTIFS($A$9:$A135,$A135,$B$9:$B135,$B135)&gt;1,"Duplicate event ID",IF(AND($E135&lt;&gt;IFERROR(LOOKUP(2,1/($B$9:$B$134=$B135),$E$9:$E134),0),IFERROR(LOOKUP(2,1/($B$9:$B$134=$B135),$E$9:$E134),0)&gt;$E135),"Date out of order",IF(AND(OR($F135="buy_to_close",$F135="expire",$F135="roll",$F135="assignment",$F135="called_away"),$AF135=0),"Unknown lot",IF(OR(AND($F135="assignment",$AF135&gt;0,IF($AF135&gt;0,INDEX($AG$9:$AG$134,$AF135),"")&lt;&gt;"put"),AND($F135="called_away",$AF135&gt;0,IF($AF135&gt;0,INDEX($AG$9:$AG$134,$AF135),"")&lt;&gt;"call")),"Wrong option leg",IF(OR(AND(OR($F135="sell_put",$F135="sell_call"),OR($H135&lt;=0,$I135&lt;=0,$J135&lt;0)),AND(OR($F135="buy_to_close",$F135="expire",$F135="assignment",$F135="called_away"),OR($H135&lt;=0,$J135&lt;0)),AND($F135="roll",OR($H135&lt;=0,$I135&lt;=0,$J135&lt;0,$K135&lt;0)),AND(OR($F135="buy_shares",$F135="sell_shares"),OR($L135&lt;=0,$M135&lt;0)),AND(OR($F135="dividend",$F135="fee"),$N135&lt;0)),"Invalid value",IF(AND(OR($F135="sell_shares",$F135="called_away"),$AL135&lt;IF($F135="called_away",$AE135*$D135,$L135)),"Insufficient shares (capped)",IF(AND(OR($F135="buy_to_close",$F135="expire",$F135="roll",$F135="assignment",$F135="called_away"),$AF135&gt;0,$H135&gt;IF($AF135&gt;0,MAX(0,INDEX($AI$9:$AI$134,$AF135)-SUMIFS($AE$9:$AE$134,$G$9:$G$134,$G135,$B$9:$B$134,$B135)),0)),"Close quantity capped","OK")))))))))</f>
        <v/>
      </c>
      <c r="W135" s="48" t="str">
        <f t="shared" si="20"/>
        <v/>
      </c>
      <c r="X135" s="49" t="str">
        <f t="shared" si="21"/>
        <v/>
      </c>
      <c r="Y135" s="50" t="str">
        <f t="shared" si="22"/>
        <v/>
      </c>
      <c r="Z135" s="50" t="str">
        <f t="shared" si="23"/>
        <v/>
      </c>
      <c r="AA135" s="50" t="str">
        <f t="shared" si="24"/>
        <v/>
      </c>
      <c r="AB135" s="50" t="str">
        <f t="shared" si="25"/>
        <v/>
      </c>
      <c r="AC135" s="50" t="str">
        <f>IF($A135="","",IF($F135="assignment",IF($AF135&gt;0,INDEX($AH$9:$AH$134,$AF135),0)*$AE135*$D135,IF($F135="buy_shares",$M135*$AL135,0)))</f>
        <v/>
      </c>
      <c r="AD135" s="50" t="str">
        <f>IF($A135="","",IF($F135="called_away",IF($AF135&gt;0,INDEX($AH$9:$AH$134,$AF135),0)*$AL135,IF($F135="sell_shares",$M135*$AL135,0)))</f>
        <v/>
      </c>
      <c r="AE135" s="51" t="str">
        <f>IF($A135="","",IF(OR($F135="sell_put",$F135="sell_call"),IF(AND($H135&gt;0,$I135&gt;0,$J135&gt;=0),$H135,0),IF(OR($F135="buy_to_close",$F135="expire",$F135="roll",$F135="assignment",$F135="called_away"),IF(AND($AF135&gt;0,$H135&gt;0,IF($F135="assignment",IF($AF135&gt;0,INDEX($AG$9:$AG$134,$AF135),"")="put",TRUE),IF($F135="called_away",IF($AF135&gt;0,INDEX($AG$9:$AG$134,$AF135),"")="call",TRUE)),MIN($H135,IF($AF135&gt;0,MAX(0,INDEX($AI$9:$AI$134,$AF135)-SUMIFS($AE$9:$AE$134,$G$9:$G$134,$G135,$B$9:$B$134,$B135)),0)),0),0)))</f>
        <v/>
      </c>
      <c r="AF135" t="str">
        <f>IF($A135="","",IFERROR(MATCH(LEN($B135)&amp;":"&amp;$B135&amp;$G135,$AY$9:$AY$134,0),0))</f>
        <v/>
      </c>
      <c r="AG135" t="str">
        <f>IF($A135="","",IF($F135="sell_put","put",IF($F135="sell_call","call",IF($F135="roll",IF($AF135&gt;0,IF($AF135&gt;0,INDEX($AG$9:$AG$134,$AF135),""),""),IF($AF135&gt;0,IF($AF135&gt;0,INDEX($AG$9:$AG$134,$AF135),""),"")))))</f>
        <v/>
      </c>
      <c r="AH135" t="str">
        <f>IF($A135="","",IF(OR($F135="sell_put",$F135="sell_call",$F135="roll"),$I135,IF($AF135&gt;0,IF($AF135&gt;0,INDEX($AH$9:$AH$134,$AF135),0),0)))</f>
        <v/>
      </c>
      <c r="AI135" s="51" t="str">
        <f t="shared" si="26"/>
        <v/>
      </c>
      <c r="AJ135" s="51" t="str">
        <f>IF($A135="","",IFERROR(LOOKUP(2,1/($B$9:$B$134=$B135),$AM$9:$AM134),0))</f>
        <v/>
      </c>
      <c r="AK135" t="str">
        <f>IF($A135="","",IFERROR(LOOKUP(2,1/($B$9:$B$134=$B135),$AN$9:$AN134),0))</f>
        <v/>
      </c>
      <c r="AL135" s="51" t="str">
        <f t="shared" si="27"/>
        <v/>
      </c>
      <c r="AM135" s="51" t="str">
        <f t="shared" si="28"/>
        <v/>
      </c>
      <c r="AN135" t="str">
        <f t="shared" si="29"/>
        <v/>
      </c>
      <c r="AO135" s="50" t="str">
        <f>IF($A135="","",IFERROR(LOOKUP(2,1/($B$9:$B$134=$B135),$AO$9:$AO134),0)+IF($F135="sell_put",$I135*$AE135*$D135,IF($F135="roll",IF($AG135="put",($I135-IF($AF135&gt;0,INDEX($AH$9:$AH$134,$AF135),0))*$AE135*$D135,0),IF(AND(OR($F135="buy_to_close",$F135="expire",$F135="roll",$F135="assignment",$F135="called_away"),$F135&lt;&gt;"roll",$AG135="put"),-IF($AF135&gt;0,INDEX($AH$9:$AH$134,$AF135),0)*$AE135*$D135,0))))</f>
        <v/>
      </c>
      <c r="AP135" s="51" t="str">
        <f>IF($A135="","",IFERROR(LOOKUP(2,1/($B$9:$B$134=$B135),$AP$9:$AP134),0)+IF($F135="sell_put",$AE135*$D135,IF(AND(OR($F135="buy_to_close",$F135="expire",$F135="roll",$F135="assignment",$F135="called_away"),$F135&lt;&gt;"roll",$AG135="put"),-$AE135*$D135,0)))</f>
        <v/>
      </c>
      <c r="AQ135" s="51" t="str">
        <f>IF($A135="","",IFERROR(LOOKUP(2,1/($B$9:$B$134=$B135),$AQ$9:$AQ134),0)+IF(OR($F135="sell_put",$F135="sell_call"),$AE135,0)-IF(AND(OR($F135="buy_to_close",$F135="expire",$F135="roll",$F135="assignment",$F135="called_away"),$F135&lt;&gt;"roll"),$AE135,0))</f>
        <v/>
      </c>
      <c r="AR135" t="str">
        <f t="shared" si="30"/>
        <v/>
      </c>
      <c r="AS135" s="50" t="str">
        <f t="shared" si="31"/>
        <v/>
      </c>
      <c r="AT135" s="50" t="str">
        <f>IF($A135="","",MAX(IF($T135=IFERROR(LOOKUP(2,1/($B$9:$B$134=$B135),$T$9:$T134),0),IFERROR(LOOKUP(2,1/($B$9:$B$134=$B135),$AT$9:$AT134),0),0),$AS135))</f>
        <v/>
      </c>
      <c r="AU135" t="str">
        <f t="shared" si="32"/>
        <v/>
      </c>
      <c r="AV135" s="51">
        <f>IF($AU135="",0,IF(AND(IFERROR(LOOKUP(2,1/($B$9:$B$134=$B135),$AR$9:$AR134),1),NOT(AND(OR($F135="dividend",$F135="fee"),IFERROR(LOOKUP(2,1/($B$9:$B$134=$B135),$T$9:$T134),0)&gt;0))),ROW(),0))</f>
        <v>0</v>
      </c>
      <c r="AW135">
        <f>IF($A135="",0,IF($AV135&gt;0,MAX($AW$9:$AW$134)+1,MAX($AW$9:$AW$134)))</f>
        <v>0</v>
      </c>
      <c r="AX135">
        <f>IF($AU135="",0,IF(AND($AR135,OR(NOT(IFERROR(LOOKUP(2,1/($B$9:$B$134=$B135),$AR$9:$AR134),1)),IFERROR(LOOKUP(2,1/($B$9:$B$134=$B135),$T$9:$T134),0)=0)),ROW(),0))</f>
        <v>0</v>
      </c>
      <c r="AY135" t="str">
        <f t="shared" si="33"/>
        <v/>
      </c>
    </row>
    <row r="136" spans="1:51" ht="15" x14ac:dyDescent="0.25">
      <c r="A136" s="52" t="str">
        <f>IF(Trades!$A136="","",Trades!O136)</f>
        <v/>
      </c>
      <c r="B136" s="52" t="str">
        <f>IF(Trades!$A136="","",Trades!B136)</f>
        <v/>
      </c>
      <c r="C136" s="52" t="str">
        <f>IF(Trades!$A136="","",Trades!C136)</f>
        <v/>
      </c>
      <c r="D136" s="53" t="str">
        <f>IF(Trades!$A136="","",IF(Trades!$L136&gt;0,Trades!$L136,Trades!$C$6))</f>
        <v/>
      </c>
      <c r="E136" s="54" t="str">
        <f>IF(Trades!$A136="","",Trades!A136)</f>
        <v/>
      </c>
      <c r="F136" s="52" t="str">
        <f>IF(Trades!$A136="","",IFERROR(INDEX(Trades!$V$2:$V$14,MATCH(Trades!$E136,Trades!$U$2:$U$14,0)),""))</f>
        <v/>
      </c>
      <c r="G136" s="52" t="str">
        <f>IF(Trades!$A136="","",Trades!N136)</f>
        <v/>
      </c>
      <c r="H136" s="53" t="str">
        <f>IF(Trades!$A136="","",Trades!F136)</f>
        <v/>
      </c>
      <c r="I136" s="55" t="str">
        <f>IF(Trades!$A136="","",Trades!G136)</f>
        <v/>
      </c>
      <c r="J136" s="55" t="str">
        <f>IF(Trades!$A136="","",Trades!I136)</f>
        <v/>
      </c>
      <c r="K136" s="55" t="str">
        <f>IF(Trades!$A136="","",Trades!Q136)</f>
        <v/>
      </c>
      <c r="L136" s="53" t="str">
        <f>IF(Trades!$A136="","",Trades!F136)</f>
        <v/>
      </c>
      <c r="M136" s="55" t="str">
        <f>IF(Trades!$A136="","",Trades!M136)</f>
        <v/>
      </c>
      <c r="N136" s="55" t="str">
        <f>IF(Trades!$A136="","",Trades!R136)</f>
        <v/>
      </c>
      <c r="O136" s="55" t="str">
        <f>IF(Trades!$A136="","",Trades!J136)</f>
        <v/>
      </c>
      <c r="P136" s="54" t="str">
        <f>IF(Trades!$A136="","",Trades!H136)</f>
        <v/>
      </c>
      <c r="Q136" s="52" t="str">
        <f>IF(Trades!$A136="","",Trades!P136)</f>
        <v/>
      </c>
      <c r="R136" s="56" t="str">
        <f t="shared" si="17"/>
        <v/>
      </c>
      <c r="S136" s="56" t="str">
        <f t="shared" si="18"/>
        <v/>
      </c>
      <c r="T136" s="57" t="str">
        <f>IF(OR($A136="",$B136=""),"",IF(AND(IFERROR(LOOKUP(2,1/($B$9:$B$135=$B136),$AR$9:$AR135),1),NOT(AND(OR($F136="dividend",$F136="fee"),IFERROR(LOOKUP(2,1/($B$9:$B$135=$B136),$T$9:$T135),0)&gt;0))),IFERROR(LOOKUP(2,1/($B$9:$B$135=$B136),$T$9:$T135),0)+1,IFERROR(LOOKUP(2,1/($B$9:$B$135=$B136),$T$9:$T135),0)))</f>
        <v/>
      </c>
      <c r="U136" s="58" t="str">
        <f t="shared" si="19"/>
        <v/>
      </c>
      <c r="V136" s="58" t="str">
        <f>IF($A136="","",IF(OR($B136="",$C136="",$D136="",$E136="",$F136=""),"Missing required field",IF(COUNTIFS($A$9:$A136,$A136,$B$9:$B136,$B136)&gt;1,"Duplicate event ID",IF(AND($E136&lt;&gt;IFERROR(LOOKUP(2,1/($B$9:$B$135=$B136),$E$9:$E135),0),IFERROR(LOOKUP(2,1/($B$9:$B$135=$B136),$E$9:$E135),0)&gt;$E136),"Date out of order",IF(AND(OR($F136="buy_to_close",$F136="expire",$F136="roll",$F136="assignment",$F136="called_away"),$AF136=0),"Unknown lot",IF(OR(AND($F136="assignment",$AF136&gt;0,IF($AF136&gt;0,INDEX($AG$9:$AG$135,$AF136),"")&lt;&gt;"put"),AND($F136="called_away",$AF136&gt;0,IF($AF136&gt;0,INDEX($AG$9:$AG$135,$AF136),"")&lt;&gt;"call")),"Wrong option leg",IF(OR(AND(OR($F136="sell_put",$F136="sell_call"),OR($H136&lt;=0,$I136&lt;=0,$J136&lt;0)),AND(OR($F136="buy_to_close",$F136="expire",$F136="assignment",$F136="called_away"),OR($H136&lt;=0,$J136&lt;0)),AND($F136="roll",OR($H136&lt;=0,$I136&lt;=0,$J136&lt;0,$K136&lt;0)),AND(OR($F136="buy_shares",$F136="sell_shares"),OR($L136&lt;=0,$M136&lt;0)),AND(OR($F136="dividend",$F136="fee"),$N136&lt;0)),"Invalid value",IF(AND(OR($F136="sell_shares",$F136="called_away"),$AL136&lt;IF($F136="called_away",$AE136*$D136,$L136)),"Insufficient shares (capped)",IF(AND(OR($F136="buy_to_close",$F136="expire",$F136="roll",$F136="assignment",$F136="called_away"),$AF136&gt;0,$H136&gt;IF($AF136&gt;0,MAX(0,INDEX($AI$9:$AI$135,$AF136)-SUMIFS($AE$9:$AE$135,$G$9:$G$135,$G136,$B$9:$B$135,$B136)),0)),"Close quantity capped","OK")))))))))</f>
        <v/>
      </c>
      <c r="W136" s="59" t="str">
        <f t="shared" si="20"/>
        <v/>
      </c>
      <c r="X136" s="60" t="str">
        <f t="shared" si="21"/>
        <v/>
      </c>
      <c r="Y136" s="50" t="str">
        <f t="shared" si="22"/>
        <v/>
      </c>
      <c r="Z136" s="50" t="str">
        <f t="shared" si="23"/>
        <v/>
      </c>
      <c r="AA136" s="50" t="str">
        <f t="shared" si="24"/>
        <v/>
      </c>
      <c r="AB136" s="50" t="str">
        <f t="shared" si="25"/>
        <v/>
      </c>
      <c r="AC136" s="50" t="str">
        <f>IF($A136="","",IF($F136="assignment",IF($AF136&gt;0,INDEX($AH$9:$AH$135,$AF136),0)*$AE136*$D136,IF($F136="buy_shares",$M136*$AL136,0)))</f>
        <v/>
      </c>
      <c r="AD136" s="50" t="str">
        <f>IF($A136="","",IF($F136="called_away",IF($AF136&gt;0,INDEX($AH$9:$AH$135,$AF136),0)*$AL136,IF($F136="sell_shares",$M136*$AL136,0)))</f>
        <v/>
      </c>
      <c r="AE136" s="51" t="str">
        <f>IF($A136="","",IF(OR($F136="sell_put",$F136="sell_call"),IF(AND($H136&gt;0,$I136&gt;0,$J136&gt;=0),$H136,0),IF(OR($F136="buy_to_close",$F136="expire",$F136="roll",$F136="assignment",$F136="called_away"),IF(AND($AF136&gt;0,$H136&gt;0,IF($F136="assignment",IF($AF136&gt;0,INDEX($AG$9:$AG$135,$AF136),"")="put",TRUE),IF($F136="called_away",IF($AF136&gt;0,INDEX($AG$9:$AG$135,$AF136),"")="call",TRUE)),MIN($H136,IF($AF136&gt;0,MAX(0,INDEX($AI$9:$AI$135,$AF136)-SUMIFS($AE$9:$AE$135,$G$9:$G$135,$G136,$B$9:$B$135,$B136)),0)),0),0)))</f>
        <v/>
      </c>
      <c r="AF136" t="str">
        <f>IF($A136="","",IFERROR(MATCH(LEN($B136)&amp;":"&amp;$B136&amp;$G136,$AY$9:$AY$135,0),0))</f>
        <v/>
      </c>
      <c r="AG136" t="str">
        <f>IF($A136="","",IF($F136="sell_put","put",IF($F136="sell_call","call",IF($F136="roll",IF($AF136&gt;0,IF($AF136&gt;0,INDEX($AG$9:$AG$135,$AF136),""),""),IF($AF136&gt;0,IF($AF136&gt;0,INDEX($AG$9:$AG$135,$AF136),""),"")))))</f>
        <v/>
      </c>
      <c r="AH136" t="str">
        <f>IF($A136="","",IF(OR($F136="sell_put",$F136="sell_call",$F136="roll"),$I136,IF($AF136&gt;0,IF($AF136&gt;0,INDEX($AH$9:$AH$135,$AF136),0),0)))</f>
        <v/>
      </c>
      <c r="AI136" s="51" t="str">
        <f t="shared" si="26"/>
        <v/>
      </c>
      <c r="AJ136" s="51" t="str">
        <f>IF($A136="","",IFERROR(LOOKUP(2,1/($B$9:$B$135=$B136),$AM$9:$AM135),0))</f>
        <v/>
      </c>
      <c r="AK136" t="str">
        <f>IF($A136="","",IFERROR(LOOKUP(2,1/($B$9:$B$135=$B136),$AN$9:$AN135),0))</f>
        <v/>
      </c>
      <c r="AL136" s="51" t="str">
        <f t="shared" si="27"/>
        <v/>
      </c>
      <c r="AM136" s="51" t="str">
        <f t="shared" si="28"/>
        <v/>
      </c>
      <c r="AN136" t="str">
        <f t="shared" si="29"/>
        <v/>
      </c>
      <c r="AO136" s="50" t="str">
        <f>IF($A136="","",IFERROR(LOOKUP(2,1/($B$9:$B$135=$B136),$AO$9:$AO135),0)+IF($F136="sell_put",$I136*$AE136*$D136,IF($F136="roll",IF($AG136="put",($I136-IF($AF136&gt;0,INDEX($AH$9:$AH$135,$AF136),0))*$AE136*$D136,0),IF(AND(OR($F136="buy_to_close",$F136="expire",$F136="roll",$F136="assignment",$F136="called_away"),$F136&lt;&gt;"roll",$AG136="put"),-IF($AF136&gt;0,INDEX($AH$9:$AH$135,$AF136),0)*$AE136*$D136,0))))</f>
        <v/>
      </c>
      <c r="AP136" s="51" t="str">
        <f>IF($A136="","",IFERROR(LOOKUP(2,1/($B$9:$B$135=$B136),$AP$9:$AP135),0)+IF($F136="sell_put",$AE136*$D136,IF(AND(OR($F136="buy_to_close",$F136="expire",$F136="roll",$F136="assignment",$F136="called_away"),$F136&lt;&gt;"roll",$AG136="put"),-$AE136*$D136,0)))</f>
        <v/>
      </c>
      <c r="AQ136" s="51" t="str">
        <f>IF($A136="","",IFERROR(LOOKUP(2,1/($B$9:$B$135=$B136),$AQ$9:$AQ135),0)+IF(OR($F136="sell_put",$F136="sell_call"),$AE136,0)-IF(AND(OR($F136="buy_to_close",$F136="expire",$F136="roll",$F136="assignment",$F136="called_away"),$F136&lt;&gt;"roll"),$AE136,0))</f>
        <v/>
      </c>
      <c r="AR136" t="str">
        <f t="shared" si="30"/>
        <v/>
      </c>
      <c r="AS136" s="50" t="str">
        <f t="shared" si="31"/>
        <v/>
      </c>
      <c r="AT136" s="50" t="str">
        <f>IF($A136="","",MAX(IF($T136=IFERROR(LOOKUP(2,1/($B$9:$B$135=$B136),$T$9:$T135),0),IFERROR(LOOKUP(2,1/($B$9:$B$135=$B136),$AT$9:$AT135),0),0),$AS136))</f>
        <v/>
      </c>
      <c r="AU136" t="str">
        <f t="shared" si="32"/>
        <v/>
      </c>
      <c r="AV136" s="51">
        <f>IF($AU136="",0,IF(AND(IFERROR(LOOKUP(2,1/($B$9:$B$135=$B136),$AR$9:$AR135),1),NOT(AND(OR($F136="dividend",$F136="fee"),IFERROR(LOOKUP(2,1/($B$9:$B$135=$B136),$T$9:$T135),0)&gt;0))),ROW(),0))</f>
        <v>0</v>
      </c>
      <c r="AW136">
        <f>IF($A136="",0,IF($AV136&gt;0,MAX($AW$9:$AW$135)+1,MAX($AW$9:$AW$135)))</f>
        <v>0</v>
      </c>
      <c r="AX136">
        <f>IF($AU136="",0,IF(AND($AR136,OR(NOT(IFERROR(LOOKUP(2,1/($B$9:$B$135=$B136),$AR$9:$AR135),1)),IFERROR(LOOKUP(2,1/($B$9:$B$135=$B136),$T$9:$T135),0)=0)),ROW(),0))</f>
        <v>0</v>
      </c>
      <c r="AY136" t="str">
        <f t="shared" si="33"/>
        <v/>
      </c>
    </row>
    <row r="137" spans="1:51" ht="15" x14ac:dyDescent="0.25">
      <c r="A137" s="41" t="str">
        <f>IF(Trades!$A137="","",Trades!O137)</f>
        <v/>
      </c>
      <c r="B137" s="41" t="str">
        <f>IF(Trades!$A137="","",Trades!B137)</f>
        <v/>
      </c>
      <c r="C137" s="41" t="str">
        <f>IF(Trades!$A137="","",Trades!C137)</f>
        <v/>
      </c>
      <c r="D137" s="42" t="str">
        <f>IF(Trades!$A137="","",IF(Trades!$L137&gt;0,Trades!$L137,Trades!$C$6))</f>
        <v/>
      </c>
      <c r="E137" s="43" t="str">
        <f>IF(Trades!$A137="","",Trades!A137)</f>
        <v/>
      </c>
      <c r="F137" s="41" t="str">
        <f>IF(Trades!$A137="","",IFERROR(INDEX(Trades!$V$2:$V$14,MATCH(Trades!$E137,Trades!$U$2:$U$14,0)),""))</f>
        <v/>
      </c>
      <c r="G137" s="41" t="str">
        <f>IF(Trades!$A137="","",Trades!N137)</f>
        <v/>
      </c>
      <c r="H137" s="42" t="str">
        <f>IF(Trades!$A137="","",Trades!F137)</f>
        <v/>
      </c>
      <c r="I137" s="44" t="str">
        <f>IF(Trades!$A137="","",Trades!G137)</f>
        <v/>
      </c>
      <c r="J137" s="44" t="str">
        <f>IF(Trades!$A137="","",Trades!I137)</f>
        <v/>
      </c>
      <c r="K137" s="44" t="str">
        <f>IF(Trades!$A137="","",Trades!Q137)</f>
        <v/>
      </c>
      <c r="L137" s="42" t="str">
        <f>IF(Trades!$A137="","",Trades!F137)</f>
        <v/>
      </c>
      <c r="M137" s="44" t="str">
        <f>IF(Trades!$A137="","",Trades!M137)</f>
        <v/>
      </c>
      <c r="N137" s="44" t="str">
        <f>IF(Trades!$A137="","",Trades!R137)</f>
        <v/>
      </c>
      <c r="O137" s="44" t="str">
        <f>IF(Trades!$A137="","",Trades!J137)</f>
        <v/>
      </c>
      <c r="P137" s="43" t="str">
        <f>IF(Trades!$A137="","",Trades!H137)</f>
        <v/>
      </c>
      <c r="Q137" s="41" t="str">
        <f>IF(Trades!$A137="","",Trades!P137)</f>
        <v/>
      </c>
      <c r="R137" s="45" t="str">
        <f t="shared" ref="R137:R200" si="34">IF($A137="","",$Y137-$Z137)</f>
        <v/>
      </c>
      <c r="S137" s="45" t="str">
        <f t="shared" ref="S137:S200" si="35">IF($A137="","",$R137+$AA137-$AB137-$AC137+$AD137)</f>
        <v/>
      </c>
      <c r="T137" s="46" t="str">
        <f>IF(OR($A137="",$B137=""),"",IF(AND(IFERROR(LOOKUP(2,1/($B$9:$B$136=$B137),$AR$9:$AR136),1),NOT(AND(OR($F137="dividend",$F137="fee"),IFERROR(LOOKUP(2,1/($B$9:$B$136=$B137),$T$9:$T136),0)&gt;0))),IFERROR(LOOKUP(2,1/($B$9:$B$136=$B137),$T$9:$T136),0)+1,IFERROR(LOOKUP(2,1/($B$9:$B$136=$B137),$T$9:$T136),0)))</f>
        <v/>
      </c>
      <c r="U137" s="47" t="str">
        <f t="shared" ref="U137:U200" si="36">IF($A137="","",IF($AR137,"Flat / cycle closed",IF($AM137&gt;0,"Shares held","Short option open")))</f>
        <v/>
      </c>
      <c r="V137" s="47" t="str">
        <f>IF($A137="","",IF(OR($B137="",$C137="",$D137="",$E137="",$F137=""),"Missing required field",IF(COUNTIFS($A$9:$A137,$A137,$B$9:$B137,$B137)&gt;1,"Duplicate event ID",IF(AND($E137&lt;&gt;IFERROR(LOOKUP(2,1/($B$9:$B$136=$B137),$E$9:$E136),0),IFERROR(LOOKUP(2,1/($B$9:$B$136=$B137),$E$9:$E136),0)&gt;$E137),"Date out of order",IF(AND(OR($F137="buy_to_close",$F137="expire",$F137="roll",$F137="assignment",$F137="called_away"),$AF137=0),"Unknown lot",IF(OR(AND($F137="assignment",$AF137&gt;0,IF($AF137&gt;0,INDEX($AG$9:$AG$136,$AF137),"")&lt;&gt;"put"),AND($F137="called_away",$AF137&gt;0,IF($AF137&gt;0,INDEX($AG$9:$AG$136,$AF137),"")&lt;&gt;"call")),"Wrong option leg",IF(OR(AND(OR($F137="sell_put",$F137="sell_call"),OR($H137&lt;=0,$I137&lt;=0,$J137&lt;0)),AND(OR($F137="buy_to_close",$F137="expire",$F137="assignment",$F137="called_away"),OR($H137&lt;=0,$J137&lt;0)),AND($F137="roll",OR($H137&lt;=0,$I137&lt;=0,$J137&lt;0,$K137&lt;0)),AND(OR($F137="buy_shares",$F137="sell_shares"),OR($L137&lt;=0,$M137&lt;0)),AND(OR($F137="dividend",$F137="fee"),$N137&lt;0)),"Invalid value",IF(AND(OR($F137="sell_shares",$F137="called_away"),$AL137&lt;IF($F137="called_away",$AE137*$D137,$L137)),"Insufficient shares (capped)",IF(AND(OR($F137="buy_to_close",$F137="expire",$F137="roll",$F137="assignment",$F137="called_away"),$AF137&gt;0,$H137&gt;IF($AF137&gt;0,MAX(0,INDEX($AI$9:$AI$136,$AF137)-SUMIFS($AE$9:$AE$136,$G$9:$G$136,$G137,$B$9:$B$136,$B137)),0)),"Close quantity capped","OK")))))))))</f>
        <v/>
      </c>
      <c r="W137" s="48" t="str">
        <f t="shared" ref="W137:W200" si="37">IF($A137="","",$AM137)</f>
        <v/>
      </c>
      <c r="X137" s="49" t="str">
        <f t="shared" ref="X137:X200" si="38">IF($A137="","",$AS137)</f>
        <v/>
      </c>
      <c r="Y137" s="50" t="str">
        <f t="shared" ref="Y137:Y200" si="39">IF($A137="","",IF(OR($F137="sell_put",$F137="sell_call"),$J137*$AE137*$D137,IF($F137="roll",$J137*$AE137*$D137,0)))</f>
        <v/>
      </c>
      <c r="Z137" s="50" t="str">
        <f t="shared" ref="Z137:Z200" si="40">IF($A137="","",IF($F137="buy_to_close",$J137*$AE137*$D137,IF($F137="roll",$K137*$AE137*$D137,0)))</f>
        <v/>
      </c>
      <c r="AA137" s="50" t="str">
        <f t="shared" ref="AA137:AA200" si="41">IF($A137="","",IF(AND($F137="dividend",$N137&gt;=0),$N137,0))</f>
        <v/>
      </c>
      <c r="AB137" s="50" t="str">
        <f t="shared" ref="AB137:AB200" si="42">IF($A137="","",IF($O137&gt;=0,$O137,0)+IF(AND($F137="fee",$N137&gt;=0),$N137,0))</f>
        <v/>
      </c>
      <c r="AC137" s="50" t="str">
        <f>IF($A137="","",IF($F137="assignment",IF($AF137&gt;0,INDEX($AH$9:$AH$136,$AF137),0)*$AE137*$D137,IF($F137="buy_shares",$M137*$AL137,0)))</f>
        <v/>
      </c>
      <c r="AD137" s="50" t="str">
        <f>IF($A137="","",IF($F137="called_away",IF($AF137&gt;0,INDEX($AH$9:$AH$136,$AF137),0)*$AL137,IF($F137="sell_shares",$M137*$AL137,0)))</f>
        <v/>
      </c>
      <c r="AE137" s="51" t="str">
        <f>IF($A137="","",IF(OR($F137="sell_put",$F137="sell_call"),IF(AND($H137&gt;0,$I137&gt;0,$J137&gt;=0),$H137,0),IF(OR($F137="buy_to_close",$F137="expire",$F137="roll",$F137="assignment",$F137="called_away"),IF(AND($AF137&gt;0,$H137&gt;0,IF($F137="assignment",IF($AF137&gt;0,INDEX($AG$9:$AG$136,$AF137),"")="put",TRUE),IF($F137="called_away",IF($AF137&gt;0,INDEX($AG$9:$AG$136,$AF137),"")="call",TRUE)),MIN($H137,IF($AF137&gt;0,MAX(0,INDEX($AI$9:$AI$136,$AF137)-SUMIFS($AE$9:$AE$136,$G$9:$G$136,$G137,$B$9:$B$136,$B137)),0)),0),0)))</f>
        <v/>
      </c>
      <c r="AF137" t="str">
        <f>IF($A137="","",IFERROR(MATCH(LEN($B137)&amp;":"&amp;$B137&amp;$G137,$AY$9:$AY$136,0),0))</f>
        <v/>
      </c>
      <c r="AG137" t="str">
        <f>IF($A137="","",IF($F137="sell_put","put",IF($F137="sell_call","call",IF($F137="roll",IF($AF137&gt;0,IF($AF137&gt;0,INDEX($AG$9:$AG$136,$AF137),""),""),IF($AF137&gt;0,IF($AF137&gt;0,INDEX($AG$9:$AG$136,$AF137),""),"")))))</f>
        <v/>
      </c>
      <c r="AH137" t="str">
        <f>IF($A137="","",IF(OR($F137="sell_put",$F137="sell_call",$F137="roll"),$I137,IF($AF137&gt;0,IF($AF137&gt;0,INDEX($AH$9:$AH$136,$AF137),0),0)))</f>
        <v/>
      </c>
      <c r="AI137" s="51" t="str">
        <f t="shared" ref="AI137:AI200" si="43">IF($A137="","",IF(OR($F137="sell_put",$F137="sell_call"),IF(AND($H137&gt;0,$I137&gt;0,$J137&gt;=0),$H137,0),IF($F137="roll",$AE137,0)))</f>
        <v/>
      </c>
      <c r="AJ137" s="51" t="str">
        <f>IF($A137="","",IFERROR(LOOKUP(2,1/($B$9:$B$136=$B137),$AM$9:$AM136),0))</f>
        <v/>
      </c>
      <c r="AK137" t="str">
        <f>IF($A137="","",IFERROR(LOOKUP(2,1/($B$9:$B$136=$B137),$AN$9:$AN136),0))</f>
        <v/>
      </c>
      <c r="AL137" s="51" t="str">
        <f t="shared" ref="AL137:AL200" si="44">IF($A137="","",IF($F137="assignment",$AE137*$D137,IF($F137="called_away",MIN(MAX(0,$AE137*$D137),MAX(0,$AJ137)),IF($F137="buy_shares",IF(AND($L137&gt;0,$M137&gt;=0),$L137,0),IF($F137="sell_shares",IF(AND($L137&gt;0,$M137&gt;=0),MIN($L137,MAX(0,$AJ137)),0),0)))))</f>
        <v/>
      </c>
      <c r="AM137" s="51" t="str">
        <f t="shared" ref="AM137:AM200" si="45">IF($A137="","",MAX(0,$AJ137+IF(OR($F137="assignment",$F137="buy_shares"),$AL137,-$AL137)))</f>
        <v/>
      </c>
      <c r="AN137" t="str">
        <f t="shared" ref="AN137:AN200" si="46">IF($A137="","",IF($AM137&lt;=0.000000001,0,MAX(0,$AK137+$AC137-IF(OR($F137="called_away",$F137="sell_shares"),IF($AJ137&gt;0,$AK137/$AJ137*$AL137,0),0))))</f>
        <v/>
      </c>
      <c r="AO137" s="50" t="str">
        <f>IF($A137="","",IFERROR(LOOKUP(2,1/($B$9:$B$136=$B137),$AO$9:$AO136),0)+IF($F137="sell_put",$I137*$AE137*$D137,IF($F137="roll",IF($AG137="put",($I137-IF($AF137&gt;0,INDEX($AH$9:$AH$136,$AF137),0))*$AE137*$D137,0),IF(AND(OR($F137="buy_to_close",$F137="expire",$F137="roll",$F137="assignment",$F137="called_away"),$F137&lt;&gt;"roll",$AG137="put"),-IF($AF137&gt;0,INDEX($AH$9:$AH$136,$AF137),0)*$AE137*$D137,0))))</f>
        <v/>
      </c>
      <c r="AP137" s="51" t="str">
        <f>IF($A137="","",IFERROR(LOOKUP(2,1/($B$9:$B$136=$B137),$AP$9:$AP136),0)+IF($F137="sell_put",$AE137*$D137,IF(AND(OR($F137="buy_to_close",$F137="expire",$F137="roll",$F137="assignment",$F137="called_away"),$F137&lt;&gt;"roll",$AG137="put"),-$AE137*$D137,0)))</f>
        <v/>
      </c>
      <c r="AQ137" s="51" t="str">
        <f>IF($A137="","",IFERROR(LOOKUP(2,1/($B$9:$B$136=$B137),$AQ$9:$AQ136),0)+IF(OR($F137="sell_put",$F137="sell_call"),$AE137,0)-IF(AND(OR($F137="buy_to_close",$F137="expire",$F137="roll",$F137="assignment",$F137="called_away"),$F137&lt;&gt;"roll"),$AE137,0))</f>
        <v/>
      </c>
      <c r="AR137" t="str">
        <f t="shared" ref="AR137:AR200" si="47">IF($A137="","",AND($AM137&lt;=0.000000001,$AQ137&lt;=0.000000001))</f>
        <v/>
      </c>
      <c r="AS137" s="50" t="str">
        <f t="shared" ref="AS137:AS200" si="48">IF($A137="","",$AO137+$AN137)</f>
        <v/>
      </c>
      <c r="AT137" s="50" t="str">
        <f>IF($A137="","",MAX(IF($T137=IFERROR(LOOKUP(2,1/($B$9:$B$136=$B137),$T$9:$T136),0),IFERROR(LOOKUP(2,1/($B$9:$B$136=$B137),$AT$9:$AT136),0),0),$AS137))</f>
        <v/>
      </c>
      <c r="AU137" t="str">
        <f t="shared" ref="AU137:AU200" si="49">IF(OR($A137="",$B137="",$T137=""),"",$B137&amp;"¦"&amp;$T137)</f>
        <v/>
      </c>
      <c r="AV137" s="51">
        <f>IF($AU137="",0,IF(AND(IFERROR(LOOKUP(2,1/($B$9:$B$136=$B137),$AR$9:$AR136),1),NOT(AND(OR($F137="dividend",$F137="fee"),IFERROR(LOOKUP(2,1/($B$9:$B$136=$B137),$T$9:$T136),0)&gt;0))),ROW(),0))</f>
        <v>0</v>
      </c>
      <c r="AW137">
        <f>IF($A137="",0,IF($AV137&gt;0,MAX($AW$9:$AW$136)+1,MAX($AW$9:$AW$136)))</f>
        <v>0</v>
      </c>
      <c r="AX137">
        <f>IF($AU137="",0,IF(AND($AR137,OR(NOT(IFERROR(LOOKUP(2,1/($B$9:$B$136=$B137),$AR$9:$AR136),1)),IFERROR(LOOKUP(2,1/($B$9:$B$136=$B137),$T$9:$T136),0)=0)),ROW(),0))</f>
        <v>0</v>
      </c>
      <c r="AY137" t="str">
        <f t="shared" ref="AY137:AY200" si="50">IF(OR($A137="",$B137=""),"",LEN($B137)&amp;":"&amp;$B137&amp;$A137)</f>
        <v/>
      </c>
    </row>
    <row r="138" spans="1:51" ht="15" x14ac:dyDescent="0.25">
      <c r="A138" s="52" t="str">
        <f>IF(Trades!$A138="","",Trades!O138)</f>
        <v/>
      </c>
      <c r="B138" s="52" t="str">
        <f>IF(Trades!$A138="","",Trades!B138)</f>
        <v/>
      </c>
      <c r="C138" s="52" t="str">
        <f>IF(Trades!$A138="","",Trades!C138)</f>
        <v/>
      </c>
      <c r="D138" s="53" t="str">
        <f>IF(Trades!$A138="","",IF(Trades!$L138&gt;0,Trades!$L138,Trades!$C$6))</f>
        <v/>
      </c>
      <c r="E138" s="54" t="str">
        <f>IF(Trades!$A138="","",Trades!A138)</f>
        <v/>
      </c>
      <c r="F138" s="52" t="str">
        <f>IF(Trades!$A138="","",IFERROR(INDEX(Trades!$V$2:$V$14,MATCH(Trades!$E138,Trades!$U$2:$U$14,0)),""))</f>
        <v/>
      </c>
      <c r="G138" s="52" t="str">
        <f>IF(Trades!$A138="","",Trades!N138)</f>
        <v/>
      </c>
      <c r="H138" s="53" t="str">
        <f>IF(Trades!$A138="","",Trades!F138)</f>
        <v/>
      </c>
      <c r="I138" s="55" t="str">
        <f>IF(Trades!$A138="","",Trades!G138)</f>
        <v/>
      </c>
      <c r="J138" s="55" t="str">
        <f>IF(Trades!$A138="","",Trades!I138)</f>
        <v/>
      </c>
      <c r="K138" s="55" t="str">
        <f>IF(Trades!$A138="","",Trades!Q138)</f>
        <v/>
      </c>
      <c r="L138" s="53" t="str">
        <f>IF(Trades!$A138="","",Trades!F138)</f>
        <v/>
      </c>
      <c r="M138" s="55" t="str">
        <f>IF(Trades!$A138="","",Trades!M138)</f>
        <v/>
      </c>
      <c r="N138" s="55" t="str">
        <f>IF(Trades!$A138="","",Trades!R138)</f>
        <v/>
      </c>
      <c r="O138" s="55" t="str">
        <f>IF(Trades!$A138="","",Trades!J138)</f>
        <v/>
      </c>
      <c r="P138" s="54" t="str">
        <f>IF(Trades!$A138="","",Trades!H138)</f>
        <v/>
      </c>
      <c r="Q138" s="52" t="str">
        <f>IF(Trades!$A138="","",Trades!P138)</f>
        <v/>
      </c>
      <c r="R138" s="56" t="str">
        <f t="shared" si="34"/>
        <v/>
      </c>
      <c r="S138" s="56" t="str">
        <f t="shared" si="35"/>
        <v/>
      </c>
      <c r="T138" s="57" t="str">
        <f>IF(OR($A138="",$B138=""),"",IF(AND(IFERROR(LOOKUP(2,1/($B$9:$B$137=$B138),$AR$9:$AR137),1),NOT(AND(OR($F138="dividend",$F138="fee"),IFERROR(LOOKUP(2,1/($B$9:$B$137=$B138),$T$9:$T137),0)&gt;0))),IFERROR(LOOKUP(2,1/($B$9:$B$137=$B138),$T$9:$T137),0)+1,IFERROR(LOOKUP(2,1/($B$9:$B$137=$B138),$T$9:$T137),0)))</f>
        <v/>
      </c>
      <c r="U138" s="58" t="str">
        <f t="shared" si="36"/>
        <v/>
      </c>
      <c r="V138" s="58" t="str">
        <f>IF($A138="","",IF(OR($B138="",$C138="",$D138="",$E138="",$F138=""),"Missing required field",IF(COUNTIFS($A$9:$A138,$A138,$B$9:$B138,$B138)&gt;1,"Duplicate event ID",IF(AND($E138&lt;&gt;IFERROR(LOOKUP(2,1/($B$9:$B$137=$B138),$E$9:$E137),0),IFERROR(LOOKUP(2,1/($B$9:$B$137=$B138),$E$9:$E137),0)&gt;$E138),"Date out of order",IF(AND(OR($F138="buy_to_close",$F138="expire",$F138="roll",$F138="assignment",$F138="called_away"),$AF138=0),"Unknown lot",IF(OR(AND($F138="assignment",$AF138&gt;0,IF($AF138&gt;0,INDEX($AG$9:$AG$137,$AF138),"")&lt;&gt;"put"),AND($F138="called_away",$AF138&gt;0,IF($AF138&gt;0,INDEX($AG$9:$AG$137,$AF138),"")&lt;&gt;"call")),"Wrong option leg",IF(OR(AND(OR($F138="sell_put",$F138="sell_call"),OR($H138&lt;=0,$I138&lt;=0,$J138&lt;0)),AND(OR($F138="buy_to_close",$F138="expire",$F138="assignment",$F138="called_away"),OR($H138&lt;=0,$J138&lt;0)),AND($F138="roll",OR($H138&lt;=0,$I138&lt;=0,$J138&lt;0,$K138&lt;0)),AND(OR($F138="buy_shares",$F138="sell_shares"),OR($L138&lt;=0,$M138&lt;0)),AND(OR($F138="dividend",$F138="fee"),$N138&lt;0)),"Invalid value",IF(AND(OR($F138="sell_shares",$F138="called_away"),$AL138&lt;IF($F138="called_away",$AE138*$D138,$L138)),"Insufficient shares (capped)",IF(AND(OR($F138="buy_to_close",$F138="expire",$F138="roll",$F138="assignment",$F138="called_away"),$AF138&gt;0,$H138&gt;IF($AF138&gt;0,MAX(0,INDEX($AI$9:$AI$137,$AF138)-SUMIFS($AE$9:$AE$137,$G$9:$G$137,$G138,$B$9:$B$137,$B138)),0)),"Close quantity capped","OK")))))))))</f>
        <v/>
      </c>
      <c r="W138" s="59" t="str">
        <f t="shared" si="37"/>
        <v/>
      </c>
      <c r="X138" s="60" t="str">
        <f t="shared" si="38"/>
        <v/>
      </c>
      <c r="Y138" s="50" t="str">
        <f t="shared" si="39"/>
        <v/>
      </c>
      <c r="Z138" s="50" t="str">
        <f t="shared" si="40"/>
        <v/>
      </c>
      <c r="AA138" s="50" t="str">
        <f t="shared" si="41"/>
        <v/>
      </c>
      <c r="AB138" s="50" t="str">
        <f t="shared" si="42"/>
        <v/>
      </c>
      <c r="AC138" s="50" t="str">
        <f>IF($A138="","",IF($F138="assignment",IF($AF138&gt;0,INDEX($AH$9:$AH$137,$AF138),0)*$AE138*$D138,IF($F138="buy_shares",$M138*$AL138,0)))</f>
        <v/>
      </c>
      <c r="AD138" s="50" t="str">
        <f>IF($A138="","",IF($F138="called_away",IF($AF138&gt;0,INDEX($AH$9:$AH$137,$AF138),0)*$AL138,IF($F138="sell_shares",$M138*$AL138,0)))</f>
        <v/>
      </c>
      <c r="AE138" s="51" t="str">
        <f>IF($A138="","",IF(OR($F138="sell_put",$F138="sell_call"),IF(AND($H138&gt;0,$I138&gt;0,$J138&gt;=0),$H138,0),IF(OR($F138="buy_to_close",$F138="expire",$F138="roll",$F138="assignment",$F138="called_away"),IF(AND($AF138&gt;0,$H138&gt;0,IF($F138="assignment",IF($AF138&gt;0,INDEX($AG$9:$AG$137,$AF138),"")="put",TRUE),IF($F138="called_away",IF($AF138&gt;0,INDEX($AG$9:$AG$137,$AF138),"")="call",TRUE)),MIN($H138,IF($AF138&gt;0,MAX(0,INDEX($AI$9:$AI$137,$AF138)-SUMIFS($AE$9:$AE$137,$G$9:$G$137,$G138,$B$9:$B$137,$B138)),0)),0),0)))</f>
        <v/>
      </c>
      <c r="AF138" t="str">
        <f>IF($A138="","",IFERROR(MATCH(LEN($B138)&amp;":"&amp;$B138&amp;$G138,$AY$9:$AY$137,0),0))</f>
        <v/>
      </c>
      <c r="AG138" t="str">
        <f>IF($A138="","",IF($F138="sell_put","put",IF($F138="sell_call","call",IF($F138="roll",IF($AF138&gt;0,IF($AF138&gt;0,INDEX($AG$9:$AG$137,$AF138),""),""),IF($AF138&gt;0,IF($AF138&gt;0,INDEX($AG$9:$AG$137,$AF138),""),"")))))</f>
        <v/>
      </c>
      <c r="AH138" t="str">
        <f>IF($A138="","",IF(OR($F138="sell_put",$F138="sell_call",$F138="roll"),$I138,IF($AF138&gt;0,IF($AF138&gt;0,INDEX($AH$9:$AH$137,$AF138),0),0)))</f>
        <v/>
      </c>
      <c r="AI138" s="51" t="str">
        <f t="shared" si="43"/>
        <v/>
      </c>
      <c r="AJ138" s="51" t="str">
        <f>IF($A138="","",IFERROR(LOOKUP(2,1/($B$9:$B$137=$B138),$AM$9:$AM137),0))</f>
        <v/>
      </c>
      <c r="AK138" t="str">
        <f>IF($A138="","",IFERROR(LOOKUP(2,1/($B$9:$B$137=$B138),$AN$9:$AN137),0))</f>
        <v/>
      </c>
      <c r="AL138" s="51" t="str">
        <f t="shared" si="44"/>
        <v/>
      </c>
      <c r="AM138" s="51" t="str">
        <f t="shared" si="45"/>
        <v/>
      </c>
      <c r="AN138" t="str">
        <f t="shared" si="46"/>
        <v/>
      </c>
      <c r="AO138" s="50" t="str">
        <f>IF($A138="","",IFERROR(LOOKUP(2,1/($B$9:$B$137=$B138),$AO$9:$AO137),0)+IF($F138="sell_put",$I138*$AE138*$D138,IF($F138="roll",IF($AG138="put",($I138-IF($AF138&gt;0,INDEX($AH$9:$AH$137,$AF138),0))*$AE138*$D138,0),IF(AND(OR($F138="buy_to_close",$F138="expire",$F138="roll",$F138="assignment",$F138="called_away"),$F138&lt;&gt;"roll",$AG138="put"),-IF($AF138&gt;0,INDEX($AH$9:$AH$137,$AF138),0)*$AE138*$D138,0))))</f>
        <v/>
      </c>
      <c r="AP138" s="51" t="str">
        <f>IF($A138="","",IFERROR(LOOKUP(2,1/($B$9:$B$137=$B138),$AP$9:$AP137),0)+IF($F138="sell_put",$AE138*$D138,IF(AND(OR($F138="buy_to_close",$F138="expire",$F138="roll",$F138="assignment",$F138="called_away"),$F138&lt;&gt;"roll",$AG138="put"),-$AE138*$D138,0)))</f>
        <v/>
      </c>
      <c r="AQ138" s="51" t="str">
        <f>IF($A138="","",IFERROR(LOOKUP(2,1/($B$9:$B$137=$B138),$AQ$9:$AQ137),0)+IF(OR($F138="sell_put",$F138="sell_call"),$AE138,0)-IF(AND(OR($F138="buy_to_close",$F138="expire",$F138="roll",$F138="assignment",$F138="called_away"),$F138&lt;&gt;"roll"),$AE138,0))</f>
        <v/>
      </c>
      <c r="AR138" t="str">
        <f t="shared" si="47"/>
        <v/>
      </c>
      <c r="AS138" s="50" t="str">
        <f t="shared" si="48"/>
        <v/>
      </c>
      <c r="AT138" s="50" t="str">
        <f>IF($A138="","",MAX(IF($T138=IFERROR(LOOKUP(2,1/($B$9:$B$137=$B138),$T$9:$T137),0),IFERROR(LOOKUP(2,1/($B$9:$B$137=$B138),$AT$9:$AT137),0),0),$AS138))</f>
        <v/>
      </c>
      <c r="AU138" t="str">
        <f t="shared" si="49"/>
        <v/>
      </c>
      <c r="AV138" s="51">
        <f>IF($AU138="",0,IF(AND(IFERROR(LOOKUP(2,1/($B$9:$B$137=$B138),$AR$9:$AR137),1),NOT(AND(OR($F138="dividend",$F138="fee"),IFERROR(LOOKUP(2,1/($B$9:$B$137=$B138),$T$9:$T137),0)&gt;0))),ROW(),0))</f>
        <v>0</v>
      </c>
      <c r="AW138">
        <f>IF($A138="",0,IF($AV138&gt;0,MAX($AW$9:$AW$137)+1,MAX($AW$9:$AW$137)))</f>
        <v>0</v>
      </c>
      <c r="AX138">
        <f>IF($AU138="",0,IF(AND($AR138,OR(NOT(IFERROR(LOOKUP(2,1/($B$9:$B$137=$B138),$AR$9:$AR137),1)),IFERROR(LOOKUP(2,1/($B$9:$B$137=$B138),$T$9:$T137),0)=0)),ROW(),0))</f>
        <v>0</v>
      </c>
      <c r="AY138" t="str">
        <f t="shared" si="50"/>
        <v/>
      </c>
    </row>
    <row r="139" spans="1:51" ht="15" x14ac:dyDescent="0.25">
      <c r="A139" s="41" t="str">
        <f>IF(Trades!$A139="","",Trades!O139)</f>
        <v/>
      </c>
      <c r="B139" s="41" t="str">
        <f>IF(Trades!$A139="","",Trades!B139)</f>
        <v/>
      </c>
      <c r="C139" s="41" t="str">
        <f>IF(Trades!$A139="","",Trades!C139)</f>
        <v/>
      </c>
      <c r="D139" s="42" t="str">
        <f>IF(Trades!$A139="","",IF(Trades!$L139&gt;0,Trades!$L139,Trades!$C$6))</f>
        <v/>
      </c>
      <c r="E139" s="43" t="str">
        <f>IF(Trades!$A139="","",Trades!A139)</f>
        <v/>
      </c>
      <c r="F139" s="41" t="str">
        <f>IF(Trades!$A139="","",IFERROR(INDEX(Trades!$V$2:$V$14,MATCH(Trades!$E139,Trades!$U$2:$U$14,0)),""))</f>
        <v/>
      </c>
      <c r="G139" s="41" t="str">
        <f>IF(Trades!$A139="","",Trades!N139)</f>
        <v/>
      </c>
      <c r="H139" s="42" t="str">
        <f>IF(Trades!$A139="","",Trades!F139)</f>
        <v/>
      </c>
      <c r="I139" s="44" t="str">
        <f>IF(Trades!$A139="","",Trades!G139)</f>
        <v/>
      </c>
      <c r="J139" s="44" t="str">
        <f>IF(Trades!$A139="","",Trades!I139)</f>
        <v/>
      </c>
      <c r="K139" s="44" t="str">
        <f>IF(Trades!$A139="","",Trades!Q139)</f>
        <v/>
      </c>
      <c r="L139" s="42" t="str">
        <f>IF(Trades!$A139="","",Trades!F139)</f>
        <v/>
      </c>
      <c r="M139" s="44" t="str">
        <f>IF(Trades!$A139="","",Trades!M139)</f>
        <v/>
      </c>
      <c r="N139" s="44" t="str">
        <f>IF(Trades!$A139="","",Trades!R139)</f>
        <v/>
      </c>
      <c r="O139" s="44" t="str">
        <f>IF(Trades!$A139="","",Trades!J139)</f>
        <v/>
      </c>
      <c r="P139" s="43" t="str">
        <f>IF(Trades!$A139="","",Trades!H139)</f>
        <v/>
      </c>
      <c r="Q139" s="41" t="str">
        <f>IF(Trades!$A139="","",Trades!P139)</f>
        <v/>
      </c>
      <c r="R139" s="45" t="str">
        <f t="shared" si="34"/>
        <v/>
      </c>
      <c r="S139" s="45" t="str">
        <f t="shared" si="35"/>
        <v/>
      </c>
      <c r="T139" s="46" t="str">
        <f>IF(OR($A139="",$B139=""),"",IF(AND(IFERROR(LOOKUP(2,1/($B$9:$B$138=$B139),$AR$9:$AR138),1),NOT(AND(OR($F139="dividend",$F139="fee"),IFERROR(LOOKUP(2,1/($B$9:$B$138=$B139),$T$9:$T138),0)&gt;0))),IFERROR(LOOKUP(2,1/($B$9:$B$138=$B139),$T$9:$T138),0)+1,IFERROR(LOOKUP(2,1/($B$9:$B$138=$B139),$T$9:$T138),0)))</f>
        <v/>
      </c>
      <c r="U139" s="47" t="str">
        <f t="shared" si="36"/>
        <v/>
      </c>
      <c r="V139" s="47" t="str">
        <f>IF($A139="","",IF(OR($B139="",$C139="",$D139="",$E139="",$F139=""),"Missing required field",IF(COUNTIFS($A$9:$A139,$A139,$B$9:$B139,$B139)&gt;1,"Duplicate event ID",IF(AND($E139&lt;&gt;IFERROR(LOOKUP(2,1/($B$9:$B$138=$B139),$E$9:$E138),0),IFERROR(LOOKUP(2,1/($B$9:$B$138=$B139),$E$9:$E138),0)&gt;$E139),"Date out of order",IF(AND(OR($F139="buy_to_close",$F139="expire",$F139="roll",$F139="assignment",$F139="called_away"),$AF139=0),"Unknown lot",IF(OR(AND($F139="assignment",$AF139&gt;0,IF($AF139&gt;0,INDEX($AG$9:$AG$138,$AF139),"")&lt;&gt;"put"),AND($F139="called_away",$AF139&gt;0,IF($AF139&gt;0,INDEX($AG$9:$AG$138,$AF139),"")&lt;&gt;"call")),"Wrong option leg",IF(OR(AND(OR($F139="sell_put",$F139="sell_call"),OR($H139&lt;=0,$I139&lt;=0,$J139&lt;0)),AND(OR($F139="buy_to_close",$F139="expire",$F139="assignment",$F139="called_away"),OR($H139&lt;=0,$J139&lt;0)),AND($F139="roll",OR($H139&lt;=0,$I139&lt;=0,$J139&lt;0,$K139&lt;0)),AND(OR($F139="buy_shares",$F139="sell_shares"),OR($L139&lt;=0,$M139&lt;0)),AND(OR($F139="dividend",$F139="fee"),$N139&lt;0)),"Invalid value",IF(AND(OR($F139="sell_shares",$F139="called_away"),$AL139&lt;IF($F139="called_away",$AE139*$D139,$L139)),"Insufficient shares (capped)",IF(AND(OR($F139="buy_to_close",$F139="expire",$F139="roll",$F139="assignment",$F139="called_away"),$AF139&gt;0,$H139&gt;IF($AF139&gt;0,MAX(0,INDEX($AI$9:$AI$138,$AF139)-SUMIFS($AE$9:$AE$138,$G$9:$G$138,$G139,$B$9:$B$138,$B139)),0)),"Close quantity capped","OK")))))))))</f>
        <v/>
      </c>
      <c r="W139" s="48" t="str">
        <f t="shared" si="37"/>
        <v/>
      </c>
      <c r="X139" s="49" t="str">
        <f t="shared" si="38"/>
        <v/>
      </c>
      <c r="Y139" s="50" t="str">
        <f t="shared" si="39"/>
        <v/>
      </c>
      <c r="Z139" s="50" t="str">
        <f t="shared" si="40"/>
        <v/>
      </c>
      <c r="AA139" s="50" t="str">
        <f t="shared" si="41"/>
        <v/>
      </c>
      <c r="AB139" s="50" t="str">
        <f t="shared" si="42"/>
        <v/>
      </c>
      <c r="AC139" s="50" t="str">
        <f>IF($A139="","",IF($F139="assignment",IF($AF139&gt;0,INDEX($AH$9:$AH$138,$AF139),0)*$AE139*$D139,IF($F139="buy_shares",$M139*$AL139,0)))</f>
        <v/>
      </c>
      <c r="AD139" s="50" t="str">
        <f>IF($A139="","",IF($F139="called_away",IF($AF139&gt;0,INDEX($AH$9:$AH$138,$AF139),0)*$AL139,IF($F139="sell_shares",$M139*$AL139,0)))</f>
        <v/>
      </c>
      <c r="AE139" s="51" t="str">
        <f>IF($A139="","",IF(OR($F139="sell_put",$F139="sell_call"),IF(AND($H139&gt;0,$I139&gt;0,$J139&gt;=0),$H139,0),IF(OR($F139="buy_to_close",$F139="expire",$F139="roll",$F139="assignment",$F139="called_away"),IF(AND($AF139&gt;0,$H139&gt;0,IF($F139="assignment",IF($AF139&gt;0,INDEX($AG$9:$AG$138,$AF139),"")="put",TRUE),IF($F139="called_away",IF($AF139&gt;0,INDEX($AG$9:$AG$138,$AF139),"")="call",TRUE)),MIN($H139,IF($AF139&gt;0,MAX(0,INDEX($AI$9:$AI$138,$AF139)-SUMIFS($AE$9:$AE$138,$G$9:$G$138,$G139,$B$9:$B$138,$B139)),0)),0),0)))</f>
        <v/>
      </c>
      <c r="AF139" t="str">
        <f>IF($A139="","",IFERROR(MATCH(LEN($B139)&amp;":"&amp;$B139&amp;$G139,$AY$9:$AY$138,0),0))</f>
        <v/>
      </c>
      <c r="AG139" t="str">
        <f>IF($A139="","",IF($F139="sell_put","put",IF($F139="sell_call","call",IF($F139="roll",IF($AF139&gt;0,IF($AF139&gt;0,INDEX($AG$9:$AG$138,$AF139),""),""),IF($AF139&gt;0,IF($AF139&gt;0,INDEX($AG$9:$AG$138,$AF139),""),"")))))</f>
        <v/>
      </c>
      <c r="AH139" t="str">
        <f>IF($A139="","",IF(OR($F139="sell_put",$F139="sell_call",$F139="roll"),$I139,IF($AF139&gt;0,IF($AF139&gt;0,INDEX($AH$9:$AH$138,$AF139),0),0)))</f>
        <v/>
      </c>
      <c r="AI139" s="51" t="str">
        <f t="shared" si="43"/>
        <v/>
      </c>
      <c r="AJ139" s="51" t="str">
        <f>IF($A139="","",IFERROR(LOOKUP(2,1/($B$9:$B$138=$B139),$AM$9:$AM138),0))</f>
        <v/>
      </c>
      <c r="AK139" t="str">
        <f>IF($A139="","",IFERROR(LOOKUP(2,1/($B$9:$B$138=$B139),$AN$9:$AN138),0))</f>
        <v/>
      </c>
      <c r="AL139" s="51" t="str">
        <f t="shared" si="44"/>
        <v/>
      </c>
      <c r="AM139" s="51" t="str">
        <f t="shared" si="45"/>
        <v/>
      </c>
      <c r="AN139" t="str">
        <f t="shared" si="46"/>
        <v/>
      </c>
      <c r="AO139" s="50" t="str">
        <f>IF($A139="","",IFERROR(LOOKUP(2,1/($B$9:$B$138=$B139),$AO$9:$AO138),0)+IF($F139="sell_put",$I139*$AE139*$D139,IF($F139="roll",IF($AG139="put",($I139-IF($AF139&gt;0,INDEX($AH$9:$AH$138,$AF139),0))*$AE139*$D139,0),IF(AND(OR($F139="buy_to_close",$F139="expire",$F139="roll",$F139="assignment",$F139="called_away"),$F139&lt;&gt;"roll",$AG139="put"),-IF($AF139&gt;0,INDEX($AH$9:$AH$138,$AF139),0)*$AE139*$D139,0))))</f>
        <v/>
      </c>
      <c r="AP139" s="51" t="str">
        <f>IF($A139="","",IFERROR(LOOKUP(2,1/($B$9:$B$138=$B139),$AP$9:$AP138),0)+IF($F139="sell_put",$AE139*$D139,IF(AND(OR($F139="buy_to_close",$F139="expire",$F139="roll",$F139="assignment",$F139="called_away"),$F139&lt;&gt;"roll",$AG139="put"),-$AE139*$D139,0)))</f>
        <v/>
      </c>
      <c r="AQ139" s="51" t="str">
        <f>IF($A139="","",IFERROR(LOOKUP(2,1/($B$9:$B$138=$B139),$AQ$9:$AQ138),0)+IF(OR($F139="sell_put",$F139="sell_call"),$AE139,0)-IF(AND(OR($F139="buy_to_close",$F139="expire",$F139="roll",$F139="assignment",$F139="called_away"),$F139&lt;&gt;"roll"),$AE139,0))</f>
        <v/>
      </c>
      <c r="AR139" t="str">
        <f t="shared" si="47"/>
        <v/>
      </c>
      <c r="AS139" s="50" t="str">
        <f t="shared" si="48"/>
        <v/>
      </c>
      <c r="AT139" s="50" t="str">
        <f>IF($A139="","",MAX(IF($T139=IFERROR(LOOKUP(2,1/($B$9:$B$138=$B139),$T$9:$T138),0),IFERROR(LOOKUP(2,1/($B$9:$B$138=$B139),$AT$9:$AT138),0),0),$AS139))</f>
        <v/>
      </c>
      <c r="AU139" t="str">
        <f t="shared" si="49"/>
        <v/>
      </c>
      <c r="AV139" s="51">
        <f>IF($AU139="",0,IF(AND(IFERROR(LOOKUP(2,1/($B$9:$B$138=$B139),$AR$9:$AR138),1),NOT(AND(OR($F139="dividend",$F139="fee"),IFERROR(LOOKUP(2,1/($B$9:$B$138=$B139),$T$9:$T138),0)&gt;0))),ROW(),0))</f>
        <v>0</v>
      </c>
      <c r="AW139">
        <f>IF($A139="",0,IF($AV139&gt;0,MAX($AW$9:$AW$138)+1,MAX($AW$9:$AW$138)))</f>
        <v>0</v>
      </c>
      <c r="AX139">
        <f>IF($AU139="",0,IF(AND($AR139,OR(NOT(IFERROR(LOOKUP(2,1/($B$9:$B$138=$B139),$AR$9:$AR138),1)),IFERROR(LOOKUP(2,1/($B$9:$B$138=$B139),$T$9:$T138),0)=0)),ROW(),0))</f>
        <v>0</v>
      </c>
      <c r="AY139" t="str">
        <f t="shared" si="50"/>
        <v/>
      </c>
    </row>
    <row r="140" spans="1:51" ht="15" x14ac:dyDescent="0.25">
      <c r="A140" s="52" t="str">
        <f>IF(Trades!$A140="","",Trades!O140)</f>
        <v/>
      </c>
      <c r="B140" s="52" t="str">
        <f>IF(Trades!$A140="","",Trades!B140)</f>
        <v/>
      </c>
      <c r="C140" s="52" t="str">
        <f>IF(Trades!$A140="","",Trades!C140)</f>
        <v/>
      </c>
      <c r="D140" s="53" t="str">
        <f>IF(Trades!$A140="","",IF(Trades!$L140&gt;0,Trades!$L140,Trades!$C$6))</f>
        <v/>
      </c>
      <c r="E140" s="54" t="str">
        <f>IF(Trades!$A140="","",Trades!A140)</f>
        <v/>
      </c>
      <c r="F140" s="52" t="str">
        <f>IF(Trades!$A140="","",IFERROR(INDEX(Trades!$V$2:$V$14,MATCH(Trades!$E140,Trades!$U$2:$U$14,0)),""))</f>
        <v/>
      </c>
      <c r="G140" s="52" t="str">
        <f>IF(Trades!$A140="","",Trades!N140)</f>
        <v/>
      </c>
      <c r="H140" s="53" t="str">
        <f>IF(Trades!$A140="","",Trades!F140)</f>
        <v/>
      </c>
      <c r="I140" s="55" t="str">
        <f>IF(Trades!$A140="","",Trades!G140)</f>
        <v/>
      </c>
      <c r="J140" s="55" t="str">
        <f>IF(Trades!$A140="","",Trades!I140)</f>
        <v/>
      </c>
      <c r="K140" s="55" t="str">
        <f>IF(Trades!$A140="","",Trades!Q140)</f>
        <v/>
      </c>
      <c r="L140" s="53" t="str">
        <f>IF(Trades!$A140="","",Trades!F140)</f>
        <v/>
      </c>
      <c r="M140" s="55" t="str">
        <f>IF(Trades!$A140="","",Trades!M140)</f>
        <v/>
      </c>
      <c r="N140" s="55" t="str">
        <f>IF(Trades!$A140="","",Trades!R140)</f>
        <v/>
      </c>
      <c r="O140" s="55" t="str">
        <f>IF(Trades!$A140="","",Trades!J140)</f>
        <v/>
      </c>
      <c r="P140" s="54" t="str">
        <f>IF(Trades!$A140="","",Trades!H140)</f>
        <v/>
      </c>
      <c r="Q140" s="52" t="str">
        <f>IF(Trades!$A140="","",Trades!P140)</f>
        <v/>
      </c>
      <c r="R140" s="56" t="str">
        <f t="shared" si="34"/>
        <v/>
      </c>
      <c r="S140" s="56" t="str">
        <f t="shared" si="35"/>
        <v/>
      </c>
      <c r="T140" s="57" t="str">
        <f>IF(OR($A140="",$B140=""),"",IF(AND(IFERROR(LOOKUP(2,1/($B$9:$B$139=$B140),$AR$9:$AR139),1),NOT(AND(OR($F140="dividend",$F140="fee"),IFERROR(LOOKUP(2,1/($B$9:$B$139=$B140),$T$9:$T139),0)&gt;0))),IFERROR(LOOKUP(2,1/($B$9:$B$139=$B140),$T$9:$T139),0)+1,IFERROR(LOOKUP(2,1/($B$9:$B$139=$B140),$T$9:$T139),0)))</f>
        <v/>
      </c>
      <c r="U140" s="58" t="str">
        <f t="shared" si="36"/>
        <v/>
      </c>
      <c r="V140" s="58" t="str">
        <f>IF($A140="","",IF(OR($B140="",$C140="",$D140="",$E140="",$F140=""),"Missing required field",IF(COUNTIFS($A$9:$A140,$A140,$B$9:$B140,$B140)&gt;1,"Duplicate event ID",IF(AND($E140&lt;&gt;IFERROR(LOOKUP(2,1/($B$9:$B$139=$B140),$E$9:$E139),0),IFERROR(LOOKUP(2,1/($B$9:$B$139=$B140),$E$9:$E139),0)&gt;$E140),"Date out of order",IF(AND(OR($F140="buy_to_close",$F140="expire",$F140="roll",$F140="assignment",$F140="called_away"),$AF140=0),"Unknown lot",IF(OR(AND($F140="assignment",$AF140&gt;0,IF($AF140&gt;0,INDEX($AG$9:$AG$139,$AF140),"")&lt;&gt;"put"),AND($F140="called_away",$AF140&gt;0,IF($AF140&gt;0,INDEX($AG$9:$AG$139,$AF140),"")&lt;&gt;"call")),"Wrong option leg",IF(OR(AND(OR($F140="sell_put",$F140="sell_call"),OR($H140&lt;=0,$I140&lt;=0,$J140&lt;0)),AND(OR($F140="buy_to_close",$F140="expire",$F140="assignment",$F140="called_away"),OR($H140&lt;=0,$J140&lt;0)),AND($F140="roll",OR($H140&lt;=0,$I140&lt;=0,$J140&lt;0,$K140&lt;0)),AND(OR($F140="buy_shares",$F140="sell_shares"),OR($L140&lt;=0,$M140&lt;0)),AND(OR($F140="dividend",$F140="fee"),$N140&lt;0)),"Invalid value",IF(AND(OR($F140="sell_shares",$F140="called_away"),$AL140&lt;IF($F140="called_away",$AE140*$D140,$L140)),"Insufficient shares (capped)",IF(AND(OR($F140="buy_to_close",$F140="expire",$F140="roll",$F140="assignment",$F140="called_away"),$AF140&gt;0,$H140&gt;IF($AF140&gt;0,MAX(0,INDEX($AI$9:$AI$139,$AF140)-SUMIFS($AE$9:$AE$139,$G$9:$G$139,$G140,$B$9:$B$139,$B140)),0)),"Close quantity capped","OK")))))))))</f>
        <v/>
      </c>
      <c r="W140" s="59" t="str">
        <f t="shared" si="37"/>
        <v/>
      </c>
      <c r="X140" s="60" t="str">
        <f t="shared" si="38"/>
        <v/>
      </c>
      <c r="Y140" s="50" t="str">
        <f t="shared" si="39"/>
        <v/>
      </c>
      <c r="Z140" s="50" t="str">
        <f t="shared" si="40"/>
        <v/>
      </c>
      <c r="AA140" s="50" t="str">
        <f t="shared" si="41"/>
        <v/>
      </c>
      <c r="AB140" s="50" t="str">
        <f t="shared" si="42"/>
        <v/>
      </c>
      <c r="AC140" s="50" t="str">
        <f>IF($A140="","",IF($F140="assignment",IF($AF140&gt;0,INDEX($AH$9:$AH$139,$AF140),0)*$AE140*$D140,IF($F140="buy_shares",$M140*$AL140,0)))</f>
        <v/>
      </c>
      <c r="AD140" s="50" t="str">
        <f>IF($A140="","",IF($F140="called_away",IF($AF140&gt;0,INDEX($AH$9:$AH$139,$AF140),0)*$AL140,IF($F140="sell_shares",$M140*$AL140,0)))</f>
        <v/>
      </c>
      <c r="AE140" s="51" t="str">
        <f>IF($A140="","",IF(OR($F140="sell_put",$F140="sell_call"),IF(AND($H140&gt;0,$I140&gt;0,$J140&gt;=0),$H140,0),IF(OR($F140="buy_to_close",$F140="expire",$F140="roll",$F140="assignment",$F140="called_away"),IF(AND($AF140&gt;0,$H140&gt;0,IF($F140="assignment",IF($AF140&gt;0,INDEX($AG$9:$AG$139,$AF140),"")="put",TRUE),IF($F140="called_away",IF($AF140&gt;0,INDEX($AG$9:$AG$139,$AF140),"")="call",TRUE)),MIN($H140,IF($AF140&gt;0,MAX(0,INDEX($AI$9:$AI$139,$AF140)-SUMIFS($AE$9:$AE$139,$G$9:$G$139,$G140,$B$9:$B$139,$B140)),0)),0),0)))</f>
        <v/>
      </c>
      <c r="AF140" t="str">
        <f>IF($A140="","",IFERROR(MATCH(LEN($B140)&amp;":"&amp;$B140&amp;$G140,$AY$9:$AY$139,0),0))</f>
        <v/>
      </c>
      <c r="AG140" t="str">
        <f>IF($A140="","",IF($F140="sell_put","put",IF($F140="sell_call","call",IF($F140="roll",IF($AF140&gt;0,IF($AF140&gt;0,INDEX($AG$9:$AG$139,$AF140),""),""),IF($AF140&gt;0,IF($AF140&gt;0,INDEX($AG$9:$AG$139,$AF140),""),"")))))</f>
        <v/>
      </c>
      <c r="AH140" t="str">
        <f>IF($A140="","",IF(OR($F140="sell_put",$F140="sell_call",$F140="roll"),$I140,IF($AF140&gt;0,IF($AF140&gt;0,INDEX($AH$9:$AH$139,$AF140),0),0)))</f>
        <v/>
      </c>
      <c r="AI140" s="51" t="str">
        <f t="shared" si="43"/>
        <v/>
      </c>
      <c r="AJ140" s="51" t="str">
        <f>IF($A140="","",IFERROR(LOOKUP(2,1/($B$9:$B$139=$B140),$AM$9:$AM139),0))</f>
        <v/>
      </c>
      <c r="AK140" t="str">
        <f>IF($A140="","",IFERROR(LOOKUP(2,1/($B$9:$B$139=$B140),$AN$9:$AN139),0))</f>
        <v/>
      </c>
      <c r="AL140" s="51" t="str">
        <f t="shared" si="44"/>
        <v/>
      </c>
      <c r="AM140" s="51" t="str">
        <f t="shared" si="45"/>
        <v/>
      </c>
      <c r="AN140" t="str">
        <f t="shared" si="46"/>
        <v/>
      </c>
      <c r="AO140" s="50" t="str">
        <f>IF($A140="","",IFERROR(LOOKUP(2,1/($B$9:$B$139=$B140),$AO$9:$AO139),0)+IF($F140="sell_put",$I140*$AE140*$D140,IF($F140="roll",IF($AG140="put",($I140-IF($AF140&gt;0,INDEX($AH$9:$AH$139,$AF140),0))*$AE140*$D140,0),IF(AND(OR($F140="buy_to_close",$F140="expire",$F140="roll",$F140="assignment",$F140="called_away"),$F140&lt;&gt;"roll",$AG140="put"),-IF($AF140&gt;0,INDEX($AH$9:$AH$139,$AF140),0)*$AE140*$D140,0))))</f>
        <v/>
      </c>
      <c r="AP140" s="51" t="str">
        <f>IF($A140="","",IFERROR(LOOKUP(2,1/($B$9:$B$139=$B140),$AP$9:$AP139),0)+IF($F140="sell_put",$AE140*$D140,IF(AND(OR($F140="buy_to_close",$F140="expire",$F140="roll",$F140="assignment",$F140="called_away"),$F140&lt;&gt;"roll",$AG140="put"),-$AE140*$D140,0)))</f>
        <v/>
      </c>
      <c r="AQ140" s="51" t="str">
        <f>IF($A140="","",IFERROR(LOOKUP(2,1/($B$9:$B$139=$B140),$AQ$9:$AQ139),0)+IF(OR($F140="sell_put",$F140="sell_call"),$AE140,0)-IF(AND(OR($F140="buy_to_close",$F140="expire",$F140="roll",$F140="assignment",$F140="called_away"),$F140&lt;&gt;"roll"),$AE140,0))</f>
        <v/>
      </c>
      <c r="AR140" t="str">
        <f t="shared" si="47"/>
        <v/>
      </c>
      <c r="AS140" s="50" t="str">
        <f t="shared" si="48"/>
        <v/>
      </c>
      <c r="AT140" s="50" t="str">
        <f>IF($A140="","",MAX(IF($T140=IFERROR(LOOKUP(2,1/($B$9:$B$139=$B140),$T$9:$T139),0),IFERROR(LOOKUP(2,1/($B$9:$B$139=$B140),$AT$9:$AT139),0),0),$AS140))</f>
        <v/>
      </c>
      <c r="AU140" t="str">
        <f t="shared" si="49"/>
        <v/>
      </c>
      <c r="AV140" s="51">
        <f>IF($AU140="",0,IF(AND(IFERROR(LOOKUP(2,1/($B$9:$B$139=$B140),$AR$9:$AR139),1),NOT(AND(OR($F140="dividend",$F140="fee"),IFERROR(LOOKUP(2,1/($B$9:$B$139=$B140),$T$9:$T139),0)&gt;0))),ROW(),0))</f>
        <v>0</v>
      </c>
      <c r="AW140">
        <f>IF($A140="",0,IF($AV140&gt;0,MAX($AW$9:$AW$139)+1,MAX($AW$9:$AW$139)))</f>
        <v>0</v>
      </c>
      <c r="AX140">
        <f>IF($AU140="",0,IF(AND($AR140,OR(NOT(IFERROR(LOOKUP(2,1/($B$9:$B$139=$B140),$AR$9:$AR139),1)),IFERROR(LOOKUP(2,1/($B$9:$B$139=$B140),$T$9:$T139),0)=0)),ROW(),0))</f>
        <v>0</v>
      </c>
      <c r="AY140" t="str">
        <f t="shared" si="50"/>
        <v/>
      </c>
    </row>
    <row r="141" spans="1:51" ht="15" x14ac:dyDescent="0.25">
      <c r="A141" s="41" t="str">
        <f>IF(Trades!$A141="","",Trades!O141)</f>
        <v/>
      </c>
      <c r="B141" s="41" t="str">
        <f>IF(Trades!$A141="","",Trades!B141)</f>
        <v/>
      </c>
      <c r="C141" s="41" t="str">
        <f>IF(Trades!$A141="","",Trades!C141)</f>
        <v/>
      </c>
      <c r="D141" s="42" t="str">
        <f>IF(Trades!$A141="","",IF(Trades!$L141&gt;0,Trades!$L141,Trades!$C$6))</f>
        <v/>
      </c>
      <c r="E141" s="43" t="str">
        <f>IF(Trades!$A141="","",Trades!A141)</f>
        <v/>
      </c>
      <c r="F141" s="41" t="str">
        <f>IF(Trades!$A141="","",IFERROR(INDEX(Trades!$V$2:$V$14,MATCH(Trades!$E141,Trades!$U$2:$U$14,0)),""))</f>
        <v/>
      </c>
      <c r="G141" s="41" t="str">
        <f>IF(Trades!$A141="","",Trades!N141)</f>
        <v/>
      </c>
      <c r="H141" s="42" t="str">
        <f>IF(Trades!$A141="","",Trades!F141)</f>
        <v/>
      </c>
      <c r="I141" s="44" t="str">
        <f>IF(Trades!$A141="","",Trades!G141)</f>
        <v/>
      </c>
      <c r="J141" s="44" t="str">
        <f>IF(Trades!$A141="","",Trades!I141)</f>
        <v/>
      </c>
      <c r="K141" s="44" t="str">
        <f>IF(Trades!$A141="","",Trades!Q141)</f>
        <v/>
      </c>
      <c r="L141" s="42" t="str">
        <f>IF(Trades!$A141="","",Trades!F141)</f>
        <v/>
      </c>
      <c r="M141" s="44" t="str">
        <f>IF(Trades!$A141="","",Trades!M141)</f>
        <v/>
      </c>
      <c r="N141" s="44" t="str">
        <f>IF(Trades!$A141="","",Trades!R141)</f>
        <v/>
      </c>
      <c r="O141" s="44" t="str">
        <f>IF(Trades!$A141="","",Trades!J141)</f>
        <v/>
      </c>
      <c r="P141" s="43" t="str">
        <f>IF(Trades!$A141="","",Trades!H141)</f>
        <v/>
      </c>
      <c r="Q141" s="41" t="str">
        <f>IF(Trades!$A141="","",Trades!P141)</f>
        <v/>
      </c>
      <c r="R141" s="45" t="str">
        <f t="shared" si="34"/>
        <v/>
      </c>
      <c r="S141" s="45" t="str">
        <f t="shared" si="35"/>
        <v/>
      </c>
      <c r="T141" s="46" t="str">
        <f>IF(OR($A141="",$B141=""),"",IF(AND(IFERROR(LOOKUP(2,1/($B$9:$B$140=$B141),$AR$9:$AR140),1),NOT(AND(OR($F141="dividend",$F141="fee"),IFERROR(LOOKUP(2,1/($B$9:$B$140=$B141),$T$9:$T140),0)&gt;0))),IFERROR(LOOKUP(2,1/($B$9:$B$140=$B141),$T$9:$T140),0)+1,IFERROR(LOOKUP(2,1/($B$9:$B$140=$B141),$T$9:$T140),0)))</f>
        <v/>
      </c>
      <c r="U141" s="47" t="str">
        <f t="shared" si="36"/>
        <v/>
      </c>
      <c r="V141" s="47" t="str">
        <f>IF($A141="","",IF(OR($B141="",$C141="",$D141="",$E141="",$F141=""),"Missing required field",IF(COUNTIFS($A$9:$A141,$A141,$B$9:$B141,$B141)&gt;1,"Duplicate event ID",IF(AND($E141&lt;&gt;IFERROR(LOOKUP(2,1/($B$9:$B$140=$B141),$E$9:$E140),0),IFERROR(LOOKUP(2,1/($B$9:$B$140=$B141),$E$9:$E140),0)&gt;$E141),"Date out of order",IF(AND(OR($F141="buy_to_close",$F141="expire",$F141="roll",$F141="assignment",$F141="called_away"),$AF141=0),"Unknown lot",IF(OR(AND($F141="assignment",$AF141&gt;0,IF($AF141&gt;0,INDEX($AG$9:$AG$140,$AF141),"")&lt;&gt;"put"),AND($F141="called_away",$AF141&gt;0,IF($AF141&gt;0,INDEX($AG$9:$AG$140,$AF141),"")&lt;&gt;"call")),"Wrong option leg",IF(OR(AND(OR($F141="sell_put",$F141="sell_call"),OR($H141&lt;=0,$I141&lt;=0,$J141&lt;0)),AND(OR($F141="buy_to_close",$F141="expire",$F141="assignment",$F141="called_away"),OR($H141&lt;=0,$J141&lt;0)),AND($F141="roll",OR($H141&lt;=0,$I141&lt;=0,$J141&lt;0,$K141&lt;0)),AND(OR($F141="buy_shares",$F141="sell_shares"),OR($L141&lt;=0,$M141&lt;0)),AND(OR($F141="dividend",$F141="fee"),$N141&lt;0)),"Invalid value",IF(AND(OR($F141="sell_shares",$F141="called_away"),$AL141&lt;IF($F141="called_away",$AE141*$D141,$L141)),"Insufficient shares (capped)",IF(AND(OR($F141="buy_to_close",$F141="expire",$F141="roll",$F141="assignment",$F141="called_away"),$AF141&gt;0,$H141&gt;IF($AF141&gt;0,MAX(0,INDEX($AI$9:$AI$140,$AF141)-SUMIFS($AE$9:$AE$140,$G$9:$G$140,$G141,$B$9:$B$140,$B141)),0)),"Close quantity capped","OK")))))))))</f>
        <v/>
      </c>
      <c r="W141" s="48" t="str">
        <f t="shared" si="37"/>
        <v/>
      </c>
      <c r="X141" s="49" t="str">
        <f t="shared" si="38"/>
        <v/>
      </c>
      <c r="Y141" s="50" t="str">
        <f t="shared" si="39"/>
        <v/>
      </c>
      <c r="Z141" s="50" t="str">
        <f t="shared" si="40"/>
        <v/>
      </c>
      <c r="AA141" s="50" t="str">
        <f t="shared" si="41"/>
        <v/>
      </c>
      <c r="AB141" s="50" t="str">
        <f t="shared" si="42"/>
        <v/>
      </c>
      <c r="AC141" s="50" t="str">
        <f>IF($A141="","",IF($F141="assignment",IF($AF141&gt;0,INDEX($AH$9:$AH$140,$AF141),0)*$AE141*$D141,IF($F141="buy_shares",$M141*$AL141,0)))</f>
        <v/>
      </c>
      <c r="AD141" s="50" t="str">
        <f>IF($A141="","",IF($F141="called_away",IF($AF141&gt;0,INDEX($AH$9:$AH$140,$AF141),0)*$AL141,IF($F141="sell_shares",$M141*$AL141,0)))</f>
        <v/>
      </c>
      <c r="AE141" s="51" t="str">
        <f>IF($A141="","",IF(OR($F141="sell_put",$F141="sell_call"),IF(AND($H141&gt;0,$I141&gt;0,$J141&gt;=0),$H141,0),IF(OR($F141="buy_to_close",$F141="expire",$F141="roll",$F141="assignment",$F141="called_away"),IF(AND($AF141&gt;0,$H141&gt;0,IF($F141="assignment",IF($AF141&gt;0,INDEX($AG$9:$AG$140,$AF141),"")="put",TRUE),IF($F141="called_away",IF($AF141&gt;0,INDEX($AG$9:$AG$140,$AF141),"")="call",TRUE)),MIN($H141,IF($AF141&gt;0,MAX(0,INDEX($AI$9:$AI$140,$AF141)-SUMIFS($AE$9:$AE$140,$G$9:$G$140,$G141,$B$9:$B$140,$B141)),0)),0),0)))</f>
        <v/>
      </c>
      <c r="AF141" t="str">
        <f>IF($A141="","",IFERROR(MATCH(LEN($B141)&amp;":"&amp;$B141&amp;$G141,$AY$9:$AY$140,0),0))</f>
        <v/>
      </c>
      <c r="AG141" t="str">
        <f>IF($A141="","",IF($F141="sell_put","put",IF($F141="sell_call","call",IF($F141="roll",IF($AF141&gt;0,IF($AF141&gt;0,INDEX($AG$9:$AG$140,$AF141),""),""),IF($AF141&gt;0,IF($AF141&gt;0,INDEX($AG$9:$AG$140,$AF141),""),"")))))</f>
        <v/>
      </c>
      <c r="AH141" t="str">
        <f>IF($A141="","",IF(OR($F141="sell_put",$F141="sell_call",$F141="roll"),$I141,IF($AF141&gt;0,IF($AF141&gt;0,INDEX($AH$9:$AH$140,$AF141),0),0)))</f>
        <v/>
      </c>
      <c r="AI141" s="51" t="str">
        <f t="shared" si="43"/>
        <v/>
      </c>
      <c r="AJ141" s="51" t="str">
        <f>IF($A141="","",IFERROR(LOOKUP(2,1/($B$9:$B$140=$B141),$AM$9:$AM140),0))</f>
        <v/>
      </c>
      <c r="AK141" t="str">
        <f>IF($A141="","",IFERROR(LOOKUP(2,1/($B$9:$B$140=$B141),$AN$9:$AN140),0))</f>
        <v/>
      </c>
      <c r="AL141" s="51" t="str">
        <f t="shared" si="44"/>
        <v/>
      </c>
      <c r="AM141" s="51" t="str">
        <f t="shared" si="45"/>
        <v/>
      </c>
      <c r="AN141" t="str">
        <f t="shared" si="46"/>
        <v/>
      </c>
      <c r="AO141" s="50" t="str">
        <f>IF($A141="","",IFERROR(LOOKUP(2,1/($B$9:$B$140=$B141),$AO$9:$AO140),0)+IF($F141="sell_put",$I141*$AE141*$D141,IF($F141="roll",IF($AG141="put",($I141-IF($AF141&gt;0,INDEX($AH$9:$AH$140,$AF141),0))*$AE141*$D141,0),IF(AND(OR($F141="buy_to_close",$F141="expire",$F141="roll",$F141="assignment",$F141="called_away"),$F141&lt;&gt;"roll",$AG141="put"),-IF($AF141&gt;0,INDEX($AH$9:$AH$140,$AF141),0)*$AE141*$D141,0))))</f>
        <v/>
      </c>
      <c r="AP141" s="51" t="str">
        <f>IF($A141="","",IFERROR(LOOKUP(2,1/($B$9:$B$140=$B141),$AP$9:$AP140),0)+IF($F141="sell_put",$AE141*$D141,IF(AND(OR($F141="buy_to_close",$F141="expire",$F141="roll",$F141="assignment",$F141="called_away"),$F141&lt;&gt;"roll",$AG141="put"),-$AE141*$D141,0)))</f>
        <v/>
      </c>
      <c r="AQ141" s="51" t="str">
        <f>IF($A141="","",IFERROR(LOOKUP(2,1/($B$9:$B$140=$B141),$AQ$9:$AQ140),0)+IF(OR($F141="sell_put",$F141="sell_call"),$AE141,0)-IF(AND(OR($F141="buy_to_close",$F141="expire",$F141="roll",$F141="assignment",$F141="called_away"),$F141&lt;&gt;"roll"),$AE141,0))</f>
        <v/>
      </c>
      <c r="AR141" t="str">
        <f t="shared" si="47"/>
        <v/>
      </c>
      <c r="AS141" s="50" t="str">
        <f t="shared" si="48"/>
        <v/>
      </c>
      <c r="AT141" s="50" t="str">
        <f>IF($A141="","",MAX(IF($T141=IFERROR(LOOKUP(2,1/($B$9:$B$140=$B141),$T$9:$T140),0),IFERROR(LOOKUP(2,1/($B$9:$B$140=$B141),$AT$9:$AT140),0),0),$AS141))</f>
        <v/>
      </c>
      <c r="AU141" t="str">
        <f t="shared" si="49"/>
        <v/>
      </c>
      <c r="AV141" s="51">
        <f>IF($AU141="",0,IF(AND(IFERROR(LOOKUP(2,1/($B$9:$B$140=$B141),$AR$9:$AR140),1),NOT(AND(OR($F141="dividend",$F141="fee"),IFERROR(LOOKUP(2,1/($B$9:$B$140=$B141),$T$9:$T140),0)&gt;0))),ROW(),0))</f>
        <v>0</v>
      </c>
      <c r="AW141">
        <f>IF($A141="",0,IF($AV141&gt;0,MAX($AW$9:$AW$140)+1,MAX($AW$9:$AW$140)))</f>
        <v>0</v>
      </c>
      <c r="AX141">
        <f>IF($AU141="",0,IF(AND($AR141,OR(NOT(IFERROR(LOOKUP(2,1/($B$9:$B$140=$B141),$AR$9:$AR140),1)),IFERROR(LOOKUP(2,1/($B$9:$B$140=$B141),$T$9:$T140),0)=0)),ROW(),0))</f>
        <v>0</v>
      </c>
      <c r="AY141" t="str">
        <f t="shared" si="50"/>
        <v/>
      </c>
    </row>
    <row r="142" spans="1:51" ht="15" x14ac:dyDescent="0.25">
      <c r="A142" s="52" t="str">
        <f>IF(Trades!$A142="","",Trades!O142)</f>
        <v/>
      </c>
      <c r="B142" s="52" t="str">
        <f>IF(Trades!$A142="","",Trades!B142)</f>
        <v/>
      </c>
      <c r="C142" s="52" t="str">
        <f>IF(Trades!$A142="","",Trades!C142)</f>
        <v/>
      </c>
      <c r="D142" s="53" t="str">
        <f>IF(Trades!$A142="","",IF(Trades!$L142&gt;0,Trades!$L142,Trades!$C$6))</f>
        <v/>
      </c>
      <c r="E142" s="54" t="str">
        <f>IF(Trades!$A142="","",Trades!A142)</f>
        <v/>
      </c>
      <c r="F142" s="52" t="str">
        <f>IF(Trades!$A142="","",IFERROR(INDEX(Trades!$V$2:$V$14,MATCH(Trades!$E142,Trades!$U$2:$U$14,0)),""))</f>
        <v/>
      </c>
      <c r="G142" s="52" t="str">
        <f>IF(Trades!$A142="","",Trades!N142)</f>
        <v/>
      </c>
      <c r="H142" s="53" t="str">
        <f>IF(Trades!$A142="","",Trades!F142)</f>
        <v/>
      </c>
      <c r="I142" s="55" t="str">
        <f>IF(Trades!$A142="","",Trades!G142)</f>
        <v/>
      </c>
      <c r="J142" s="55" t="str">
        <f>IF(Trades!$A142="","",Trades!I142)</f>
        <v/>
      </c>
      <c r="K142" s="55" t="str">
        <f>IF(Trades!$A142="","",Trades!Q142)</f>
        <v/>
      </c>
      <c r="L142" s="53" t="str">
        <f>IF(Trades!$A142="","",Trades!F142)</f>
        <v/>
      </c>
      <c r="M142" s="55" t="str">
        <f>IF(Trades!$A142="","",Trades!M142)</f>
        <v/>
      </c>
      <c r="N142" s="55" t="str">
        <f>IF(Trades!$A142="","",Trades!R142)</f>
        <v/>
      </c>
      <c r="O142" s="55" t="str">
        <f>IF(Trades!$A142="","",Trades!J142)</f>
        <v/>
      </c>
      <c r="P142" s="54" t="str">
        <f>IF(Trades!$A142="","",Trades!H142)</f>
        <v/>
      </c>
      <c r="Q142" s="52" t="str">
        <f>IF(Trades!$A142="","",Trades!P142)</f>
        <v/>
      </c>
      <c r="R142" s="56" t="str">
        <f t="shared" si="34"/>
        <v/>
      </c>
      <c r="S142" s="56" t="str">
        <f t="shared" si="35"/>
        <v/>
      </c>
      <c r="T142" s="57" t="str">
        <f>IF(OR($A142="",$B142=""),"",IF(AND(IFERROR(LOOKUP(2,1/($B$9:$B$141=$B142),$AR$9:$AR141),1),NOT(AND(OR($F142="dividend",$F142="fee"),IFERROR(LOOKUP(2,1/($B$9:$B$141=$B142),$T$9:$T141),0)&gt;0))),IFERROR(LOOKUP(2,1/($B$9:$B$141=$B142),$T$9:$T141),0)+1,IFERROR(LOOKUP(2,1/($B$9:$B$141=$B142),$T$9:$T141),0)))</f>
        <v/>
      </c>
      <c r="U142" s="58" t="str">
        <f t="shared" si="36"/>
        <v/>
      </c>
      <c r="V142" s="58" t="str">
        <f>IF($A142="","",IF(OR($B142="",$C142="",$D142="",$E142="",$F142=""),"Missing required field",IF(COUNTIFS($A$9:$A142,$A142,$B$9:$B142,$B142)&gt;1,"Duplicate event ID",IF(AND($E142&lt;&gt;IFERROR(LOOKUP(2,1/($B$9:$B$141=$B142),$E$9:$E141),0),IFERROR(LOOKUP(2,1/($B$9:$B$141=$B142),$E$9:$E141),0)&gt;$E142),"Date out of order",IF(AND(OR($F142="buy_to_close",$F142="expire",$F142="roll",$F142="assignment",$F142="called_away"),$AF142=0),"Unknown lot",IF(OR(AND($F142="assignment",$AF142&gt;0,IF($AF142&gt;0,INDEX($AG$9:$AG$141,$AF142),"")&lt;&gt;"put"),AND($F142="called_away",$AF142&gt;0,IF($AF142&gt;0,INDEX($AG$9:$AG$141,$AF142),"")&lt;&gt;"call")),"Wrong option leg",IF(OR(AND(OR($F142="sell_put",$F142="sell_call"),OR($H142&lt;=0,$I142&lt;=0,$J142&lt;0)),AND(OR($F142="buy_to_close",$F142="expire",$F142="assignment",$F142="called_away"),OR($H142&lt;=0,$J142&lt;0)),AND($F142="roll",OR($H142&lt;=0,$I142&lt;=0,$J142&lt;0,$K142&lt;0)),AND(OR($F142="buy_shares",$F142="sell_shares"),OR($L142&lt;=0,$M142&lt;0)),AND(OR($F142="dividend",$F142="fee"),$N142&lt;0)),"Invalid value",IF(AND(OR($F142="sell_shares",$F142="called_away"),$AL142&lt;IF($F142="called_away",$AE142*$D142,$L142)),"Insufficient shares (capped)",IF(AND(OR($F142="buy_to_close",$F142="expire",$F142="roll",$F142="assignment",$F142="called_away"),$AF142&gt;0,$H142&gt;IF($AF142&gt;0,MAX(0,INDEX($AI$9:$AI$141,$AF142)-SUMIFS($AE$9:$AE$141,$G$9:$G$141,$G142,$B$9:$B$141,$B142)),0)),"Close quantity capped","OK")))))))))</f>
        <v/>
      </c>
      <c r="W142" s="59" t="str">
        <f t="shared" si="37"/>
        <v/>
      </c>
      <c r="X142" s="60" t="str">
        <f t="shared" si="38"/>
        <v/>
      </c>
      <c r="Y142" s="50" t="str">
        <f t="shared" si="39"/>
        <v/>
      </c>
      <c r="Z142" s="50" t="str">
        <f t="shared" si="40"/>
        <v/>
      </c>
      <c r="AA142" s="50" t="str">
        <f t="shared" si="41"/>
        <v/>
      </c>
      <c r="AB142" s="50" t="str">
        <f t="shared" si="42"/>
        <v/>
      </c>
      <c r="AC142" s="50" t="str">
        <f>IF($A142="","",IF($F142="assignment",IF($AF142&gt;0,INDEX($AH$9:$AH$141,$AF142),0)*$AE142*$D142,IF($F142="buy_shares",$M142*$AL142,0)))</f>
        <v/>
      </c>
      <c r="AD142" s="50" t="str">
        <f>IF($A142="","",IF($F142="called_away",IF($AF142&gt;0,INDEX($AH$9:$AH$141,$AF142),0)*$AL142,IF($F142="sell_shares",$M142*$AL142,0)))</f>
        <v/>
      </c>
      <c r="AE142" s="51" t="str">
        <f>IF($A142="","",IF(OR($F142="sell_put",$F142="sell_call"),IF(AND($H142&gt;0,$I142&gt;0,$J142&gt;=0),$H142,0),IF(OR($F142="buy_to_close",$F142="expire",$F142="roll",$F142="assignment",$F142="called_away"),IF(AND($AF142&gt;0,$H142&gt;0,IF($F142="assignment",IF($AF142&gt;0,INDEX($AG$9:$AG$141,$AF142),"")="put",TRUE),IF($F142="called_away",IF($AF142&gt;0,INDEX($AG$9:$AG$141,$AF142),"")="call",TRUE)),MIN($H142,IF($AF142&gt;0,MAX(0,INDEX($AI$9:$AI$141,$AF142)-SUMIFS($AE$9:$AE$141,$G$9:$G$141,$G142,$B$9:$B$141,$B142)),0)),0),0)))</f>
        <v/>
      </c>
      <c r="AF142" t="str">
        <f>IF($A142="","",IFERROR(MATCH(LEN($B142)&amp;":"&amp;$B142&amp;$G142,$AY$9:$AY$141,0),0))</f>
        <v/>
      </c>
      <c r="AG142" t="str">
        <f>IF($A142="","",IF($F142="sell_put","put",IF($F142="sell_call","call",IF($F142="roll",IF($AF142&gt;0,IF($AF142&gt;0,INDEX($AG$9:$AG$141,$AF142),""),""),IF($AF142&gt;0,IF($AF142&gt;0,INDEX($AG$9:$AG$141,$AF142),""),"")))))</f>
        <v/>
      </c>
      <c r="AH142" t="str">
        <f>IF($A142="","",IF(OR($F142="sell_put",$F142="sell_call",$F142="roll"),$I142,IF($AF142&gt;0,IF($AF142&gt;0,INDEX($AH$9:$AH$141,$AF142),0),0)))</f>
        <v/>
      </c>
      <c r="AI142" s="51" t="str">
        <f t="shared" si="43"/>
        <v/>
      </c>
      <c r="AJ142" s="51" t="str">
        <f>IF($A142="","",IFERROR(LOOKUP(2,1/($B$9:$B$141=$B142),$AM$9:$AM141),0))</f>
        <v/>
      </c>
      <c r="AK142" t="str">
        <f>IF($A142="","",IFERROR(LOOKUP(2,1/($B$9:$B$141=$B142),$AN$9:$AN141),0))</f>
        <v/>
      </c>
      <c r="AL142" s="51" t="str">
        <f t="shared" si="44"/>
        <v/>
      </c>
      <c r="AM142" s="51" t="str">
        <f t="shared" si="45"/>
        <v/>
      </c>
      <c r="AN142" t="str">
        <f t="shared" si="46"/>
        <v/>
      </c>
      <c r="AO142" s="50" t="str">
        <f>IF($A142="","",IFERROR(LOOKUP(2,1/($B$9:$B$141=$B142),$AO$9:$AO141),0)+IF($F142="sell_put",$I142*$AE142*$D142,IF($F142="roll",IF($AG142="put",($I142-IF($AF142&gt;0,INDEX($AH$9:$AH$141,$AF142),0))*$AE142*$D142,0),IF(AND(OR($F142="buy_to_close",$F142="expire",$F142="roll",$F142="assignment",$F142="called_away"),$F142&lt;&gt;"roll",$AG142="put"),-IF($AF142&gt;0,INDEX($AH$9:$AH$141,$AF142),0)*$AE142*$D142,0))))</f>
        <v/>
      </c>
      <c r="AP142" s="51" t="str">
        <f>IF($A142="","",IFERROR(LOOKUP(2,1/($B$9:$B$141=$B142),$AP$9:$AP141),0)+IF($F142="sell_put",$AE142*$D142,IF(AND(OR($F142="buy_to_close",$F142="expire",$F142="roll",$F142="assignment",$F142="called_away"),$F142&lt;&gt;"roll",$AG142="put"),-$AE142*$D142,0)))</f>
        <v/>
      </c>
      <c r="AQ142" s="51" t="str">
        <f>IF($A142="","",IFERROR(LOOKUP(2,1/($B$9:$B$141=$B142),$AQ$9:$AQ141),0)+IF(OR($F142="sell_put",$F142="sell_call"),$AE142,0)-IF(AND(OR($F142="buy_to_close",$F142="expire",$F142="roll",$F142="assignment",$F142="called_away"),$F142&lt;&gt;"roll"),$AE142,0))</f>
        <v/>
      </c>
      <c r="AR142" t="str">
        <f t="shared" si="47"/>
        <v/>
      </c>
      <c r="AS142" s="50" t="str">
        <f t="shared" si="48"/>
        <v/>
      </c>
      <c r="AT142" s="50" t="str">
        <f>IF($A142="","",MAX(IF($T142=IFERROR(LOOKUP(2,1/($B$9:$B$141=$B142),$T$9:$T141),0),IFERROR(LOOKUP(2,1/($B$9:$B$141=$B142),$AT$9:$AT141),0),0),$AS142))</f>
        <v/>
      </c>
      <c r="AU142" t="str">
        <f t="shared" si="49"/>
        <v/>
      </c>
      <c r="AV142" s="51">
        <f>IF($AU142="",0,IF(AND(IFERROR(LOOKUP(2,1/($B$9:$B$141=$B142),$AR$9:$AR141),1),NOT(AND(OR($F142="dividend",$F142="fee"),IFERROR(LOOKUP(2,1/($B$9:$B$141=$B142),$T$9:$T141),0)&gt;0))),ROW(),0))</f>
        <v>0</v>
      </c>
      <c r="AW142">
        <f>IF($A142="",0,IF($AV142&gt;0,MAX($AW$9:$AW$141)+1,MAX($AW$9:$AW$141)))</f>
        <v>0</v>
      </c>
      <c r="AX142">
        <f>IF($AU142="",0,IF(AND($AR142,OR(NOT(IFERROR(LOOKUP(2,1/($B$9:$B$141=$B142),$AR$9:$AR141),1)),IFERROR(LOOKUP(2,1/($B$9:$B$141=$B142),$T$9:$T141),0)=0)),ROW(),0))</f>
        <v>0</v>
      </c>
      <c r="AY142" t="str">
        <f t="shared" si="50"/>
        <v/>
      </c>
    </row>
    <row r="143" spans="1:51" ht="15" x14ac:dyDescent="0.25">
      <c r="A143" s="41" t="str">
        <f>IF(Trades!$A143="","",Trades!O143)</f>
        <v/>
      </c>
      <c r="B143" s="41" t="str">
        <f>IF(Trades!$A143="","",Trades!B143)</f>
        <v/>
      </c>
      <c r="C143" s="41" t="str">
        <f>IF(Trades!$A143="","",Trades!C143)</f>
        <v/>
      </c>
      <c r="D143" s="42" t="str">
        <f>IF(Trades!$A143="","",IF(Trades!$L143&gt;0,Trades!$L143,Trades!$C$6))</f>
        <v/>
      </c>
      <c r="E143" s="43" t="str">
        <f>IF(Trades!$A143="","",Trades!A143)</f>
        <v/>
      </c>
      <c r="F143" s="41" t="str">
        <f>IF(Trades!$A143="","",IFERROR(INDEX(Trades!$V$2:$V$14,MATCH(Trades!$E143,Trades!$U$2:$U$14,0)),""))</f>
        <v/>
      </c>
      <c r="G143" s="41" t="str">
        <f>IF(Trades!$A143="","",Trades!N143)</f>
        <v/>
      </c>
      <c r="H143" s="42" t="str">
        <f>IF(Trades!$A143="","",Trades!F143)</f>
        <v/>
      </c>
      <c r="I143" s="44" t="str">
        <f>IF(Trades!$A143="","",Trades!G143)</f>
        <v/>
      </c>
      <c r="J143" s="44" t="str">
        <f>IF(Trades!$A143="","",Trades!I143)</f>
        <v/>
      </c>
      <c r="K143" s="44" t="str">
        <f>IF(Trades!$A143="","",Trades!Q143)</f>
        <v/>
      </c>
      <c r="L143" s="42" t="str">
        <f>IF(Trades!$A143="","",Trades!F143)</f>
        <v/>
      </c>
      <c r="M143" s="44" t="str">
        <f>IF(Trades!$A143="","",Trades!M143)</f>
        <v/>
      </c>
      <c r="N143" s="44" t="str">
        <f>IF(Trades!$A143="","",Trades!R143)</f>
        <v/>
      </c>
      <c r="O143" s="44" t="str">
        <f>IF(Trades!$A143="","",Trades!J143)</f>
        <v/>
      </c>
      <c r="P143" s="43" t="str">
        <f>IF(Trades!$A143="","",Trades!H143)</f>
        <v/>
      </c>
      <c r="Q143" s="41" t="str">
        <f>IF(Trades!$A143="","",Trades!P143)</f>
        <v/>
      </c>
      <c r="R143" s="45" t="str">
        <f t="shared" si="34"/>
        <v/>
      </c>
      <c r="S143" s="45" t="str">
        <f t="shared" si="35"/>
        <v/>
      </c>
      <c r="T143" s="46" t="str">
        <f>IF(OR($A143="",$B143=""),"",IF(AND(IFERROR(LOOKUP(2,1/($B$9:$B$142=$B143),$AR$9:$AR142),1),NOT(AND(OR($F143="dividend",$F143="fee"),IFERROR(LOOKUP(2,1/($B$9:$B$142=$B143),$T$9:$T142),0)&gt;0))),IFERROR(LOOKUP(2,1/($B$9:$B$142=$B143),$T$9:$T142),0)+1,IFERROR(LOOKUP(2,1/($B$9:$B$142=$B143),$T$9:$T142),0)))</f>
        <v/>
      </c>
      <c r="U143" s="47" t="str">
        <f t="shared" si="36"/>
        <v/>
      </c>
      <c r="V143" s="47" t="str">
        <f>IF($A143="","",IF(OR($B143="",$C143="",$D143="",$E143="",$F143=""),"Missing required field",IF(COUNTIFS($A$9:$A143,$A143,$B$9:$B143,$B143)&gt;1,"Duplicate event ID",IF(AND($E143&lt;&gt;IFERROR(LOOKUP(2,1/($B$9:$B$142=$B143),$E$9:$E142),0),IFERROR(LOOKUP(2,1/($B$9:$B$142=$B143),$E$9:$E142),0)&gt;$E143),"Date out of order",IF(AND(OR($F143="buy_to_close",$F143="expire",$F143="roll",$F143="assignment",$F143="called_away"),$AF143=0),"Unknown lot",IF(OR(AND($F143="assignment",$AF143&gt;0,IF($AF143&gt;0,INDEX($AG$9:$AG$142,$AF143),"")&lt;&gt;"put"),AND($F143="called_away",$AF143&gt;0,IF($AF143&gt;0,INDEX($AG$9:$AG$142,$AF143),"")&lt;&gt;"call")),"Wrong option leg",IF(OR(AND(OR($F143="sell_put",$F143="sell_call"),OR($H143&lt;=0,$I143&lt;=0,$J143&lt;0)),AND(OR($F143="buy_to_close",$F143="expire",$F143="assignment",$F143="called_away"),OR($H143&lt;=0,$J143&lt;0)),AND($F143="roll",OR($H143&lt;=0,$I143&lt;=0,$J143&lt;0,$K143&lt;0)),AND(OR($F143="buy_shares",$F143="sell_shares"),OR($L143&lt;=0,$M143&lt;0)),AND(OR($F143="dividend",$F143="fee"),$N143&lt;0)),"Invalid value",IF(AND(OR($F143="sell_shares",$F143="called_away"),$AL143&lt;IF($F143="called_away",$AE143*$D143,$L143)),"Insufficient shares (capped)",IF(AND(OR($F143="buy_to_close",$F143="expire",$F143="roll",$F143="assignment",$F143="called_away"),$AF143&gt;0,$H143&gt;IF($AF143&gt;0,MAX(0,INDEX($AI$9:$AI$142,$AF143)-SUMIFS($AE$9:$AE$142,$G$9:$G$142,$G143,$B$9:$B$142,$B143)),0)),"Close quantity capped","OK")))))))))</f>
        <v/>
      </c>
      <c r="W143" s="48" t="str">
        <f t="shared" si="37"/>
        <v/>
      </c>
      <c r="X143" s="49" t="str">
        <f t="shared" si="38"/>
        <v/>
      </c>
      <c r="Y143" s="50" t="str">
        <f t="shared" si="39"/>
        <v/>
      </c>
      <c r="Z143" s="50" t="str">
        <f t="shared" si="40"/>
        <v/>
      </c>
      <c r="AA143" s="50" t="str">
        <f t="shared" si="41"/>
        <v/>
      </c>
      <c r="AB143" s="50" t="str">
        <f t="shared" si="42"/>
        <v/>
      </c>
      <c r="AC143" s="50" t="str">
        <f>IF($A143="","",IF($F143="assignment",IF($AF143&gt;0,INDEX($AH$9:$AH$142,$AF143),0)*$AE143*$D143,IF($F143="buy_shares",$M143*$AL143,0)))</f>
        <v/>
      </c>
      <c r="AD143" s="50" t="str">
        <f>IF($A143="","",IF($F143="called_away",IF($AF143&gt;0,INDEX($AH$9:$AH$142,$AF143),0)*$AL143,IF($F143="sell_shares",$M143*$AL143,0)))</f>
        <v/>
      </c>
      <c r="AE143" s="51" t="str">
        <f>IF($A143="","",IF(OR($F143="sell_put",$F143="sell_call"),IF(AND($H143&gt;0,$I143&gt;0,$J143&gt;=0),$H143,0),IF(OR($F143="buy_to_close",$F143="expire",$F143="roll",$F143="assignment",$F143="called_away"),IF(AND($AF143&gt;0,$H143&gt;0,IF($F143="assignment",IF($AF143&gt;0,INDEX($AG$9:$AG$142,$AF143),"")="put",TRUE),IF($F143="called_away",IF($AF143&gt;0,INDEX($AG$9:$AG$142,$AF143),"")="call",TRUE)),MIN($H143,IF($AF143&gt;0,MAX(0,INDEX($AI$9:$AI$142,$AF143)-SUMIFS($AE$9:$AE$142,$G$9:$G$142,$G143,$B$9:$B$142,$B143)),0)),0),0)))</f>
        <v/>
      </c>
      <c r="AF143" t="str">
        <f>IF($A143="","",IFERROR(MATCH(LEN($B143)&amp;":"&amp;$B143&amp;$G143,$AY$9:$AY$142,0),0))</f>
        <v/>
      </c>
      <c r="AG143" t="str">
        <f>IF($A143="","",IF($F143="sell_put","put",IF($F143="sell_call","call",IF($F143="roll",IF($AF143&gt;0,IF($AF143&gt;0,INDEX($AG$9:$AG$142,$AF143),""),""),IF($AF143&gt;0,IF($AF143&gt;0,INDEX($AG$9:$AG$142,$AF143),""),"")))))</f>
        <v/>
      </c>
      <c r="AH143" t="str">
        <f>IF($A143="","",IF(OR($F143="sell_put",$F143="sell_call",$F143="roll"),$I143,IF($AF143&gt;0,IF($AF143&gt;0,INDEX($AH$9:$AH$142,$AF143),0),0)))</f>
        <v/>
      </c>
      <c r="AI143" s="51" t="str">
        <f t="shared" si="43"/>
        <v/>
      </c>
      <c r="AJ143" s="51" t="str">
        <f>IF($A143="","",IFERROR(LOOKUP(2,1/($B$9:$B$142=$B143),$AM$9:$AM142),0))</f>
        <v/>
      </c>
      <c r="AK143" t="str">
        <f>IF($A143="","",IFERROR(LOOKUP(2,1/($B$9:$B$142=$B143),$AN$9:$AN142),0))</f>
        <v/>
      </c>
      <c r="AL143" s="51" t="str">
        <f t="shared" si="44"/>
        <v/>
      </c>
      <c r="AM143" s="51" t="str">
        <f t="shared" si="45"/>
        <v/>
      </c>
      <c r="AN143" t="str">
        <f t="shared" si="46"/>
        <v/>
      </c>
      <c r="AO143" s="50" t="str">
        <f>IF($A143="","",IFERROR(LOOKUP(2,1/($B$9:$B$142=$B143),$AO$9:$AO142),0)+IF($F143="sell_put",$I143*$AE143*$D143,IF($F143="roll",IF($AG143="put",($I143-IF($AF143&gt;0,INDEX($AH$9:$AH$142,$AF143),0))*$AE143*$D143,0),IF(AND(OR($F143="buy_to_close",$F143="expire",$F143="roll",$F143="assignment",$F143="called_away"),$F143&lt;&gt;"roll",$AG143="put"),-IF($AF143&gt;0,INDEX($AH$9:$AH$142,$AF143),0)*$AE143*$D143,0))))</f>
        <v/>
      </c>
      <c r="AP143" s="51" t="str">
        <f>IF($A143="","",IFERROR(LOOKUP(2,1/($B$9:$B$142=$B143),$AP$9:$AP142),0)+IF($F143="sell_put",$AE143*$D143,IF(AND(OR($F143="buy_to_close",$F143="expire",$F143="roll",$F143="assignment",$F143="called_away"),$F143&lt;&gt;"roll",$AG143="put"),-$AE143*$D143,0)))</f>
        <v/>
      </c>
      <c r="AQ143" s="51" t="str">
        <f>IF($A143="","",IFERROR(LOOKUP(2,1/($B$9:$B$142=$B143),$AQ$9:$AQ142),0)+IF(OR($F143="sell_put",$F143="sell_call"),$AE143,0)-IF(AND(OR($F143="buy_to_close",$F143="expire",$F143="roll",$F143="assignment",$F143="called_away"),$F143&lt;&gt;"roll"),$AE143,0))</f>
        <v/>
      </c>
      <c r="AR143" t="str">
        <f t="shared" si="47"/>
        <v/>
      </c>
      <c r="AS143" s="50" t="str">
        <f t="shared" si="48"/>
        <v/>
      </c>
      <c r="AT143" s="50" t="str">
        <f>IF($A143="","",MAX(IF($T143=IFERROR(LOOKUP(2,1/($B$9:$B$142=$B143),$T$9:$T142),0),IFERROR(LOOKUP(2,1/($B$9:$B$142=$B143),$AT$9:$AT142),0),0),$AS143))</f>
        <v/>
      </c>
      <c r="AU143" t="str">
        <f t="shared" si="49"/>
        <v/>
      </c>
      <c r="AV143" s="51">
        <f>IF($AU143="",0,IF(AND(IFERROR(LOOKUP(2,1/($B$9:$B$142=$B143),$AR$9:$AR142),1),NOT(AND(OR($F143="dividend",$F143="fee"),IFERROR(LOOKUP(2,1/($B$9:$B$142=$B143),$T$9:$T142),0)&gt;0))),ROW(),0))</f>
        <v>0</v>
      </c>
      <c r="AW143">
        <f>IF($A143="",0,IF($AV143&gt;0,MAX($AW$9:$AW$142)+1,MAX($AW$9:$AW$142)))</f>
        <v>0</v>
      </c>
      <c r="AX143">
        <f>IF($AU143="",0,IF(AND($AR143,OR(NOT(IFERROR(LOOKUP(2,1/($B$9:$B$142=$B143),$AR$9:$AR142),1)),IFERROR(LOOKUP(2,1/($B$9:$B$142=$B143),$T$9:$T142),0)=0)),ROW(),0))</f>
        <v>0</v>
      </c>
      <c r="AY143" t="str">
        <f t="shared" si="50"/>
        <v/>
      </c>
    </row>
    <row r="144" spans="1:51" ht="15" x14ac:dyDescent="0.25">
      <c r="A144" s="52" t="str">
        <f>IF(Trades!$A144="","",Trades!O144)</f>
        <v/>
      </c>
      <c r="B144" s="52" t="str">
        <f>IF(Trades!$A144="","",Trades!B144)</f>
        <v/>
      </c>
      <c r="C144" s="52" t="str">
        <f>IF(Trades!$A144="","",Trades!C144)</f>
        <v/>
      </c>
      <c r="D144" s="53" t="str">
        <f>IF(Trades!$A144="","",IF(Trades!$L144&gt;0,Trades!$L144,Trades!$C$6))</f>
        <v/>
      </c>
      <c r="E144" s="54" t="str">
        <f>IF(Trades!$A144="","",Trades!A144)</f>
        <v/>
      </c>
      <c r="F144" s="52" t="str">
        <f>IF(Trades!$A144="","",IFERROR(INDEX(Trades!$V$2:$V$14,MATCH(Trades!$E144,Trades!$U$2:$U$14,0)),""))</f>
        <v/>
      </c>
      <c r="G144" s="52" t="str">
        <f>IF(Trades!$A144="","",Trades!N144)</f>
        <v/>
      </c>
      <c r="H144" s="53" t="str">
        <f>IF(Trades!$A144="","",Trades!F144)</f>
        <v/>
      </c>
      <c r="I144" s="55" t="str">
        <f>IF(Trades!$A144="","",Trades!G144)</f>
        <v/>
      </c>
      <c r="J144" s="55" t="str">
        <f>IF(Trades!$A144="","",Trades!I144)</f>
        <v/>
      </c>
      <c r="K144" s="55" t="str">
        <f>IF(Trades!$A144="","",Trades!Q144)</f>
        <v/>
      </c>
      <c r="L144" s="53" t="str">
        <f>IF(Trades!$A144="","",Trades!F144)</f>
        <v/>
      </c>
      <c r="M144" s="55" t="str">
        <f>IF(Trades!$A144="","",Trades!M144)</f>
        <v/>
      </c>
      <c r="N144" s="55" t="str">
        <f>IF(Trades!$A144="","",Trades!R144)</f>
        <v/>
      </c>
      <c r="O144" s="55" t="str">
        <f>IF(Trades!$A144="","",Trades!J144)</f>
        <v/>
      </c>
      <c r="P144" s="54" t="str">
        <f>IF(Trades!$A144="","",Trades!H144)</f>
        <v/>
      </c>
      <c r="Q144" s="52" t="str">
        <f>IF(Trades!$A144="","",Trades!P144)</f>
        <v/>
      </c>
      <c r="R144" s="56" t="str">
        <f t="shared" si="34"/>
        <v/>
      </c>
      <c r="S144" s="56" t="str">
        <f t="shared" si="35"/>
        <v/>
      </c>
      <c r="T144" s="57" t="str">
        <f>IF(OR($A144="",$B144=""),"",IF(AND(IFERROR(LOOKUP(2,1/($B$9:$B$143=$B144),$AR$9:$AR143),1),NOT(AND(OR($F144="dividend",$F144="fee"),IFERROR(LOOKUP(2,1/($B$9:$B$143=$B144),$T$9:$T143),0)&gt;0))),IFERROR(LOOKUP(2,1/($B$9:$B$143=$B144),$T$9:$T143),0)+1,IFERROR(LOOKUP(2,1/($B$9:$B$143=$B144),$T$9:$T143),0)))</f>
        <v/>
      </c>
      <c r="U144" s="58" t="str">
        <f t="shared" si="36"/>
        <v/>
      </c>
      <c r="V144" s="58" t="str">
        <f>IF($A144="","",IF(OR($B144="",$C144="",$D144="",$E144="",$F144=""),"Missing required field",IF(COUNTIFS($A$9:$A144,$A144,$B$9:$B144,$B144)&gt;1,"Duplicate event ID",IF(AND($E144&lt;&gt;IFERROR(LOOKUP(2,1/($B$9:$B$143=$B144),$E$9:$E143),0),IFERROR(LOOKUP(2,1/($B$9:$B$143=$B144),$E$9:$E143),0)&gt;$E144),"Date out of order",IF(AND(OR($F144="buy_to_close",$F144="expire",$F144="roll",$F144="assignment",$F144="called_away"),$AF144=0),"Unknown lot",IF(OR(AND($F144="assignment",$AF144&gt;0,IF($AF144&gt;0,INDEX($AG$9:$AG$143,$AF144),"")&lt;&gt;"put"),AND($F144="called_away",$AF144&gt;0,IF($AF144&gt;0,INDEX($AG$9:$AG$143,$AF144),"")&lt;&gt;"call")),"Wrong option leg",IF(OR(AND(OR($F144="sell_put",$F144="sell_call"),OR($H144&lt;=0,$I144&lt;=0,$J144&lt;0)),AND(OR($F144="buy_to_close",$F144="expire",$F144="assignment",$F144="called_away"),OR($H144&lt;=0,$J144&lt;0)),AND($F144="roll",OR($H144&lt;=0,$I144&lt;=0,$J144&lt;0,$K144&lt;0)),AND(OR($F144="buy_shares",$F144="sell_shares"),OR($L144&lt;=0,$M144&lt;0)),AND(OR($F144="dividend",$F144="fee"),$N144&lt;0)),"Invalid value",IF(AND(OR($F144="sell_shares",$F144="called_away"),$AL144&lt;IF($F144="called_away",$AE144*$D144,$L144)),"Insufficient shares (capped)",IF(AND(OR($F144="buy_to_close",$F144="expire",$F144="roll",$F144="assignment",$F144="called_away"),$AF144&gt;0,$H144&gt;IF($AF144&gt;0,MAX(0,INDEX($AI$9:$AI$143,$AF144)-SUMIFS($AE$9:$AE$143,$G$9:$G$143,$G144,$B$9:$B$143,$B144)),0)),"Close quantity capped","OK")))))))))</f>
        <v/>
      </c>
      <c r="W144" s="59" t="str">
        <f t="shared" si="37"/>
        <v/>
      </c>
      <c r="X144" s="60" t="str">
        <f t="shared" si="38"/>
        <v/>
      </c>
      <c r="Y144" s="50" t="str">
        <f t="shared" si="39"/>
        <v/>
      </c>
      <c r="Z144" s="50" t="str">
        <f t="shared" si="40"/>
        <v/>
      </c>
      <c r="AA144" s="50" t="str">
        <f t="shared" si="41"/>
        <v/>
      </c>
      <c r="AB144" s="50" t="str">
        <f t="shared" si="42"/>
        <v/>
      </c>
      <c r="AC144" s="50" t="str">
        <f>IF($A144="","",IF($F144="assignment",IF($AF144&gt;0,INDEX($AH$9:$AH$143,$AF144),0)*$AE144*$D144,IF($F144="buy_shares",$M144*$AL144,0)))</f>
        <v/>
      </c>
      <c r="AD144" s="50" t="str">
        <f>IF($A144="","",IF($F144="called_away",IF($AF144&gt;0,INDEX($AH$9:$AH$143,$AF144),0)*$AL144,IF($F144="sell_shares",$M144*$AL144,0)))</f>
        <v/>
      </c>
      <c r="AE144" s="51" t="str">
        <f>IF($A144="","",IF(OR($F144="sell_put",$F144="sell_call"),IF(AND($H144&gt;0,$I144&gt;0,$J144&gt;=0),$H144,0),IF(OR($F144="buy_to_close",$F144="expire",$F144="roll",$F144="assignment",$F144="called_away"),IF(AND($AF144&gt;0,$H144&gt;0,IF($F144="assignment",IF($AF144&gt;0,INDEX($AG$9:$AG$143,$AF144),"")="put",TRUE),IF($F144="called_away",IF($AF144&gt;0,INDEX($AG$9:$AG$143,$AF144),"")="call",TRUE)),MIN($H144,IF($AF144&gt;0,MAX(0,INDEX($AI$9:$AI$143,$AF144)-SUMIFS($AE$9:$AE$143,$G$9:$G$143,$G144,$B$9:$B$143,$B144)),0)),0),0)))</f>
        <v/>
      </c>
      <c r="AF144" t="str">
        <f>IF($A144="","",IFERROR(MATCH(LEN($B144)&amp;":"&amp;$B144&amp;$G144,$AY$9:$AY$143,0),0))</f>
        <v/>
      </c>
      <c r="AG144" t="str">
        <f>IF($A144="","",IF($F144="sell_put","put",IF($F144="sell_call","call",IF($F144="roll",IF($AF144&gt;0,IF($AF144&gt;0,INDEX($AG$9:$AG$143,$AF144),""),""),IF($AF144&gt;0,IF($AF144&gt;0,INDEX($AG$9:$AG$143,$AF144),""),"")))))</f>
        <v/>
      </c>
      <c r="AH144" t="str">
        <f>IF($A144="","",IF(OR($F144="sell_put",$F144="sell_call",$F144="roll"),$I144,IF($AF144&gt;0,IF($AF144&gt;0,INDEX($AH$9:$AH$143,$AF144),0),0)))</f>
        <v/>
      </c>
      <c r="AI144" s="51" t="str">
        <f t="shared" si="43"/>
        <v/>
      </c>
      <c r="AJ144" s="51" t="str">
        <f>IF($A144="","",IFERROR(LOOKUP(2,1/($B$9:$B$143=$B144),$AM$9:$AM143),0))</f>
        <v/>
      </c>
      <c r="AK144" t="str">
        <f>IF($A144="","",IFERROR(LOOKUP(2,1/($B$9:$B$143=$B144),$AN$9:$AN143),0))</f>
        <v/>
      </c>
      <c r="AL144" s="51" t="str">
        <f t="shared" si="44"/>
        <v/>
      </c>
      <c r="AM144" s="51" t="str">
        <f t="shared" si="45"/>
        <v/>
      </c>
      <c r="AN144" t="str">
        <f t="shared" si="46"/>
        <v/>
      </c>
      <c r="AO144" s="50" t="str">
        <f>IF($A144="","",IFERROR(LOOKUP(2,1/($B$9:$B$143=$B144),$AO$9:$AO143),0)+IF($F144="sell_put",$I144*$AE144*$D144,IF($F144="roll",IF($AG144="put",($I144-IF($AF144&gt;0,INDEX($AH$9:$AH$143,$AF144),0))*$AE144*$D144,0),IF(AND(OR($F144="buy_to_close",$F144="expire",$F144="roll",$F144="assignment",$F144="called_away"),$F144&lt;&gt;"roll",$AG144="put"),-IF($AF144&gt;0,INDEX($AH$9:$AH$143,$AF144),0)*$AE144*$D144,0))))</f>
        <v/>
      </c>
      <c r="AP144" s="51" t="str">
        <f>IF($A144="","",IFERROR(LOOKUP(2,1/($B$9:$B$143=$B144),$AP$9:$AP143),0)+IF($F144="sell_put",$AE144*$D144,IF(AND(OR($F144="buy_to_close",$F144="expire",$F144="roll",$F144="assignment",$F144="called_away"),$F144&lt;&gt;"roll",$AG144="put"),-$AE144*$D144,0)))</f>
        <v/>
      </c>
      <c r="AQ144" s="51" t="str">
        <f>IF($A144="","",IFERROR(LOOKUP(2,1/($B$9:$B$143=$B144),$AQ$9:$AQ143),0)+IF(OR($F144="sell_put",$F144="sell_call"),$AE144,0)-IF(AND(OR($F144="buy_to_close",$F144="expire",$F144="roll",$F144="assignment",$F144="called_away"),$F144&lt;&gt;"roll"),$AE144,0))</f>
        <v/>
      </c>
      <c r="AR144" t="str">
        <f t="shared" si="47"/>
        <v/>
      </c>
      <c r="AS144" s="50" t="str">
        <f t="shared" si="48"/>
        <v/>
      </c>
      <c r="AT144" s="50" t="str">
        <f>IF($A144="","",MAX(IF($T144=IFERROR(LOOKUP(2,1/($B$9:$B$143=$B144),$T$9:$T143),0),IFERROR(LOOKUP(2,1/($B$9:$B$143=$B144),$AT$9:$AT143),0),0),$AS144))</f>
        <v/>
      </c>
      <c r="AU144" t="str">
        <f t="shared" si="49"/>
        <v/>
      </c>
      <c r="AV144" s="51">
        <f>IF($AU144="",0,IF(AND(IFERROR(LOOKUP(2,1/($B$9:$B$143=$B144),$AR$9:$AR143),1),NOT(AND(OR($F144="dividend",$F144="fee"),IFERROR(LOOKUP(2,1/($B$9:$B$143=$B144),$T$9:$T143),0)&gt;0))),ROW(),0))</f>
        <v>0</v>
      </c>
      <c r="AW144">
        <f>IF($A144="",0,IF($AV144&gt;0,MAX($AW$9:$AW$143)+1,MAX($AW$9:$AW$143)))</f>
        <v>0</v>
      </c>
      <c r="AX144">
        <f>IF($AU144="",0,IF(AND($AR144,OR(NOT(IFERROR(LOOKUP(2,1/($B$9:$B$143=$B144),$AR$9:$AR143),1)),IFERROR(LOOKUP(2,1/($B$9:$B$143=$B144),$T$9:$T143),0)=0)),ROW(),0))</f>
        <v>0</v>
      </c>
      <c r="AY144" t="str">
        <f t="shared" si="50"/>
        <v/>
      </c>
    </row>
    <row r="145" spans="1:51" ht="15" x14ac:dyDescent="0.25">
      <c r="A145" s="41" t="str">
        <f>IF(Trades!$A145="","",Trades!O145)</f>
        <v/>
      </c>
      <c r="B145" s="41" t="str">
        <f>IF(Trades!$A145="","",Trades!B145)</f>
        <v/>
      </c>
      <c r="C145" s="41" t="str">
        <f>IF(Trades!$A145="","",Trades!C145)</f>
        <v/>
      </c>
      <c r="D145" s="42" t="str">
        <f>IF(Trades!$A145="","",IF(Trades!$L145&gt;0,Trades!$L145,Trades!$C$6))</f>
        <v/>
      </c>
      <c r="E145" s="43" t="str">
        <f>IF(Trades!$A145="","",Trades!A145)</f>
        <v/>
      </c>
      <c r="F145" s="41" t="str">
        <f>IF(Trades!$A145="","",IFERROR(INDEX(Trades!$V$2:$V$14,MATCH(Trades!$E145,Trades!$U$2:$U$14,0)),""))</f>
        <v/>
      </c>
      <c r="G145" s="41" t="str">
        <f>IF(Trades!$A145="","",Trades!N145)</f>
        <v/>
      </c>
      <c r="H145" s="42" t="str">
        <f>IF(Trades!$A145="","",Trades!F145)</f>
        <v/>
      </c>
      <c r="I145" s="44" t="str">
        <f>IF(Trades!$A145="","",Trades!G145)</f>
        <v/>
      </c>
      <c r="J145" s="44" t="str">
        <f>IF(Trades!$A145="","",Trades!I145)</f>
        <v/>
      </c>
      <c r="K145" s="44" t="str">
        <f>IF(Trades!$A145="","",Trades!Q145)</f>
        <v/>
      </c>
      <c r="L145" s="42" t="str">
        <f>IF(Trades!$A145="","",Trades!F145)</f>
        <v/>
      </c>
      <c r="M145" s="44" t="str">
        <f>IF(Trades!$A145="","",Trades!M145)</f>
        <v/>
      </c>
      <c r="N145" s="44" t="str">
        <f>IF(Trades!$A145="","",Trades!R145)</f>
        <v/>
      </c>
      <c r="O145" s="44" t="str">
        <f>IF(Trades!$A145="","",Trades!J145)</f>
        <v/>
      </c>
      <c r="P145" s="43" t="str">
        <f>IF(Trades!$A145="","",Trades!H145)</f>
        <v/>
      </c>
      <c r="Q145" s="41" t="str">
        <f>IF(Trades!$A145="","",Trades!P145)</f>
        <v/>
      </c>
      <c r="R145" s="45" t="str">
        <f t="shared" si="34"/>
        <v/>
      </c>
      <c r="S145" s="45" t="str">
        <f t="shared" si="35"/>
        <v/>
      </c>
      <c r="T145" s="46" t="str">
        <f>IF(OR($A145="",$B145=""),"",IF(AND(IFERROR(LOOKUP(2,1/($B$9:$B$144=$B145),$AR$9:$AR144),1),NOT(AND(OR($F145="dividend",$F145="fee"),IFERROR(LOOKUP(2,1/($B$9:$B$144=$B145),$T$9:$T144),0)&gt;0))),IFERROR(LOOKUP(2,1/($B$9:$B$144=$B145),$T$9:$T144),0)+1,IFERROR(LOOKUP(2,1/($B$9:$B$144=$B145),$T$9:$T144),0)))</f>
        <v/>
      </c>
      <c r="U145" s="47" t="str">
        <f t="shared" si="36"/>
        <v/>
      </c>
      <c r="V145" s="47" t="str">
        <f>IF($A145="","",IF(OR($B145="",$C145="",$D145="",$E145="",$F145=""),"Missing required field",IF(COUNTIFS($A$9:$A145,$A145,$B$9:$B145,$B145)&gt;1,"Duplicate event ID",IF(AND($E145&lt;&gt;IFERROR(LOOKUP(2,1/($B$9:$B$144=$B145),$E$9:$E144),0),IFERROR(LOOKUP(2,1/($B$9:$B$144=$B145),$E$9:$E144),0)&gt;$E145),"Date out of order",IF(AND(OR($F145="buy_to_close",$F145="expire",$F145="roll",$F145="assignment",$F145="called_away"),$AF145=0),"Unknown lot",IF(OR(AND($F145="assignment",$AF145&gt;0,IF($AF145&gt;0,INDEX($AG$9:$AG$144,$AF145),"")&lt;&gt;"put"),AND($F145="called_away",$AF145&gt;0,IF($AF145&gt;0,INDEX($AG$9:$AG$144,$AF145),"")&lt;&gt;"call")),"Wrong option leg",IF(OR(AND(OR($F145="sell_put",$F145="sell_call"),OR($H145&lt;=0,$I145&lt;=0,$J145&lt;0)),AND(OR($F145="buy_to_close",$F145="expire",$F145="assignment",$F145="called_away"),OR($H145&lt;=0,$J145&lt;0)),AND($F145="roll",OR($H145&lt;=0,$I145&lt;=0,$J145&lt;0,$K145&lt;0)),AND(OR($F145="buy_shares",$F145="sell_shares"),OR($L145&lt;=0,$M145&lt;0)),AND(OR($F145="dividend",$F145="fee"),$N145&lt;0)),"Invalid value",IF(AND(OR($F145="sell_shares",$F145="called_away"),$AL145&lt;IF($F145="called_away",$AE145*$D145,$L145)),"Insufficient shares (capped)",IF(AND(OR($F145="buy_to_close",$F145="expire",$F145="roll",$F145="assignment",$F145="called_away"),$AF145&gt;0,$H145&gt;IF($AF145&gt;0,MAX(0,INDEX($AI$9:$AI$144,$AF145)-SUMIFS($AE$9:$AE$144,$G$9:$G$144,$G145,$B$9:$B$144,$B145)),0)),"Close quantity capped","OK")))))))))</f>
        <v/>
      </c>
      <c r="W145" s="48" t="str">
        <f t="shared" si="37"/>
        <v/>
      </c>
      <c r="X145" s="49" t="str">
        <f t="shared" si="38"/>
        <v/>
      </c>
      <c r="Y145" s="50" t="str">
        <f t="shared" si="39"/>
        <v/>
      </c>
      <c r="Z145" s="50" t="str">
        <f t="shared" si="40"/>
        <v/>
      </c>
      <c r="AA145" s="50" t="str">
        <f t="shared" si="41"/>
        <v/>
      </c>
      <c r="AB145" s="50" t="str">
        <f t="shared" si="42"/>
        <v/>
      </c>
      <c r="AC145" s="50" t="str">
        <f>IF($A145="","",IF($F145="assignment",IF($AF145&gt;0,INDEX($AH$9:$AH$144,$AF145),0)*$AE145*$D145,IF($F145="buy_shares",$M145*$AL145,0)))</f>
        <v/>
      </c>
      <c r="AD145" s="50" t="str">
        <f>IF($A145="","",IF($F145="called_away",IF($AF145&gt;0,INDEX($AH$9:$AH$144,$AF145),0)*$AL145,IF($F145="sell_shares",$M145*$AL145,0)))</f>
        <v/>
      </c>
      <c r="AE145" s="51" t="str">
        <f>IF($A145="","",IF(OR($F145="sell_put",$F145="sell_call"),IF(AND($H145&gt;0,$I145&gt;0,$J145&gt;=0),$H145,0),IF(OR($F145="buy_to_close",$F145="expire",$F145="roll",$F145="assignment",$F145="called_away"),IF(AND($AF145&gt;0,$H145&gt;0,IF($F145="assignment",IF($AF145&gt;0,INDEX($AG$9:$AG$144,$AF145),"")="put",TRUE),IF($F145="called_away",IF($AF145&gt;0,INDEX($AG$9:$AG$144,$AF145),"")="call",TRUE)),MIN($H145,IF($AF145&gt;0,MAX(0,INDEX($AI$9:$AI$144,$AF145)-SUMIFS($AE$9:$AE$144,$G$9:$G$144,$G145,$B$9:$B$144,$B145)),0)),0),0)))</f>
        <v/>
      </c>
      <c r="AF145" t="str">
        <f>IF($A145="","",IFERROR(MATCH(LEN($B145)&amp;":"&amp;$B145&amp;$G145,$AY$9:$AY$144,0),0))</f>
        <v/>
      </c>
      <c r="AG145" t="str">
        <f>IF($A145="","",IF($F145="sell_put","put",IF($F145="sell_call","call",IF($F145="roll",IF($AF145&gt;0,IF($AF145&gt;0,INDEX($AG$9:$AG$144,$AF145),""),""),IF($AF145&gt;0,IF($AF145&gt;0,INDEX($AG$9:$AG$144,$AF145),""),"")))))</f>
        <v/>
      </c>
      <c r="AH145" t="str">
        <f>IF($A145="","",IF(OR($F145="sell_put",$F145="sell_call",$F145="roll"),$I145,IF($AF145&gt;0,IF($AF145&gt;0,INDEX($AH$9:$AH$144,$AF145),0),0)))</f>
        <v/>
      </c>
      <c r="AI145" s="51" t="str">
        <f t="shared" si="43"/>
        <v/>
      </c>
      <c r="AJ145" s="51" t="str">
        <f>IF($A145="","",IFERROR(LOOKUP(2,1/($B$9:$B$144=$B145),$AM$9:$AM144),0))</f>
        <v/>
      </c>
      <c r="AK145" t="str">
        <f>IF($A145="","",IFERROR(LOOKUP(2,1/($B$9:$B$144=$B145),$AN$9:$AN144),0))</f>
        <v/>
      </c>
      <c r="AL145" s="51" t="str">
        <f t="shared" si="44"/>
        <v/>
      </c>
      <c r="AM145" s="51" t="str">
        <f t="shared" si="45"/>
        <v/>
      </c>
      <c r="AN145" t="str">
        <f t="shared" si="46"/>
        <v/>
      </c>
      <c r="AO145" s="50" t="str">
        <f>IF($A145="","",IFERROR(LOOKUP(2,1/($B$9:$B$144=$B145),$AO$9:$AO144),0)+IF($F145="sell_put",$I145*$AE145*$D145,IF($F145="roll",IF($AG145="put",($I145-IF($AF145&gt;0,INDEX($AH$9:$AH$144,$AF145),0))*$AE145*$D145,0),IF(AND(OR($F145="buy_to_close",$F145="expire",$F145="roll",$F145="assignment",$F145="called_away"),$F145&lt;&gt;"roll",$AG145="put"),-IF($AF145&gt;0,INDEX($AH$9:$AH$144,$AF145),0)*$AE145*$D145,0))))</f>
        <v/>
      </c>
      <c r="AP145" s="51" t="str">
        <f>IF($A145="","",IFERROR(LOOKUP(2,1/($B$9:$B$144=$B145),$AP$9:$AP144),0)+IF($F145="sell_put",$AE145*$D145,IF(AND(OR($F145="buy_to_close",$F145="expire",$F145="roll",$F145="assignment",$F145="called_away"),$F145&lt;&gt;"roll",$AG145="put"),-$AE145*$D145,0)))</f>
        <v/>
      </c>
      <c r="AQ145" s="51" t="str">
        <f>IF($A145="","",IFERROR(LOOKUP(2,1/($B$9:$B$144=$B145),$AQ$9:$AQ144),0)+IF(OR($F145="sell_put",$F145="sell_call"),$AE145,0)-IF(AND(OR($F145="buy_to_close",$F145="expire",$F145="roll",$F145="assignment",$F145="called_away"),$F145&lt;&gt;"roll"),$AE145,0))</f>
        <v/>
      </c>
      <c r="AR145" t="str">
        <f t="shared" si="47"/>
        <v/>
      </c>
      <c r="AS145" s="50" t="str">
        <f t="shared" si="48"/>
        <v/>
      </c>
      <c r="AT145" s="50" t="str">
        <f>IF($A145="","",MAX(IF($T145=IFERROR(LOOKUP(2,1/($B$9:$B$144=$B145),$T$9:$T144),0),IFERROR(LOOKUP(2,1/($B$9:$B$144=$B145),$AT$9:$AT144),0),0),$AS145))</f>
        <v/>
      </c>
      <c r="AU145" t="str">
        <f t="shared" si="49"/>
        <v/>
      </c>
      <c r="AV145" s="51">
        <f>IF($AU145="",0,IF(AND(IFERROR(LOOKUP(2,1/($B$9:$B$144=$B145),$AR$9:$AR144),1),NOT(AND(OR($F145="dividend",$F145="fee"),IFERROR(LOOKUP(2,1/($B$9:$B$144=$B145),$T$9:$T144),0)&gt;0))),ROW(),0))</f>
        <v>0</v>
      </c>
      <c r="AW145">
        <f>IF($A145="",0,IF($AV145&gt;0,MAX($AW$9:$AW$144)+1,MAX($AW$9:$AW$144)))</f>
        <v>0</v>
      </c>
      <c r="AX145">
        <f>IF($AU145="",0,IF(AND($AR145,OR(NOT(IFERROR(LOOKUP(2,1/($B$9:$B$144=$B145),$AR$9:$AR144),1)),IFERROR(LOOKUP(2,1/($B$9:$B$144=$B145),$T$9:$T144),0)=0)),ROW(),0))</f>
        <v>0</v>
      </c>
      <c r="AY145" t="str">
        <f t="shared" si="50"/>
        <v/>
      </c>
    </row>
    <row r="146" spans="1:51" ht="15" x14ac:dyDescent="0.25">
      <c r="A146" s="52" t="str">
        <f>IF(Trades!$A146="","",Trades!O146)</f>
        <v/>
      </c>
      <c r="B146" s="52" t="str">
        <f>IF(Trades!$A146="","",Trades!B146)</f>
        <v/>
      </c>
      <c r="C146" s="52" t="str">
        <f>IF(Trades!$A146="","",Trades!C146)</f>
        <v/>
      </c>
      <c r="D146" s="53" t="str">
        <f>IF(Trades!$A146="","",IF(Trades!$L146&gt;0,Trades!$L146,Trades!$C$6))</f>
        <v/>
      </c>
      <c r="E146" s="54" t="str">
        <f>IF(Trades!$A146="","",Trades!A146)</f>
        <v/>
      </c>
      <c r="F146" s="52" t="str">
        <f>IF(Trades!$A146="","",IFERROR(INDEX(Trades!$V$2:$V$14,MATCH(Trades!$E146,Trades!$U$2:$U$14,0)),""))</f>
        <v/>
      </c>
      <c r="G146" s="52" t="str">
        <f>IF(Trades!$A146="","",Trades!N146)</f>
        <v/>
      </c>
      <c r="H146" s="53" t="str">
        <f>IF(Trades!$A146="","",Trades!F146)</f>
        <v/>
      </c>
      <c r="I146" s="55" t="str">
        <f>IF(Trades!$A146="","",Trades!G146)</f>
        <v/>
      </c>
      <c r="J146" s="55" t="str">
        <f>IF(Trades!$A146="","",Trades!I146)</f>
        <v/>
      </c>
      <c r="K146" s="55" t="str">
        <f>IF(Trades!$A146="","",Trades!Q146)</f>
        <v/>
      </c>
      <c r="L146" s="53" t="str">
        <f>IF(Trades!$A146="","",Trades!F146)</f>
        <v/>
      </c>
      <c r="M146" s="55" t="str">
        <f>IF(Trades!$A146="","",Trades!M146)</f>
        <v/>
      </c>
      <c r="N146" s="55" t="str">
        <f>IF(Trades!$A146="","",Trades!R146)</f>
        <v/>
      </c>
      <c r="O146" s="55" t="str">
        <f>IF(Trades!$A146="","",Trades!J146)</f>
        <v/>
      </c>
      <c r="P146" s="54" t="str">
        <f>IF(Trades!$A146="","",Trades!H146)</f>
        <v/>
      </c>
      <c r="Q146" s="52" t="str">
        <f>IF(Trades!$A146="","",Trades!P146)</f>
        <v/>
      </c>
      <c r="R146" s="56" t="str">
        <f t="shared" si="34"/>
        <v/>
      </c>
      <c r="S146" s="56" t="str">
        <f t="shared" si="35"/>
        <v/>
      </c>
      <c r="T146" s="57" t="str">
        <f>IF(OR($A146="",$B146=""),"",IF(AND(IFERROR(LOOKUP(2,1/($B$9:$B$145=$B146),$AR$9:$AR145),1),NOT(AND(OR($F146="dividend",$F146="fee"),IFERROR(LOOKUP(2,1/($B$9:$B$145=$B146),$T$9:$T145),0)&gt;0))),IFERROR(LOOKUP(2,1/($B$9:$B$145=$B146),$T$9:$T145),0)+1,IFERROR(LOOKUP(2,1/($B$9:$B$145=$B146),$T$9:$T145),0)))</f>
        <v/>
      </c>
      <c r="U146" s="58" t="str">
        <f t="shared" si="36"/>
        <v/>
      </c>
      <c r="V146" s="58" t="str">
        <f>IF($A146="","",IF(OR($B146="",$C146="",$D146="",$E146="",$F146=""),"Missing required field",IF(COUNTIFS($A$9:$A146,$A146,$B$9:$B146,$B146)&gt;1,"Duplicate event ID",IF(AND($E146&lt;&gt;IFERROR(LOOKUP(2,1/($B$9:$B$145=$B146),$E$9:$E145),0),IFERROR(LOOKUP(2,1/($B$9:$B$145=$B146),$E$9:$E145),0)&gt;$E146),"Date out of order",IF(AND(OR($F146="buy_to_close",$F146="expire",$F146="roll",$F146="assignment",$F146="called_away"),$AF146=0),"Unknown lot",IF(OR(AND($F146="assignment",$AF146&gt;0,IF($AF146&gt;0,INDEX($AG$9:$AG$145,$AF146),"")&lt;&gt;"put"),AND($F146="called_away",$AF146&gt;0,IF($AF146&gt;0,INDEX($AG$9:$AG$145,$AF146),"")&lt;&gt;"call")),"Wrong option leg",IF(OR(AND(OR($F146="sell_put",$F146="sell_call"),OR($H146&lt;=0,$I146&lt;=0,$J146&lt;0)),AND(OR($F146="buy_to_close",$F146="expire",$F146="assignment",$F146="called_away"),OR($H146&lt;=0,$J146&lt;0)),AND($F146="roll",OR($H146&lt;=0,$I146&lt;=0,$J146&lt;0,$K146&lt;0)),AND(OR($F146="buy_shares",$F146="sell_shares"),OR($L146&lt;=0,$M146&lt;0)),AND(OR($F146="dividend",$F146="fee"),$N146&lt;0)),"Invalid value",IF(AND(OR($F146="sell_shares",$F146="called_away"),$AL146&lt;IF($F146="called_away",$AE146*$D146,$L146)),"Insufficient shares (capped)",IF(AND(OR($F146="buy_to_close",$F146="expire",$F146="roll",$F146="assignment",$F146="called_away"),$AF146&gt;0,$H146&gt;IF($AF146&gt;0,MAX(0,INDEX($AI$9:$AI$145,$AF146)-SUMIFS($AE$9:$AE$145,$G$9:$G$145,$G146,$B$9:$B$145,$B146)),0)),"Close quantity capped","OK")))))))))</f>
        <v/>
      </c>
      <c r="W146" s="59" t="str">
        <f t="shared" si="37"/>
        <v/>
      </c>
      <c r="X146" s="60" t="str">
        <f t="shared" si="38"/>
        <v/>
      </c>
      <c r="Y146" s="50" t="str">
        <f t="shared" si="39"/>
        <v/>
      </c>
      <c r="Z146" s="50" t="str">
        <f t="shared" si="40"/>
        <v/>
      </c>
      <c r="AA146" s="50" t="str">
        <f t="shared" si="41"/>
        <v/>
      </c>
      <c r="AB146" s="50" t="str">
        <f t="shared" si="42"/>
        <v/>
      </c>
      <c r="AC146" s="50" t="str">
        <f>IF($A146="","",IF($F146="assignment",IF($AF146&gt;0,INDEX($AH$9:$AH$145,$AF146),0)*$AE146*$D146,IF($F146="buy_shares",$M146*$AL146,0)))</f>
        <v/>
      </c>
      <c r="AD146" s="50" t="str">
        <f>IF($A146="","",IF($F146="called_away",IF($AF146&gt;0,INDEX($AH$9:$AH$145,$AF146),0)*$AL146,IF($F146="sell_shares",$M146*$AL146,0)))</f>
        <v/>
      </c>
      <c r="AE146" s="51" t="str">
        <f>IF($A146="","",IF(OR($F146="sell_put",$F146="sell_call"),IF(AND($H146&gt;0,$I146&gt;0,$J146&gt;=0),$H146,0),IF(OR($F146="buy_to_close",$F146="expire",$F146="roll",$F146="assignment",$F146="called_away"),IF(AND($AF146&gt;0,$H146&gt;0,IF($F146="assignment",IF($AF146&gt;0,INDEX($AG$9:$AG$145,$AF146),"")="put",TRUE),IF($F146="called_away",IF($AF146&gt;0,INDEX($AG$9:$AG$145,$AF146),"")="call",TRUE)),MIN($H146,IF($AF146&gt;0,MAX(0,INDEX($AI$9:$AI$145,$AF146)-SUMIFS($AE$9:$AE$145,$G$9:$G$145,$G146,$B$9:$B$145,$B146)),0)),0),0)))</f>
        <v/>
      </c>
      <c r="AF146" t="str">
        <f>IF($A146="","",IFERROR(MATCH(LEN($B146)&amp;":"&amp;$B146&amp;$G146,$AY$9:$AY$145,0),0))</f>
        <v/>
      </c>
      <c r="AG146" t="str">
        <f>IF($A146="","",IF($F146="sell_put","put",IF($F146="sell_call","call",IF($F146="roll",IF($AF146&gt;0,IF($AF146&gt;0,INDEX($AG$9:$AG$145,$AF146),""),""),IF($AF146&gt;0,IF($AF146&gt;0,INDEX($AG$9:$AG$145,$AF146),""),"")))))</f>
        <v/>
      </c>
      <c r="AH146" t="str">
        <f>IF($A146="","",IF(OR($F146="sell_put",$F146="sell_call",$F146="roll"),$I146,IF($AF146&gt;0,IF($AF146&gt;0,INDEX($AH$9:$AH$145,$AF146),0),0)))</f>
        <v/>
      </c>
      <c r="AI146" s="51" t="str">
        <f t="shared" si="43"/>
        <v/>
      </c>
      <c r="AJ146" s="51" t="str">
        <f>IF($A146="","",IFERROR(LOOKUP(2,1/($B$9:$B$145=$B146),$AM$9:$AM145),0))</f>
        <v/>
      </c>
      <c r="AK146" t="str">
        <f>IF($A146="","",IFERROR(LOOKUP(2,1/($B$9:$B$145=$B146),$AN$9:$AN145),0))</f>
        <v/>
      </c>
      <c r="AL146" s="51" t="str">
        <f t="shared" si="44"/>
        <v/>
      </c>
      <c r="AM146" s="51" t="str">
        <f t="shared" si="45"/>
        <v/>
      </c>
      <c r="AN146" t="str">
        <f t="shared" si="46"/>
        <v/>
      </c>
      <c r="AO146" s="50" t="str">
        <f>IF($A146="","",IFERROR(LOOKUP(2,1/($B$9:$B$145=$B146),$AO$9:$AO145),0)+IF($F146="sell_put",$I146*$AE146*$D146,IF($F146="roll",IF($AG146="put",($I146-IF($AF146&gt;0,INDEX($AH$9:$AH$145,$AF146),0))*$AE146*$D146,0),IF(AND(OR($F146="buy_to_close",$F146="expire",$F146="roll",$F146="assignment",$F146="called_away"),$F146&lt;&gt;"roll",$AG146="put"),-IF($AF146&gt;0,INDEX($AH$9:$AH$145,$AF146),0)*$AE146*$D146,0))))</f>
        <v/>
      </c>
      <c r="AP146" s="51" t="str">
        <f>IF($A146="","",IFERROR(LOOKUP(2,1/($B$9:$B$145=$B146),$AP$9:$AP145),0)+IF($F146="sell_put",$AE146*$D146,IF(AND(OR($F146="buy_to_close",$F146="expire",$F146="roll",$F146="assignment",$F146="called_away"),$F146&lt;&gt;"roll",$AG146="put"),-$AE146*$D146,0)))</f>
        <v/>
      </c>
      <c r="AQ146" s="51" t="str">
        <f>IF($A146="","",IFERROR(LOOKUP(2,1/($B$9:$B$145=$B146),$AQ$9:$AQ145),0)+IF(OR($F146="sell_put",$F146="sell_call"),$AE146,0)-IF(AND(OR($F146="buy_to_close",$F146="expire",$F146="roll",$F146="assignment",$F146="called_away"),$F146&lt;&gt;"roll"),$AE146,0))</f>
        <v/>
      </c>
      <c r="AR146" t="str">
        <f t="shared" si="47"/>
        <v/>
      </c>
      <c r="AS146" s="50" t="str">
        <f t="shared" si="48"/>
        <v/>
      </c>
      <c r="AT146" s="50" t="str">
        <f>IF($A146="","",MAX(IF($T146=IFERROR(LOOKUP(2,1/($B$9:$B$145=$B146),$T$9:$T145),0),IFERROR(LOOKUP(2,1/($B$9:$B$145=$B146),$AT$9:$AT145),0),0),$AS146))</f>
        <v/>
      </c>
      <c r="AU146" t="str">
        <f t="shared" si="49"/>
        <v/>
      </c>
      <c r="AV146" s="51">
        <f>IF($AU146="",0,IF(AND(IFERROR(LOOKUP(2,1/($B$9:$B$145=$B146),$AR$9:$AR145),1),NOT(AND(OR($F146="dividend",$F146="fee"),IFERROR(LOOKUP(2,1/($B$9:$B$145=$B146),$T$9:$T145),0)&gt;0))),ROW(),0))</f>
        <v>0</v>
      </c>
      <c r="AW146">
        <f>IF($A146="",0,IF($AV146&gt;0,MAX($AW$9:$AW$145)+1,MAX($AW$9:$AW$145)))</f>
        <v>0</v>
      </c>
      <c r="AX146">
        <f>IF($AU146="",0,IF(AND($AR146,OR(NOT(IFERROR(LOOKUP(2,1/($B$9:$B$145=$B146),$AR$9:$AR145),1)),IFERROR(LOOKUP(2,1/($B$9:$B$145=$B146),$T$9:$T145),0)=0)),ROW(),0))</f>
        <v>0</v>
      </c>
      <c r="AY146" t="str">
        <f t="shared" si="50"/>
        <v/>
      </c>
    </row>
    <row r="147" spans="1:51" ht="15" x14ac:dyDescent="0.25">
      <c r="A147" s="41" t="str">
        <f>IF(Trades!$A147="","",Trades!O147)</f>
        <v/>
      </c>
      <c r="B147" s="41" t="str">
        <f>IF(Trades!$A147="","",Trades!B147)</f>
        <v/>
      </c>
      <c r="C147" s="41" t="str">
        <f>IF(Trades!$A147="","",Trades!C147)</f>
        <v/>
      </c>
      <c r="D147" s="42" t="str">
        <f>IF(Trades!$A147="","",IF(Trades!$L147&gt;0,Trades!$L147,Trades!$C$6))</f>
        <v/>
      </c>
      <c r="E147" s="43" t="str">
        <f>IF(Trades!$A147="","",Trades!A147)</f>
        <v/>
      </c>
      <c r="F147" s="41" t="str">
        <f>IF(Trades!$A147="","",IFERROR(INDEX(Trades!$V$2:$V$14,MATCH(Trades!$E147,Trades!$U$2:$U$14,0)),""))</f>
        <v/>
      </c>
      <c r="G147" s="41" t="str">
        <f>IF(Trades!$A147="","",Trades!N147)</f>
        <v/>
      </c>
      <c r="H147" s="42" t="str">
        <f>IF(Trades!$A147="","",Trades!F147)</f>
        <v/>
      </c>
      <c r="I147" s="44" t="str">
        <f>IF(Trades!$A147="","",Trades!G147)</f>
        <v/>
      </c>
      <c r="J147" s="44" t="str">
        <f>IF(Trades!$A147="","",Trades!I147)</f>
        <v/>
      </c>
      <c r="K147" s="44" t="str">
        <f>IF(Trades!$A147="","",Trades!Q147)</f>
        <v/>
      </c>
      <c r="L147" s="42" t="str">
        <f>IF(Trades!$A147="","",Trades!F147)</f>
        <v/>
      </c>
      <c r="M147" s="44" t="str">
        <f>IF(Trades!$A147="","",Trades!M147)</f>
        <v/>
      </c>
      <c r="N147" s="44" t="str">
        <f>IF(Trades!$A147="","",Trades!R147)</f>
        <v/>
      </c>
      <c r="O147" s="44" t="str">
        <f>IF(Trades!$A147="","",Trades!J147)</f>
        <v/>
      </c>
      <c r="P147" s="43" t="str">
        <f>IF(Trades!$A147="","",Trades!H147)</f>
        <v/>
      </c>
      <c r="Q147" s="41" t="str">
        <f>IF(Trades!$A147="","",Trades!P147)</f>
        <v/>
      </c>
      <c r="R147" s="45" t="str">
        <f t="shared" si="34"/>
        <v/>
      </c>
      <c r="S147" s="45" t="str">
        <f t="shared" si="35"/>
        <v/>
      </c>
      <c r="T147" s="46" t="str">
        <f>IF(OR($A147="",$B147=""),"",IF(AND(IFERROR(LOOKUP(2,1/($B$9:$B$146=$B147),$AR$9:$AR146),1),NOT(AND(OR($F147="dividend",$F147="fee"),IFERROR(LOOKUP(2,1/($B$9:$B$146=$B147),$T$9:$T146),0)&gt;0))),IFERROR(LOOKUP(2,1/($B$9:$B$146=$B147),$T$9:$T146),0)+1,IFERROR(LOOKUP(2,1/($B$9:$B$146=$B147),$T$9:$T146),0)))</f>
        <v/>
      </c>
      <c r="U147" s="47" t="str">
        <f t="shared" si="36"/>
        <v/>
      </c>
      <c r="V147" s="47" t="str">
        <f>IF($A147="","",IF(OR($B147="",$C147="",$D147="",$E147="",$F147=""),"Missing required field",IF(COUNTIFS($A$9:$A147,$A147,$B$9:$B147,$B147)&gt;1,"Duplicate event ID",IF(AND($E147&lt;&gt;IFERROR(LOOKUP(2,1/($B$9:$B$146=$B147),$E$9:$E146),0),IFERROR(LOOKUP(2,1/($B$9:$B$146=$B147),$E$9:$E146),0)&gt;$E147),"Date out of order",IF(AND(OR($F147="buy_to_close",$F147="expire",$F147="roll",$F147="assignment",$F147="called_away"),$AF147=0),"Unknown lot",IF(OR(AND($F147="assignment",$AF147&gt;0,IF($AF147&gt;0,INDEX($AG$9:$AG$146,$AF147),"")&lt;&gt;"put"),AND($F147="called_away",$AF147&gt;0,IF($AF147&gt;0,INDEX($AG$9:$AG$146,$AF147),"")&lt;&gt;"call")),"Wrong option leg",IF(OR(AND(OR($F147="sell_put",$F147="sell_call"),OR($H147&lt;=0,$I147&lt;=0,$J147&lt;0)),AND(OR($F147="buy_to_close",$F147="expire",$F147="assignment",$F147="called_away"),OR($H147&lt;=0,$J147&lt;0)),AND($F147="roll",OR($H147&lt;=0,$I147&lt;=0,$J147&lt;0,$K147&lt;0)),AND(OR($F147="buy_shares",$F147="sell_shares"),OR($L147&lt;=0,$M147&lt;0)),AND(OR($F147="dividend",$F147="fee"),$N147&lt;0)),"Invalid value",IF(AND(OR($F147="sell_shares",$F147="called_away"),$AL147&lt;IF($F147="called_away",$AE147*$D147,$L147)),"Insufficient shares (capped)",IF(AND(OR($F147="buy_to_close",$F147="expire",$F147="roll",$F147="assignment",$F147="called_away"),$AF147&gt;0,$H147&gt;IF($AF147&gt;0,MAX(0,INDEX($AI$9:$AI$146,$AF147)-SUMIFS($AE$9:$AE$146,$G$9:$G$146,$G147,$B$9:$B$146,$B147)),0)),"Close quantity capped","OK")))))))))</f>
        <v/>
      </c>
      <c r="W147" s="48" t="str">
        <f t="shared" si="37"/>
        <v/>
      </c>
      <c r="X147" s="49" t="str">
        <f t="shared" si="38"/>
        <v/>
      </c>
      <c r="Y147" s="50" t="str">
        <f t="shared" si="39"/>
        <v/>
      </c>
      <c r="Z147" s="50" t="str">
        <f t="shared" si="40"/>
        <v/>
      </c>
      <c r="AA147" s="50" t="str">
        <f t="shared" si="41"/>
        <v/>
      </c>
      <c r="AB147" s="50" t="str">
        <f t="shared" si="42"/>
        <v/>
      </c>
      <c r="AC147" s="50" t="str">
        <f>IF($A147="","",IF($F147="assignment",IF($AF147&gt;0,INDEX($AH$9:$AH$146,$AF147),0)*$AE147*$D147,IF($F147="buy_shares",$M147*$AL147,0)))</f>
        <v/>
      </c>
      <c r="AD147" s="50" t="str">
        <f>IF($A147="","",IF($F147="called_away",IF($AF147&gt;0,INDEX($AH$9:$AH$146,$AF147),0)*$AL147,IF($F147="sell_shares",$M147*$AL147,0)))</f>
        <v/>
      </c>
      <c r="AE147" s="51" t="str">
        <f>IF($A147="","",IF(OR($F147="sell_put",$F147="sell_call"),IF(AND($H147&gt;0,$I147&gt;0,$J147&gt;=0),$H147,0),IF(OR($F147="buy_to_close",$F147="expire",$F147="roll",$F147="assignment",$F147="called_away"),IF(AND($AF147&gt;0,$H147&gt;0,IF($F147="assignment",IF($AF147&gt;0,INDEX($AG$9:$AG$146,$AF147),"")="put",TRUE),IF($F147="called_away",IF($AF147&gt;0,INDEX($AG$9:$AG$146,$AF147),"")="call",TRUE)),MIN($H147,IF($AF147&gt;0,MAX(0,INDEX($AI$9:$AI$146,$AF147)-SUMIFS($AE$9:$AE$146,$G$9:$G$146,$G147,$B$9:$B$146,$B147)),0)),0),0)))</f>
        <v/>
      </c>
      <c r="AF147" t="str">
        <f>IF($A147="","",IFERROR(MATCH(LEN($B147)&amp;":"&amp;$B147&amp;$G147,$AY$9:$AY$146,0),0))</f>
        <v/>
      </c>
      <c r="AG147" t="str">
        <f>IF($A147="","",IF($F147="sell_put","put",IF($F147="sell_call","call",IF($F147="roll",IF($AF147&gt;0,IF($AF147&gt;0,INDEX($AG$9:$AG$146,$AF147),""),""),IF($AF147&gt;0,IF($AF147&gt;0,INDEX($AG$9:$AG$146,$AF147),""),"")))))</f>
        <v/>
      </c>
      <c r="AH147" t="str">
        <f>IF($A147="","",IF(OR($F147="sell_put",$F147="sell_call",$F147="roll"),$I147,IF($AF147&gt;0,IF($AF147&gt;0,INDEX($AH$9:$AH$146,$AF147),0),0)))</f>
        <v/>
      </c>
      <c r="AI147" s="51" t="str">
        <f t="shared" si="43"/>
        <v/>
      </c>
      <c r="AJ147" s="51" t="str">
        <f>IF($A147="","",IFERROR(LOOKUP(2,1/($B$9:$B$146=$B147),$AM$9:$AM146),0))</f>
        <v/>
      </c>
      <c r="AK147" t="str">
        <f>IF($A147="","",IFERROR(LOOKUP(2,1/($B$9:$B$146=$B147),$AN$9:$AN146),0))</f>
        <v/>
      </c>
      <c r="AL147" s="51" t="str">
        <f t="shared" si="44"/>
        <v/>
      </c>
      <c r="AM147" s="51" t="str">
        <f t="shared" si="45"/>
        <v/>
      </c>
      <c r="AN147" t="str">
        <f t="shared" si="46"/>
        <v/>
      </c>
      <c r="AO147" s="50" t="str">
        <f>IF($A147="","",IFERROR(LOOKUP(2,1/($B$9:$B$146=$B147),$AO$9:$AO146),0)+IF($F147="sell_put",$I147*$AE147*$D147,IF($F147="roll",IF($AG147="put",($I147-IF($AF147&gt;0,INDEX($AH$9:$AH$146,$AF147),0))*$AE147*$D147,0),IF(AND(OR($F147="buy_to_close",$F147="expire",$F147="roll",$F147="assignment",$F147="called_away"),$F147&lt;&gt;"roll",$AG147="put"),-IF($AF147&gt;0,INDEX($AH$9:$AH$146,$AF147),0)*$AE147*$D147,0))))</f>
        <v/>
      </c>
      <c r="AP147" s="51" t="str">
        <f>IF($A147="","",IFERROR(LOOKUP(2,1/($B$9:$B$146=$B147),$AP$9:$AP146),0)+IF($F147="sell_put",$AE147*$D147,IF(AND(OR($F147="buy_to_close",$F147="expire",$F147="roll",$F147="assignment",$F147="called_away"),$F147&lt;&gt;"roll",$AG147="put"),-$AE147*$D147,0)))</f>
        <v/>
      </c>
      <c r="AQ147" s="51" t="str">
        <f>IF($A147="","",IFERROR(LOOKUP(2,1/($B$9:$B$146=$B147),$AQ$9:$AQ146),0)+IF(OR($F147="sell_put",$F147="sell_call"),$AE147,0)-IF(AND(OR($F147="buy_to_close",$F147="expire",$F147="roll",$F147="assignment",$F147="called_away"),$F147&lt;&gt;"roll"),$AE147,0))</f>
        <v/>
      </c>
      <c r="AR147" t="str">
        <f t="shared" si="47"/>
        <v/>
      </c>
      <c r="AS147" s="50" t="str">
        <f t="shared" si="48"/>
        <v/>
      </c>
      <c r="AT147" s="50" t="str">
        <f>IF($A147="","",MAX(IF($T147=IFERROR(LOOKUP(2,1/($B$9:$B$146=$B147),$T$9:$T146),0),IFERROR(LOOKUP(2,1/($B$9:$B$146=$B147),$AT$9:$AT146),0),0),$AS147))</f>
        <v/>
      </c>
      <c r="AU147" t="str">
        <f t="shared" si="49"/>
        <v/>
      </c>
      <c r="AV147" s="51">
        <f>IF($AU147="",0,IF(AND(IFERROR(LOOKUP(2,1/($B$9:$B$146=$B147),$AR$9:$AR146),1),NOT(AND(OR($F147="dividend",$F147="fee"),IFERROR(LOOKUP(2,1/($B$9:$B$146=$B147),$T$9:$T146),0)&gt;0))),ROW(),0))</f>
        <v>0</v>
      </c>
      <c r="AW147">
        <f>IF($A147="",0,IF($AV147&gt;0,MAX($AW$9:$AW$146)+1,MAX($AW$9:$AW$146)))</f>
        <v>0</v>
      </c>
      <c r="AX147">
        <f>IF($AU147="",0,IF(AND($AR147,OR(NOT(IFERROR(LOOKUP(2,1/($B$9:$B$146=$B147),$AR$9:$AR146),1)),IFERROR(LOOKUP(2,1/($B$9:$B$146=$B147),$T$9:$T146),0)=0)),ROW(),0))</f>
        <v>0</v>
      </c>
      <c r="AY147" t="str">
        <f t="shared" si="50"/>
        <v/>
      </c>
    </row>
    <row r="148" spans="1:51" ht="15" x14ac:dyDescent="0.25">
      <c r="A148" s="52" t="str">
        <f>IF(Trades!$A148="","",Trades!O148)</f>
        <v/>
      </c>
      <c r="B148" s="52" t="str">
        <f>IF(Trades!$A148="","",Trades!B148)</f>
        <v/>
      </c>
      <c r="C148" s="52" t="str">
        <f>IF(Trades!$A148="","",Trades!C148)</f>
        <v/>
      </c>
      <c r="D148" s="53" t="str">
        <f>IF(Trades!$A148="","",IF(Trades!$L148&gt;0,Trades!$L148,Trades!$C$6))</f>
        <v/>
      </c>
      <c r="E148" s="54" t="str">
        <f>IF(Trades!$A148="","",Trades!A148)</f>
        <v/>
      </c>
      <c r="F148" s="52" t="str">
        <f>IF(Trades!$A148="","",IFERROR(INDEX(Trades!$V$2:$V$14,MATCH(Trades!$E148,Trades!$U$2:$U$14,0)),""))</f>
        <v/>
      </c>
      <c r="G148" s="52" t="str">
        <f>IF(Trades!$A148="","",Trades!N148)</f>
        <v/>
      </c>
      <c r="H148" s="53" t="str">
        <f>IF(Trades!$A148="","",Trades!F148)</f>
        <v/>
      </c>
      <c r="I148" s="55" t="str">
        <f>IF(Trades!$A148="","",Trades!G148)</f>
        <v/>
      </c>
      <c r="J148" s="55" t="str">
        <f>IF(Trades!$A148="","",Trades!I148)</f>
        <v/>
      </c>
      <c r="K148" s="55" t="str">
        <f>IF(Trades!$A148="","",Trades!Q148)</f>
        <v/>
      </c>
      <c r="L148" s="53" t="str">
        <f>IF(Trades!$A148="","",Trades!F148)</f>
        <v/>
      </c>
      <c r="M148" s="55" t="str">
        <f>IF(Trades!$A148="","",Trades!M148)</f>
        <v/>
      </c>
      <c r="N148" s="55" t="str">
        <f>IF(Trades!$A148="","",Trades!R148)</f>
        <v/>
      </c>
      <c r="O148" s="55" t="str">
        <f>IF(Trades!$A148="","",Trades!J148)</f>
        <v/>
      </c>
      <c r="P148" s="54" t="str">
        <f>IF(Trades!$A148="","",Trades!H148)</f>
        <v/>
      </c>
      <c r="Q148" s="52" t="str">
        <f>IF(Trades!$A148="","",Trades!P148)</f>
        <v/>
      </c>
      <c r="R148" s="56" t="str">
        <f t="shared" si="34"/>
        <v/>
      </c>
      <c r="S148" s="56" t="str">
        <f t="shared" si="35"/>
        <v/>
      </c>
      <c r="T148" s="57" t="str">
        <f>IF(OR($A148="",$B148=""),"",IF(AND(IFERROR(LOOKUP(2,1/($B$9:$B$147=$B148),$AR$9:$AR147),1),NOT(AND(OR($F148="dividend",$F148="fee"),IFERROR(LOOKUP(2,1/($B$9:$B$147=$B148),$T$9:$T147),0)&gt;0))),IFERROR(LOOKUP(2,1/($B$9:$B$147=$B148),$T$9:$T147),0)+1,IFERROR(LOOKUP(2,1/($B$9:$B$147=$B148),$T$9:$T147),0)))</f>
        <v/>
      </c>
      <c r="U148" s="58" t="str">
        <f t="shared" si="36"/>
        <v/>
      </c>
      <c r="V148" s="58" t="str">
        <f>IF($A148="","",IF(OR($B148="",$C148="",$D148="",$E148="",$F148=""),"Missing required field",IF(COUNTIFS($A$9:$A148,$A148,$B$9:$B148,$B148)&gt;1,"Duplicate event ID",IF(AND($E148&lt;&gt;IFERROR(LOOKUP(2,1/($B$9:$B$147=$B148),$E$9:$E147),0),IFERROR(LOOKUP(2,1/($B$9:$B$147=$B148),$E$9:$E147),0)&gt;$E148),"Date out of order",IF(AND(OR($F148="buy_to_close",$F148="expire",$F148="roll",$F148="assignment",$F148="called_away"),$AF148=0),"Unknown lot",IF(OR(AND($F148="assignment",$AF148&gt;0,IF($AF148&gt;0,INDEX($AG$9:$AG$147,$AF148),"")&lt;&gt;"put"),AND($F148="called_away",$AF148&gt;0,IF($AF148&gt;0,INDEX($AG$9:$AG$147,$AF148),"")&lt;&gt;"call")),"Wrong option leg",IF(OR(AND(OR($F148="sell_put",$F148="sell_call"),OR($H148&lt;=0,$I148&lt;=0,$J148&lt;0)),AND(OR($F148="buy_to_close",$F148="expire",$F148="assignment",$F148="called_away"),OR($H148&lt;=0,$J148&lt;0)),AND($F148="roll",OR($H148&lt;=0,$I148&lt;=0,$J148&lt;0,$K148&lt;0)),AND(OR($F148="buy_shares",$F148="sell_shares"),OR($L148&lt;=0,$M148&lt;0)),AND(OR($F148="dividend",$F148="fee"),$N148&lt;0)),"Invalid value",IF(AND(OR($F148="sell_shares",$F148="called_away"),$AL148&lt;IF($F148="called_away",$AE148*$D148,$L148)),"Insufficient shares (capped)",IF(AND(OR($F148="buy_to_close",$F148="expire",$F148="roll",$F148="assignment",$F148="called_away"),$AF148&gt;0,$H148&gt;IF($AF148&gt;0,MAX(0,INDEX($AI$9:$AI$147,$AF148)-SUMIFS($AE$9:$AE$147,$G$9:$G$147,$G148,$B$9:$B$147,$B148)),0)),"Close quantity capped","OK")))))))))</f>
        <v/>
      </c>
      <c r="W148" s="59" t="str">
        <f t="shared" si="37"/>
        <v/>
      </c>
      <c r="X148" s="60" t="str">
        <f t="shared" si="38"/>
        <v/>
      </c>
      <c r="Y148" s="50" t="str">
        <f t="shared" si="39"/>
        <v/>
      </c>
      <c r="Z148" s="50" t="str">
        <f t="shared" si="40"/>
        <v/>
      </c>
      <c r="AA148" s="50" t="str">
        <f t="shared" si="41"/>
        <v/>
      </c>
      <c r="AB148" s="50" t="str">
        <f t="shared" si="42"/>
        <v/>
      </c>
      <c r="AC148" s="50" t="str">
        <f>IF($A148="","",IF($F148="assignment",IF($AF148&gt;0,INDEX($AH$9:$AH$147,$AF148),0)*$AE148*$D148,IF($F148="buy_shares",$M148*$AL148,0)))</f>
        <v/>
      </c>
      <c r="AD148" s="50" t="str">
        <f>IF($A148="","",IF($F148="called_away",IF($AF148&gt;0,INDEX($AH$9:$AH$147,$AF148),0)*$AL148,IF($F148="sell_shares",$M148*$AL148,0)))</f>
        <v/>
      </c>
      <c r="AE148" s="51" t="str">
        <f>IF($A148="","",IF(OR($F148="sell_put",$F148="sell_call"),IF(AND($H148&gt;0,$I148&gt;0,$J148&gt;=0),$H148,0),IF(OR($F148="buy_to_close",$F148="expire",$F148="roll",$F148="assignment",$F148="called_away"),IF(AND($AF148&gt;0,$H148&gt;0,IF($F148="assignment",IF($AF148&gt;0,INDEX($AG$9:$AG$147,$AF148),"")="put",TRUE),IF($F148="called_away",IF($AF148&gt;0,INDEX($AG$9:$AG$147,$AF148),"")="call",TRUE)),MIN($H148,IF($AF148&gt;0,MAX(0,INDEX($AI$9:$AI$147,$AF148)-SUMIFS($AE$9:$AE$147,$G$9:$G$147,$G148,$B$9:$B$147,$B148)),0)),0),0)))</f>
        <v/>
      </c>
      <c r="AF148" t="str">
        <f>IF($A148="","",IFERROR(MATCH(LEN($B148)&amp;":"&amp;$B148&amp;$G148,$AY$9:$AY$147,0),0))</f>
        <v/>
      </c>
      <c r="AG148" t="str">
        <f>IF($A148="","",IF($F148="sell_put","put",IF($F148="sell_call","call",IF($F148="roll",IF($AF148&gt;0,IF($AF148&gt;0,INDEX($AG$9:$AG$147,$AF148),""),""),IF($AF148&gt;0,IF($AF148&gt;0,INDEX($AG$9:$AG$147,$AF148),""),"")))))</f>
        <v/>
      </c>
      <c r="AH148" t="str">
        <f>IF($A148="","",IF(OR($F148="sell_put",$F148="sell_call",$F148="roll"),$I148,IF($AF148&gt;0,IF($AF148&gt;0,INDEX($AH$9:$AH$147,$AF148),0),0)))</f>
        <v/>
      </c>
      <c r="AI148" s="51" t="str">
        <f t="shared" si="43"/>
        <v/>
      </c>
      <c r="AJ148" s="51" t="str">
        <f>IF($A148="","",IFERROR(LOOKUP(2,1/($B$9:$B$147=$B148),$AM$9:$AM147),0))</f>
        <v/>
      </c>
      <c r="AK148" t="str">
        <f>IF($A148="","",IFERROR(LOOKUP(2,1/($B$9:$B$147=$B148),$AN$9:$AN147),0))</f>
        <v/>
      </c>
      <c r="AL148" s="51" t="str">
        <f t="shared" si="44"/>
        <v/>
      </c>
      <c r="AM148" s="51" t="str">
        <f t="shared" si="45"/>
        <v/>
      </c>
      <c r="AN148" t="str">
        <f t="shared" si="46"/>
        <v/>
      </c>
      <c r="AO148" s="50" t="str">
        <f>IF($A148="","",IFERROR(LOOKUP(2,1/($B$9:$B$147=$B148),$AO$9:$AO147),0)+IF($F148="sell_put",$I148*$AE148*$D148,IF($F148="roll",IF($AG148="put",($I148-IF($AF148&gt;0,INDEX($AH$9:$AH$147,$AF148),0))*$AE148*$D148,0),IF(AND(OR($F148="buy_to_close",$F148="expire",$F148="roll",$F148="assignment",$F148="called_away"),$F148&lt;&gt;"roll",$AG148="put"),-IF($AF148&gt;0,INDEX($AH$9:$AH$147,$AF148),0)*$AE148*$D148,0))))</f>
        <v/>
      </c>
      <c r="AP148" s="51" t="str">
        <f>IF($A148="","",IFERROR(LOOKUP(2,1/($B$9:$B$147=$B148),$AP$9:$AP147),0)+IF($F148="sell_put",$AE148*$D148,IF(AND(OR($F148="buy_to_close",$F148="expire",$F148="roll",$F148="assignment",$F148="called_away"),$F148&lt;&gt;"roll",$AG148="put"),-$AE148*$D148,0)))</f>
        <v/>
      </c>
      <c r="AQ148" s="51" t="str">
        <f>IF($A148="","",IFERROR(LOOKUP(2,1/($B$9:$B$147=$B148),$AQ$9:$AQ147),0)+IF(OR($F148="sell_put",$F148="sell_call"),$AE148,0)-IF(AND(OR($F148="buy_to_close",$F148="expire",$F148="roll",$F148="assignment",$F148="called_away"),$F148&lt;&gt;"roll"),$AE148,0))</f>
        <v/>
      </c>
      <c r="AR148" t="str">
        <f t="shared" si="47"/>
        <v/>
      </c>
      <c r="AS148" s="50" t="str">
        <f t="shared" si="48"/>
        <v/>
      </c>
      <c r="AT148" s="50" t="str">
        <f>IF($A148="","",MAX(IF($T148=IFERROR(LOOKUP(2,1/($B$9:$B$147=$B148),$T$9:$T147),0),IFERROR(LOOKUP(2,1/($B$9:$B$147=$B148),$AT$9:$AT147),0),0),$AS148))</f>
        <v/>
      </c>
      <c r="AU148" t="str">
        <f t="shared" si="49"/>
        <v/>
      </c>
      <c r="AV148" s="51">
        <f>IF($AU148="",0,IF(AND(IFERROR(LOOKUP(2,1/($B$9:$B$147=$B148),$AR$9:$AR147),1),NOT(AND(OR($F148="dividend",$F148="fee"),IFERROR(LOOKUP(2,1/($B$9:$B$147=$B148),$T$9:$T147),0)&gt;0))),ROW(),0))</f>
        <v>0</v>
      </c>
      <c r="AW148">
        <f>IF($A148="",0,IF($AV148&gt;0,MAX($AW$9:$AW$147)+1,MAX($AW$9:$AW$147)))</f>
        <v>0</v>
      </c>
      <c r="AX148">
        <f>IF($AU148="",0,IF(AND($AR148,OR(NOT(IFERROR(LOOKUP(2,1/($B$9:$B$147=$B148),$AR$9:$AR147),1)),IFERROR(LOOKUP(2,1/($B$9:$B$147=$B148),$T$9:$T147),0)=0)),ROW(),0))</f>
        <v>0</v>
      </c>
      <c r="AY148" t="str">
        <f t="shared" si="50"/>
        <v/>
      </c>
    </row>
    <row r="149" spans="1:51" ht="15" x14ac:dyDescent="0.25">
      <c r="A149" s="41" t="str">
        <f>IF(Trades!$A149="","",Trades!O149)</f>
        <v/>
      </c>
      <c r="B149" s="41" t="str">
        <f>IF(Trades!$A149="","",Trades!B149)</f>
        <v/>
      </c>
      <c r="C149" s="41" t="str">
        <f>IF(Trades!$A149="","",Trades!C149)</f>
        <v/>
      </c>
      <c r="D149" s="42" t="str">
        <f>IF(Trades!$A149="","",IF(Trades!$L149&gt;0,Trades!$L149,Trades!$C$6))</f>
        <v/>
      </c>
      <c r="E149" s="43" t="str">
        <f>IF(Trades!$A149="","",Trades!A149)</f>
        <v/>
      </c>
      <c r="F149" s="41" t="str">
        <f>IF(Trades!$A149="","",IFERROR(INDEX(Trades!$V$2:$V$14,MATCH(Trades!$E149,Trades!$U$2:$U$14,0)),""))</f>
        <v/>
      </c>
      <c r="G149" s="41" t="str">
        <f>IF(Trades!$A149="","",Trades!N149)</f>
        <v/>
      </c>
      <c r="H149" s="42" t="str">
        <f>IF(Trades!$A149="","",Trades!F149)</f>
        <v/>
      </c>
      <c r="I149" s="44" t="str">
        <f>IF(Trades!$A149="","",Trades!G149)</f>
        <v/>
      </c>
      <c r="J149" s="44" t="str">
        <f>IF(Trades!$A149="","",Trades!I149)</f>
        <v/>
      </c>
      <c r="K149" s="44" t="str">
        <f>IF(Trades!$A149="","",Trades!Q149)</f>
        <v/>
      </c>
      <c r="L149" s="42" t="str">
        <f>IF(Trades!$A149="","",Trades!F149)</f>
        <v/>
      </c>
      <c r="M149" s="44" t="str">
        <f>IF(Trades!$A149="","",Trades!M149)</f>
        <v/>
      </c>
      <c r="N149" s="44" t="str">
        <f>IF(Trades!$A149="","",Trades!R149)</f>
        <v/>
      </c>
      <c r="O149" s="44" t="str">
        <f>IF(Trades!$A149="","",Trades!J149)</f>
        <v/>
      </c>
      <c r="P149" s="43" t="str">
        <f>IF(Trades!$A149="","",Trades!H149)</f>
        <v/>
      </c>
      <c r="Q149" s="41" t="str">
        <f>IF(Trades!$A149="","",Trades!P149)</f>
        <v/>
      </c>
      <c r="R149" s="45" t="str">
        <f t="shared" si="34"/>
        <v/>
      </c>
      <c r="S149" s="45" t="str">
        <f t="shared" si="35"/>
        <v/>
      </c>
      <c r="T149" s="46" t="str">
        <f>IF(OR($A149="",$B149=""),"",IF(AND(IFERROR(LOOKUP(2,1/($B$9:$B$148=$B149),$AR$9:$AR148),1),NOT(AND(OR($F149="dividend",$F149="fee"),IFERROR(LOOKUP(2,1/($B$9:$B$148=$B149),$T$9:$T148),0)&gt;0))),IFERROR(LOOKUP(2,1/($B$9:$B$148=$B149),$T$9:$T148),0)+1,IFERROR(LOOKUP(2,1/($B$9:$B$148=$B149),$T$9:$T148),0)))</f>
        <v/>
      </c>
      <c r="U149" s="47" t="str">
        <f t="shared" si="36"/>
        <v/>
      </c>
      <c r="V149" s="47" t="str">
        <f>IF($A149="","",IF(OR($B149="",$C149="",$D149="",$E149="",$F149=""),"Missing required field",IF(COUNTIFS($A$9:$A149,$A149,$B$9:$B149,$B149)&gt;1,"Duplicate event ID",IF(AND($E149&lt;&gt;IFERROR(LOOKUP(2,1/($B$9:$B$148=$B149),$E$9:$E148),0),IFERROR(LOOKUP(2,1/($B$9:$B$148=$B149),$E$9:$E148),0)&gt;$E149),"Date out of order",IF(AND(OR($F149="buy_to_close",$F149="expire",$F149="roll",$F149="assignment",$F149="called_away"),$AF149=0),"Unknown lot",IF(OR(AND($F149="assignment",$AF149&gt;0,IF($AF149&gt;0,INDEX($AG$9:$AG$148,$AF149),"")&lt;&gt;"put"),AND($F149="called_away",$AF149&gt;0,IF($AF149&gt;0,INDEX($AG$9:$AG$148,$AF149),"")&lt;&gt;"call")),"Wrong option leg",IF(OR(AND(OR($F149="sell_put",$F149="sell_call"),OR($H149&lt;=0,$I149&lt;=0,$J149&lt;0)),AND(OR($F149="buy_to_close",$F149="expire",$F149="assignment",$F149="called_away"),OR($H149&lt;=0,$J149&lt;0)),AND($F149="roll",OR($H149&lt;=0,$I149&lt;=0,$J149&lt;0,$K149&lt;0)),AND(OR($F149="buy_shares",$F149="sell_shares"),OR($L149&lt;=0,$M149&lt;0)),AND(OR($F149="dividend",$F149="fee"),$N149&lt;0)),"Invalid value",IF(AND(OR($F149="sell_shares",$F149="called_away"),$AL149&lt;IF($F149="called_away",$AE149*$D149,$L149)),"Insufficient shares (capped)",IF(AND(OR($F149="buy_to_close",$F149="expire",$F149="roll",$F149="assignment",$F149="called_away"),$AF149&gt;0,$H149&gt;IF($AF149&gt;0,MAX(0,INDEX($AI$9:$AI$148,$AF149)-SUMIFS($AE$9:$AE$148,$G$9:$G$148,$G149,$B$9:$B$148,$B149)),0)),"Close quantity capped","OK")))))))))</f>
        <v/>
      </c>
      <c r="W149" s="48" t="str">
        <f t="shared" si="37"/>
        <v/>
      </c>
      <c r="X149" s="49" t="str">
        <f t="shared" si="38"/>
        <v/>
      </c>
      <c r="Y149" s="50" t="str">
        <f t="shared" si="39"/>
        <v/>
      </c>
      <c r="Z149" s="50" t="str">
        <f t="shared" si="40"/>
        <v/>
      </c>
      <c r="AA149" s="50" t="str">
        <f t="shared" si="41"/>
        <v/>
      </c>
      <c r="AB149" s="50" t="str">
        <f t="shared" si="42"/>
        <v/>
      </c>
      <c r="AC149" s="50" t="str">
        <f>IF($A149="","",IF($F149="assignment",IF($AF149&gt;0,INDEX($AH$9:$AH$148,$AF149),0)*$AE149*$D149,IF($F149="buy_shares",$M149*$AL149,0)))</f>
        <v/>
      </c>
      <c r="AD149" s="50" t="str">
        <f>IF($A149="","",IF($F149="called_away",IF($AF149&gt;0,INDEX($AH$9:$AH$148,$AF149),0)*$AL149,IF($F149="sell_shares",$M149*$AL149,0)))</f>
        <v/>
      </c>
      <c r="AE149" s="51" t="str">
        <f>IF($A149="","",IF(OR($F149="sell_put",$F149="sell_call"),IF(AND($H149&gt;0,$I149&gt;0,$J149&gt;=0),$H149,0),IF(OR($F149="buy_to_close",$F149="expire",$F149="roll",$F149="assignment",$F149="called_away"),IF(AND($AF149&gt;0,$H149&gt;0,IF($F149="assignment",IF($AF149&gt;0,INDEX($AG$9:$AG$148,$AF149),"")="put",TRUE),IF($F149="called_away",IF($AF149&gt;0,INDEX($AG$9:$AG$148,$AF149),"")="call",TRUE)),MIN($H149,IF($AF149&gt;0,MAX(0,INDEX($AI$9:$AI$148,$AF149)-SUMIFS($AE$9:$AE$148,$G$9:$G$148,$G149,$B$9:$B$148,$B149)),0)),0),0)))</f>
        <v/>
      </c>
      <c r="AF149" t="str">
        <f>IF($A149="","",IFERROR(MATCH(LEN($B149)&amp;":"&amp;$B149&amp;$G149,$AY$9:$AY$148,0),0))</f>
        <v/>
      </c>
      <c r="AG149" t="str">
        <f>IF($A149="","",IF($F149="sell_put","put",IF($F149="sell_call","call",IF($F149="roll",IF($AF149&gt;0,IF($AF149&gt;0,INDEX($AG$9:$AG$148,$AF149),""),""),IF($AF149&gt;0,IF($AF149&gt;0,INDEX($AG$9:$AG$148,$AF149),""),"")))))</f>
        <v/>
      </c>
      <c r="AH149" t="str">
        <f>IF($A149="","",IF(OR($F149="sell_put",$F149="sell_call",$F149="roll"),$I149,IF($AF149&gt;0,IF($AF149&gt;0,INDEX($AH$9:$AH$148,$AF149),0),0)))</f>
        <v/>
      </c>
      <c r="AI149" s="51" t="str">
        <f t="shared" si="43"/>
        <v/>
      </c>
      <c r="AJ149" s="51" t="str">
        <f>IF($A149="","",IFERROR(LOOKUP(2,1/($B$9:$B$148=$B149),$AM$9:$AM148),0))</f>
        <v/>
      </c>
      <c r="AK149" t="str">
        <f>IF($A149="","",IFERROR(LOOKUP(2,1/($B$9:$B$148=$B149),$AN$9:$AN148),0))</f>
        <v/>
      </c>
      <c r="AL149" s="51" t="str">
        <f t="shared" si="44"/>
        <v/>
      </c>
      <c r="AM149" s="51" t="str">
        <f t="shared" si="45"/>
        <v/>
      </c>
      <c r="AN149" t="str">
        <f t="shared" si="46"/>
        <v/>
      </c>
      <c r="AO149" s="50" t="str">
        <f>IF($A149="","",IFERROR(LOOKUP(2,1/($B$9:$B$148=$B149),$AO$9:$AO148),0)+IF($F149="sell_put",$I149*$AE149*$D149,IF($F149="roll",IF($AG149="put",($I149-IF($AF149&gt;0,INDEX($AH$9:$AH$148,$AF149),0))*$AE149*$D149,0),IF(AND(OR($F149="buy_to_close",$F149="expire",$F149="roll",$F149="assignment",$F149="called_away"),$F149&lt;&gt;"roll",$AG149="put"),-IF($AF149&gt;0,INDEX($AH$9:$AH$148,$AF149),0)*$AE149*$D149,0))))</f>
        <v/>
      </c>
      <c r="AP149" s="51" t="str">
        <f>IF($A149="","",IFERROR(LOOKUP(2,1/($B$9:$B$148=$B149),$AP$9:$AP148),0)+IF($F149="sell_put",$AE149*$D149,IF(AND(OR($F149="buy_to_close",$F149="expire",$F149="roll",$F149="assignment",$F149="called_away"),$F149&lt;&gt;"roll",$AG149="put"),-$AE149*$D149,0)))</f>
        <v/>
      </c>
      <c r="AQ149" s="51" t="str">
        <f>IF($A149="","",IFERROR(LOOKUP(2,1/($B$9:$B$148=$B149),$AQ$9:$AQ148),0)+IF(OR($F149="sell_put",$F149="sell_call"),$AE149,0)-IF(AND(OR($F149="buy_to_close",$F149="expire",$F149="roll",$F149="assignment",$F149="called_away"),$F149&lt;&gt;"roll"),$AE149,0))</f>
        <v/>
      </c>
      <c r="AR149" t="str">
        <f t="shared" si="47"/>
        <v/>
      </c>
      <c r="AS149" s="50" t="str">
        <f t="shared" si="48"/>
        <v/>
      </c>
      <c r="AT149" s="50" t="str">
        <f>IF($A149="","",MAX(IF($T149=IFERROR(LOOKUP(2,1/($B$9:$B$148=$B149),$T$9:$T148),0),IFERROR(LOOKUP(2,1/($B$9:$B$148=$B149),$AT$9:$AT148),0),0),$AS149))</f>
        <v/>
      </c>
      <c r="AU149" t="str">
        <f t="shared" si="49"/>
        <v/>
      </c>
      <c r="AV149" s="51">
        <f>IF($AU149="",0,IF(AND(IFERROR(LOOKUP(2,1/($B$9:$B$148=$B149),$AR$9:$AR148),1),NOT(AND(OR($F149="dividend",$F149="fee"),IFERROR(LOOKUP(2,1/($B$9:$B$148=$B149),$T$9:$T148),0)&gt;0))),ROW(),0))</f>
        <v>0</v>
      </c>
      <c r="AW149">
        <f>IF($A149="",0,IF($AV149&gt;0,MAX($AW$9:$AW$148)+1,MAX($AW$9:$AW$148)))</f>
        <v>0</v>
      </c>
      <c r="AX149">
        <f>IF($AU149="",0,IF(AND($AR149,OR(NOT(IFERROR(LOOKUP(2,1/($B$9:$B$148=$B149),$AR$9:$AR148),1)),IFERROR(LOOKUP(2,1/($B$9:$B$148=$B149),$T$9:$T148),0)=0)),ROW(),0))</f>
        <v>0</v>
      </c>
      <c r="AY149" t="str">
        <f t="shared" si="50"/>
        <v/>
      </c>
    </row>
    <row r="150" spans="1:51" ht="15" x14ac:dyDescent="0.25">
      <c r="A150" s="52" t="str">
        <f>IF(Trades!$A150="","",Trades!O150)</f>
        <v/>
      </c>
      <c r="B150" s="52" t="str">
        <f>IF(Trades!$A150="","",Trades!B150)</f>
        <v/>
      </c>
      <c r="C150" s="52" t="str">
        <f>IF(Trades!$A150="","",Trades!C150)</f>
        <v/>
      </c>
      <c r="D150" s="53" t="str">
        <f>IF(Trades!$A150="","",IF(Trades!$L150&gt;0,Trades!$L150,Trades!$C$6))</f>
        <v/>
      </c>
      <c r="E150" s="54" t="str">
        <f>IF(Trades!$A150="","",Trades!A150)</f>
        <v/>
      </c>
      <c r="F150" s="52" t="str">
        <f>IF(Trades!$A150="","",IFERROR(INDEX(Trades!$V$2:$V$14,MATCH(Trades!$E150,Trades!$U$2:$U$14,0)),""))</f>
        <v/>
      </c>
      <c r="G150" s="52" t="str">
        <f>IF(Trades!$A150="","",Trades!N150)</f>
        <v/>
      </c>
      <c r="H150" s="53" t="str">
        <f>IF(Trades!$A150="","",Trades!F150)</f>
        <v/>
      </c>
      <c r="I150" s="55" t="str">
        <f>IF(Trades!$A150="","",Trades!G150)</f>
        <v/>
      </c>
      <c r="J150" s="55" t="str">
        <f>IF(Trades!$A150="","",Trades!I150)</f>
        <v/>
      </c>
      <c r="K150" s="55" t="str">
        <f>IF(Trades!$A150="","",Trades!Q150)</f>
        <v/>
      </c>
      <c r="L150" s="53" t="str">
        <f>IF(Trades!$A150="","",Trades!F150)</f>
        <v/>
      </c>
      <c r="M150" s="55" t="str">
        <f>IF(Trades!$A150="","",Trades!M150)</f>
        <v/>
      </c>
      <c r="N150" s="55" t="str">
        <f>IF(Trades!$A150="","",Trades!R150)</f>
        <v/>
      </c>
      <c r="O150" s="55" t="str">
        <f>IF(Trades!$A150="","",Trades!J150)</f>
        <v/>
      </c>
      <c r="P150" s="54" t="str">
        <f>IF(Trades!$A150="","",Trades!H150)</f>
        <v/>
      </c>
      <c r="Q150" s="52" t="str">
        <f>IF(Trades!$A150="","",Trades!P150)</f>
        <v/>
      </c>
      <c r="R150" s="56" t="str">
        <f t="shared" si="34"/>
        <v/>
      </c>
      <c r="S150" s="56" t="str">
        <f t="shared" si="35"/>
        <v/>
      </c>
      <c r="T150" s="57" t="str">
        <f>IF(OR($A150="",$B150=""),"",IF(AND(IFERROR(LOOKUP(2,1/($B$9:$B$149=$B150),$AR$9:$AR149),1),NOT(AND(OR($F150="dividend",$F150="fee"),IFERROR(LOOKUP(2,1/($B$9:$B$149=$B150),$T$9:$T149),0)&gt;0))),IFERROR(LOOKUP(2,1/($B$9:$B$149=$B150),$T$9:$T149),0)+1,IFERROR(LOOKUP(2,1/($B$9:$B$149=$B150),$T$9:$T149),0)))</f>
        <v/>
      </c>
      <c r="U150" s="58" t="str">
        <f t="shared" si="36"/>
        <v/>
      </c>
      <c r="V150" s="58" t="str">
        <f>IF($A150="","",IF(OR($B150="",$C150="",$D150="",$E150="",$F150=""),"Missing required field",IF(COUNTIFS($A$9:$A150,$A150,$B$9:$B150,$B150)&gt;1,"Duplicate event ID",IF(AND($E150&lt;&gt;IFERROR(LOOKUP(2,1/($B$9:$B$149=$B150),$E$9:$E149),0),IFERROR(LOOKUP(2,1/($B$9:$B$149=$B150),$E$9:$E149),0)&gt;$E150),"Date out of order",IF(AND(OR($F150="buy_to_close",$F150="expire",$F150="roll",$F150="assignment",$F150="called_away"),$AF150=0),"Unknown lot",IF(OR(AND($F150="assignment",$AF150&gt;0,IF($AF150&gt;0,INDEX($AG$9:$AG$149,$AF150),"")&lt;&gt;"put"),AND($F150="called_away",$AF150&gt;0,IF($AF150&gt;0,INDEX($AG$9:$AG$149,$AF150),"")&lt;&gt;"call")),"Wrong option leg",IF(OR(AND(OR($F150="sell_put",$F150="sell_call"),OR($H150&lt;=0,$I150&lt;=0,$J150&lt;0)),AND(OR($F150="buy_to_close",$F150="expire",$F150="assignment",$F150="called_away"),OR($H150&lt;=0,$J150&lt;0)),AND($F150="roll",OR($H150&lt;=0,$I150&lt;=0,$J150&lt;0,$K150&lt;0)),AND(OR($F150="buy_shares",$F150="sell_shares"),OR($L150&lt;=0,$M150&lt;0)),AND(OR($F150="dividend",$F150="fee"),$N150&lt;0)),"Invalid value",IF(AND(OR($F150="sell_shares",$F150="called_away"),$AL150&lt;IF($F150="called_away",$AE150*$D150,$L150)),"Insufficient shares (capped)",IF(AND(OR($F150="buy_to_close",$F150="expire",$F150="roll",$F150="assignment",$F150="called_away"),$AF150&gt;0,$H150&gt;IF($AF150&gt;0,MAX(0,INDEX($AI$9:$AI$149,$AF150)-SUMIFS($AE$9:$AE$149,$G$9:$G$149,$G150,$B$9:$B$149,$B150)),0)),"Close quantity capped","OK")))))))))</f>
        <v/>
      </c>
      <c r="W150" s="59" t="str">
        <f t="shared" si="37"/>
        <v/>
      </c>
      <c r="X150" s="60" t="str">
        <f t="shared" si="38"/>
        <v/>
      </c>
      <c r="Y150" s="50" t="str">
        <f t="shared" si="39"/>
        <v/>
      </c>
      <c r="Z150" s="50" t="str">
        <f t="shared" si="40"/>
        <v/>
      </c>
      <c r="AA150" s="50" t="str">
        <f t="shared" si="41"/>
        <v/>
      </c>
      <c r="AB150" s="50" t="str">
        <f t="shared" si="42"/>
        <v/>
      </c>
      <c r="AC150" s="50" t="str">
        <f>IF($A150="","",IF($F150="assignment",IF($AF150&gt;0,INDEX($AH$9:$AH$149,$AF150),0)*$AE150*$D150,IF($F150="buy_shares",$M150*$AL150,0)))</f>
        <v/>
      </c>
      <c r="AD150" s="50" t="str">
        <f>IF($A150="","",IF($F150="called_away",IF($AF150&gt;0,INDEX($AH$9:$AH$149,$AF150),0)*$AL150,IF($F150="sell_shares",$M150*$AL150,0)))</f>
        <v/>
      </c>
      <c r="AE150" s="51" t="str">
        <f>IF($A150="","",IF(OR($F150="sell_put",$F150="sell_call"),IF(AND($H150&gt;0,$I150&gt;0,$J150&gt;=0),$H150,0),IF(OR($F150="buy_to_close",$F150="expire",$F150="roll",$F150="assignment",$F150="called_away"),IF(AND($AF150&gt;0,$H150&gt;0,IF($F150="assignment",IF($AF150&gt;0,INDEX($AG$9:$AG$149,$AF150),"")="put",TRUE),IF($F150="called_away",IF($AF150&gt;0,INDEX($AG$9:$AG$149,$AF150),"")="call",TRUE)),MIN($H150,IF($AF150&gt;0,MAX(0,INDEX($AI$9:$AI$149,$AF150)-SUMIFS($AE$9:$AE$149,$G$9:$G$149,$G150,$B$9:$B$149,$B150)),0)),0),0)))</f>
        <v/>
      </c>
      <c r="AF150" t="str">
        <f>IF($A150="","",IFERROR(MATCH(LEN($B150)&amp;":"&amp;$B150&amp;$G150,$AY$9:$AY$149,0),0))</f>
        <v/>
      </c>
      <c r="AG150" t="str">
        <f>IF($A150="","",IF($F150="sell_put","put",IF($F150="sell_call","call",IF($F150="roll",IF($AF150&gt;0,IF($AF150&gt;0,INDEX($AG$9:$AG$149,$AF150),""),""),IF($AF150&gt;0,IF($AF150&gt;0,INDEX($AG$9:$AG$149,$AF150),""),"")))))</f>
        <v/>
      </c>
      <c r="AH150" t="str">
        <f>IF($A150="","",IF(OR($F150="sell_put",$F150="sell_call",$F150="roll"),$I150,IF($AF150&gt;0,IF($AF150&gt;0,INDEX($AH$9:$AH$149,$AF150),0),0)))</f>
        <v/>
      </c>
      <c r="AI150" s="51" t="str">
        <f t="shared" si="43"/>
        <v/>
      </c>
      <c r="AJ150" s="51" t="str">
        <f>IF($A150="","",IFERROR(LOOKUP(2,1/($B$9:$B$149=$B150),$AM$9:$AM149),0))</f>
        <v/>
      </c>
      <c r="AK150" t="str">
        <f>IF($A150="","",IFERROR(LOOKUP(2,1/($B$9:$B$149=$B150),$AN$9:$AN149),0))</f>
        <v/>
      </c>
      <c r="AL150" s="51" t="str">
        <f t="shared" si="44"/>
        <v/>
      </c>
      <c r="AM150" s="51" t="str">
        <f t="shared" si="45"/>
        <v/>
      </c>
      <c r="AN150" t="str">
        <f t="shared" si="46"/>
        <v/>
      </c>
      <c r="AO150" s="50" t="str">
        <f>IF($A150="","",IFERROR(LOOKUP(2,1/($B$9:$B$149=$B150),$AO$9:$AO149),0)+IF($F150="sell_put",$I150*$AE150*$D150,IF($F150="roll",IF($AG150="put",($I150-IF($AF150&gt;0,INDEX($AH$9:$AH$149,$AF150),0))*$AE150*$D150,0),IF(AND(OR($F150="buy_to_close",$F150="expire",$F150="roll",$F150="assignment",$F150="called_away"),$F150&lt;&gt;"roll",$AG150="put"),-IF($AF150&gt;0,INDEX($AH$9:$AH$149,$AF150),0)*$AE150*$D150,0))))</f>
        <v/>
      </c>
      <c r="AP150" s="51" t="str">
        <f>IF($A150="","",IFERROR(LOOKUP(2,1/($B$9:$B$149=$B150),$AP$9:$AP149),0)+IF($F150="sell_put",$AE150*$D150,IF(AND(OR($F150="buy_to_close",$F150="expire",$F150="roll",$F150="assignment",$F150="called_away"),$F150&lt;&gt;"roll",$AG150="put"),-$AE150*$D150,0)))</f>
        <v/>
      </c>
      <c r="AQ150" s="51" t="str">
        <f>IF($A150="","",IFERROR(LOOKUP(2,1/($B$9:$B$149=$B150),$AQ$9:$AQ149),0)+IF(OR($F150="sell_put",$F150="sell_call"),$AE150,0)-IF(AND(OR($F150="buy_to_close",$F150="expire",$F150="roll",$F150="assignment",$F150="called_away"),$F150&lt;&gt;"roll"),$AE150,0))</f>
        <v/>
      </c>
      <c r="AR150" t="str">
        <f t="shared" si="47"/>
        <v/>
      </c>
      <c r="AS150" s="50" t="str">
        <f t="shared" si="48"/>
        <v/>
      </c>
      <c r="AT150" s="50" t="str">
        <f>IF($A150="","",MAX(IF($T150=IFERROR(LOOKUP(2,1/($B$9:$B$149=$B150),$T$9:$T149),0),IFERROR(LOOKUP(2,1/($B$9:$B$149=$B150),$AT$9:$AT149),0),0),$AS150))</f>
        <v/>
      </c>
      <c r="AU150" t="str">
        <f t="shared" si="49"/>
        <v/>
      </c>
      <c r="AV150" s="51">
        <f>IF($AU150="",0,IF(AND(IFERROR(LOOKUP(2,1/($B$9:$B$149=$B150),$AR$9:$AR149),1),NOT(AND(OR($F150="dividend",$F150="fee"),IFERROR(LOOKUP(2,1/($B$9:$B$149=$B150),$T$9:$T149),0)&gt;0))),ROW(),0))</f>
        <v>0</v>
      </c>
      <c r="AW150">
        <f>IF($A150="",0,IF($AV150&gt;0,MAX($AW$9:$AW$149)+1,MAX($AW$9:$AW$149)))</f>
        <v>0</v>
      </c>
      <c r="AX150">
        <f>IF($AU150="",0,IF(AND($AR150,OR(NOT(IFERROR(LOOKUP(2,1/($B$9:$B$149=$B150),$AR$9:$AR149),1)),IFERROR(LOOKUP(2,1/($B$9:$B$149=$B150),$T$9:$T149),0)=0)),ROW(),0))</f>
        <v>0</v>
      </c>
      <c r="AY150" t="str">
        <f t="shared" si="50"/>
        <v/>
      </c>
    </row>
    <row r="151" spans="1:51" ht="15" x14ac:dyDescent="0.25">
      <c r="A151" s="41" t="str">
        <f>IF(Trades!$A151="","",Trades!O151)</f>
        <v/>
      </c>
      <c r="B151" s="41" t="str">
        <f>IF(Trades!$A151="","",Trades!B151)</f>
        <v/>
      </c>
      <c r="C151" s="41" t="str">
        <f>IF(Trades!$A151="","",Trades!C151)</f>
        <v/>
      </c>
      <c r="D151" s="42" t="str">
        <f>IF(Trades!$A151="","",IF(Trades!$L151&gt;0,Trades!$L151,Trades!$C$6))</f>
        <v/>
      </c>
      <c r="E151" s="43" t="str">
        <f>IF(Trades!$A151="","",Trades!A151)</f>
        <v/>
      </c>
      <c r="F151" s="41" t="str">
        <f>IF(Trades!$A151="","",IFERROR(INDEX(Trades!$V$2:$V$14,MATCH(Trades!$E151,Trades!$U$2:$U$14,0)),""))</f>
        <v/>
      </c>
      <c r="G151" s="41" t="str">
        <f>IF(Trades!$A151="","",Trades!N151)</f>
        <v/>
      </c>
      <c r="H151" s="42" t="str">
        <f>IF(Trades!$A151="","",Trades!F151)</f>
        <v/>
      </c>
      <c r="I151" s="44" t="str">
        <f>IF(Trades!$A151="","",Trades!G151)</f>
        <v/>
      </c>
      <c r="J151" s="44" t="str">
        <f>IF(Trades!$A151="","",Trades!I151)</f>
        <v/>
      </c>
      <c r="K151" s="44" t="str">
        <f>IF(Trades!$A151="","",Trades!Q151)</f>
        <v/>
      </c>
      <c r="L151" s="42" t="str">
        <f>IF(Trades!$A151="","",Trades!F151)</f>
        <v/>
      </c>
      <c r="M151" s="44" t="str">
        <f>IF(Trades!$A151="","",Trades!M151)</f>
        <v/>
      </c>
      <c r="N151" s="44" t="str">
        <f>IF(Trades!$A151="","",Trades!R151)</f>
        <v/>
      </c>
      <c r="O151" s="44" t="str">
        <f>IF(Trades!$A151="","",Trades!J151)</f>
        <v/>
      </c>
      <c r="P151" s="43" t="str">
        <f>IF(Trades!$A151="","",Trades!H151)</f>
        <v/>
      </c>
      <c r="Q151" s="41" t="str">
        <f>IF(Trades!$A151="","",Trades!P151)</f>
        <v/>
      </c>
      <c r="R151" s="45" t="str">
        <f t="shared" si="34"/>
        <v/>
      </c>
      <c r="S151" s="45" t="str">
        <f t="shared" si="35"/>
        <v/>
      </c>
      <c r="T151" s="46" t="str">
        <f>IF(OR($A151="",$B151=""),"",IF(AND(IFERROR(LOOKUP(2,1/($B$9:$B$150=$B151),$AR$9:$AR150),1),NOT(AND(OR($F151="dividend",$F151="fee"),IFERROR(LOOKUP(2,1/($B$9:$B$150=$B151),$T$9:$T150),0)&gt;0))),IFERROR(LOOKUP(2,1/($B$9:$B$150=$B151),$T$9:$T150),0)+1,IFERROR(LOOKUP(2,1/($B$9:$B$150=$B151),$T$9:$T150),0)))</f>
        <v/>
      </c>
      <c r="U151" s="47" t="str">
        <f t="shared" si="36"/>
        <v/>
      </c>
      <c r="V151" s="47" t="str">
        <f>IF($A151="","",IF(OR($B151="",$C151="",$D151="",$E151="",$F151=""),"Missing required field",IF(COUNTIFS($A$9:$A151,$A151,$B$9:$B151,$B151)&gt;1,"Duplicate event ID",IF(AND($E151&lt;&gt;IFERROR(LOOKUP(2,1/($B$9:$B$150=$B151),$E$9:$E150),0),IFERROR(LOOKUP(2,1/($B$9:$B$150=$B151),$E$9:$E150),0)&gt;$E151),"Date out of order",IF(AND(OR($F151="buy_to_close",$F151="expire",$F151="roll",$F151="assignment",$F151="called_away"),$AF151=0),"Unknown lot",IF(OR(AND($F151="assignment",$AF151&gt;0,IF($AF151&gt;0,INDEX($AG$9:$AG$150,$AF151),"")&lt;&gt;"put"),AND($F151="called_away",$AF151&gt;0,IF($AF151&gt;0,INDEX($AG$9:$AG$150,$AF151),"")&lt;&gt;"call")),"Wrong option leg",IF(OR(AND(OR($F151="sell_put",$F151="sell_call"),OR($H151&lt;=0,$I151&lt;=0,$J151&lt;0)),AND(OR($F151="buy_to_close",$F151="expire",$F151="assignment",$F151="called_away"),OR($H151&lt;=0,$J151&lt;0)),AND($F151="roll",OR($H151&lt;=0,$I151&lt;=0,$J151&lt;0,$K151&lt;0)),AND(OR($F151="buy_shares",$F151="sell_shares"),OR($L151&lt;=0,$M151&lt;0)),AND(OR($F151="dividend",$F151="fee"),$N151&lt;0)),"Invalid value",IF(AND(OR($F151="sell_shares",$F151="called_away"),$AL151&lt;IF($F151="called_away",$AE151*$D151,$L151)),"Insufficient shares (capped)",IF(AND(OR($F151="buy_to_close",$F151="expire",$F151="roll",$F151="assignment",$F151="called_away"),$AF151&gt;0,$H151&gt;IF($AF151&gt;0,MAX(0,INDEX($AI$9:$AI$150,$AF151)-SUMIFS($AE$9:$AE$150,$G$9:$G$150,$G151,$B$9:$B$150,$B151)),0)),"Close quantity capped","OK")))))))))</f>
        <v/>
      </c>
      <c r="W151" s="48" t="str">
        <f t="shared" si="37"/>
        <v/>
      </c>
      <c r="X151" s="49" t="str">
        <f t="shared" si="38"/>
        <v/>
      </c>
      <c r="Y151" s="50" t="str">
        <f t="shared" si="39"/>
        <v/>
      </c>
      <c r="Z151" s="50" t="str">
        <f t="shared" si="40"/>
        <v/>
      </c>
      <c r="AA151" s="50" t="str">
        <f t="shared" si="41"/>
        <v/>
      </c>
      <c r="AB151" s="50" t="str">
        <f t="shared" si="42"/>
        <v/>
      </c>
      <c r="AC151" s="50" t="str">
        <f>IF($A151="","",IF($F151="assignment",IF($AF151&gt;0,INDEX($AH$9:$AH$150,$AF151),0)*$AE151*$D151,IF($F151="buy_shares",$M151*$AL151,0)))</f>
        <v/>
      </c>
      <c r="AD151" s="50" t="str">
        <f>IF($A151="","",IF($F151="called_away",IF($AF151&gt;0,INDEX($AH$9:$AH$150,$AF151),0)*$AL151,IF($F151="sell_shares",$M151*$AL151,0)))</f>
        <v/>
      </c>
      <c r="AE151" s="51" t="str">
        <f>IF($A151="","",IF(OR($F151="sell_put",$F151="sell_call"),IF(AND($H151&gt;0,$I151&gt;0,$J151&gt;=0),$H151,0),IF(OR($F151="buy_to_close",$F151="expire",$F151="roll",$F151="assignment",$F151="called_away"),IF(AND($AF151&gt;0,$H151&gt;0,IF($F151="assignment",IF($AF151&gt;0,INDEX($AG$9:$AG$150,$AF151),"")="put",TRUE),IF($F151="called_away",IF($AF151&gt;0,INDEX($AG$9:$AG$150,$AF151),"")="call",TRUE)),MIN($H151,IF($AF151&gt;0,MAX(0,INDEX($AI$9:$AI$150,$AF151)-SUMIFS($AE$9:$AE$150,$G$9:$G$150,$G151,$B$9:$B$150,$B151)),0)),0),0)))</f>
        <v/>
      </c>
      <c r="AF151" t="str">
        <f>IF($A151="","",IFERROR(MATCH(LEN($B151)&amp;":"&amp;$B151&amp;$G151,$AY$9:$AY$150,0),0))</f>
        <v/>
      </c>
      <c r="AG151" t="str">
        <f>IF($A151="","",IF($F151="sell_put","put",IF($F151="sell_call","call",IF($F151="roll",IF($AF151&gt;0,IF($AF151&gt;0,INDEX($AG$9:$AG$150,$AF151),""),""),IF($AF151&gt;0,IF($AF151&gt;0,INDEX($AG$9:$AG$150,$AF151),""),"")))))</f>
        <v/>
      </c>
      <c r="AH151" t="str">
        <f>IF($A151="","",IF(OR($F151="sell_put",$F151="sell_call",$F151="roll"),$I151,IF($AF151&gt;0,IF($AF151&gt;0,INDEX($AH$9:$AH$150,$AF151),0),0)))</f>
        <v/>
      </c>
      <c r="AI151" s="51" t="str">
        <f t="shared" si="43"/>
        <v/>
      </c>
      <c r="AJ151" s="51" t="str">
        <f>IF($A151="","",IFERROR(LOOKUP(2,1/($B$9:$B$150=$B151),$AM$9:$AM150),0))</f>
        <v/>
      </c>
      <c r="AK151" t="str">
        <f>IF($A151="","",IFERROR(LOOKUP(2,1/($B$9:$B$150=$B151),$AN$9:$AN150),0))</f>
        <v/>
      </c>
      <c r="AL151" s="51" t="str">
        <f t="shared" si="44"/>
        <v/>
      </c>
      <c r="AM151" s="51" t="str">
        <f t="shared" si="45"/>
        <v/>
      </c>
      <c r="AN151" t="str">
        <f t="shared" si="46"/>
        <v/>
      </c>
      <c r="AO151" s="50" t="str">
        <f>IF($A151="","",IFERROR(LOOKUP(2,1/($B$9:$B$150=$B151),$AO$9:$AO150),0)+IF($F151="sell_put",$I151*$AE151*$D151,IF($F151="roll",IF($AG151="put",($I151-IF($AF151&gt;0,INDEX($AH$9:$AH$150,$AF151),0))*$AE151*$D151,0),IF(AND(OR($F151="buy_to_close",$F151="expire",$F151="roll",$F151="assignment",$F151="called_away"),$F151&lt;&gt;"roll",$AG151="put"),-IF($AF151&gt;0,INDEX($AH$9:$AH$150,$AF151),0)*$AE151*$D151,0))))</f>
        <v/>
      </c>
      <c r="AP151" s="51" t="str">
        <f>IF($A151="","",IFERROR(LOOKUP(2,1/($B$9:$B$150=$B151),$AP$9:$AP150),0)+IF($F151="sell_put",$AE151*$D151,IF(AND(OR($F151="buy_to_close",$F151="expire",$F151="roll",$F151="assignment",$F151="called_away"),$F151&lt;&gt;"roll",$AG151="put"),-$AE151*$D151,0)))</f>
        <v/>
      </c>
      <c r="AQ151" s="51" t="str">
        <f>IF($A151="","",IFERROR(LOOKUP(2,1/($B$9:$B$150=$B151),$AQ$9:$AQ150),0)+IF(OR($F151="sell_put",$F151="sell_call"),$AE151,0)-IF(AND(OR($F151="buy_to_close",$F151="expire",$F151="roll",$F151="assignment",$F151="called_away"),$F151&lt;&gt;"roll"),$AE151,0))</f>
        <v/>
      </c>
      <c r="AR151" t="str">
        <f t="shared" si="47"/>
        <v/>
      </c>
      <c r="AS151" s="50" t="str">
        <f t="shared" si="48"/>
        <v/>
      </c>
      <c r="AT151" s="50" t="str">
        <f>IF($A151="","",MAX(IF($T151=IFERROR(LOOKUP(2,1/($B$9:$B$150=$B151),$T$9:$T150),0),IFERROR(LOOKUP(2,1/($B$9:$B$150=$B151),$AT$9:$AT150),0),0),$AS151))</f>
        <v/>
      </c>
      <c r="AU151" t="str">
        <f t="shared" si="49"/>
        <v/>
      </c>
      <c r="AV151" s="51">
        <f>IF($AU151="",0,IF(AND(IFERROR(LOOKUP(2,1/($B$9:$B$150=$B151),$AR$9:$AR150),1),NOT(AND(OR($F151="dividend",$F151="fee"),IFERROR(LOOKUP(2,1/($B$9:$B$150=$B151),$T$9:$T150),0)&gt;0))),ROW(),0))</f>
        <v>0</v>
      </c>
      <c r="AW151">
        <f>IF($A151="",0,IF($AV151&gt;0,MAX($AW$9:$AW$150)+1,MAX($AW$9:$AW$150)))</f>
        <v>0</v>
      </c>
      <c r="AX151">
        <f>IF($AU151="",0,IF(AND($AR151,OR(NOT(IFERROR(LOOKUP(2,1/($B$9:$B$150=$B151),$AR$9:$AR150),1)),IFERROR(LOOKUP(2,1/($B$9:$B$150=$B151),$T$9:$T150),0)=0)),ROW(),0))</f>
        <v>0</v>
      </c>
      <c r="AY151" t="str">
        <f t="shared" si="50"/>
        <v/>
      </c>
    </row>
    <row r="152" spans="1:51" ht="15" x14ac:dyDescent="0.25">
      <c r="A152" s="52" t="str">
        <f>IF(Trades!$A152="","",Trades!O152)</f>
        <v/>
      </c>
      <c r="B152" s="52" t="str">
        <f>IF(Trades!$A152="","",Trades!B152)</f>
        <v/>
      </c>
      <c r="C152" s="52" t="str">
        <f>IF(Trades!$A152="","",Trades!C152)</f>
        <v/>
      </c>
      <c r="D152" s="53" t="str">
        <f>IF(Trades!$A152="","",IF(Trades!$L152&gt;0,Trades!$L152,Trades!$C$6))</f>
        <v/>
      </c>
      <c r="E152" s="54" t="str">
        <f>IF(Trades!$A152="","",Trades!A152)</f>
        <v/>
      </c>
      <c r="F152" s="52" t="str">
        <f>IF(Trades!$A152="","",IFERROR(INDEX(Trades!$V$2:$V$14,MATCH(Trades!$E152,Trades!$U$2:$U$14,0)),""))</f>
        <v/>
      </c>
      <c r="G152" s="52" t="str">
        <f>IF(Trades!$A152="","",Trades!N152)</f>
        <v/>
      </c>
      <c r="H152" s="53" t="str">
        <f>IF(Trades!$A152="","",Trades!F152)</f>
        <v/>
      </c>
      <c r="I152" s="55" t="str">
        <f>IF(Trades!$A152="","",Trades!G152)</f>
        <v/>
      </c>
      <c r="J152" s="55" t="str">
        <f>IF(Trades!$A152="","",Trades!I152)</f>
        <v/>
      </c>
      <c r="K152" s="55" t="str">
        <f>IF(Trades!$A152="","",Trades!Q152)</f>
        <v/>
      </c>
      <c r="L152" s="53" t="str">
        <f>IF(Trades!$A152="","",Trades!F152)</f>
        <v/>
      </c>
      <c r="M152" s="55" t="str">
        <f>IF(Trades!$A152="","",Trades!M152)</f>
        <v/>
      </c>
      <c r="N152" s="55" t="str">
        <f>IF(Trades!$A152="","",Trades!R152)</f>
        <v/>
      </c>
      <c r="O152" s="55" t="str">
        <f>IF(Trades!$A152="","",Trades!J152)</f>
        <v/>
      </c>
      <c r="P152" s="54" t="str">
        <f>IF(Trades!$A152="","",Trades!H152)</f>
        <v/>
      </c>
      <c r="Q152" s="52" t="str">
        <f>IF(Trades!$A152="","",Trades!P152)</f>
        <v/>
      </c>
      <c r="R152" s="56" t="str">
        <f t="shared" si="34"/>
        <v/>
      </c>
      <c r="S152" s="56" t="str">
        <f t="shared" si="35"/>
        <v/>
      </c>
      <c r="T152" s="57" t="str">
        <f>IF(OR($A152="",$B152=""),"",IF(AND(IFERROR(LOOKUP(2,1/($B$9:$B$151=$B152),$AR$9:$AR151),1),NOT(AND(OR($F152="dividend",$F152="fee"),IFERROR(LOOKUP(2,1/($B$9:$B$151=$B152),$T$9:$T151),0)&gt;0))),IFERROR(LOOKUP(2,1/($B$9:$B$151=$B152),$T$9:$T151),0)+1,IFERROR(LOOKUP(2,1/($B$9:$B$151=$B152),$T$9:$T151),0)))</f>
        <v/>
      </c>
      <c r="U152" s="58" t="str">
        <f t="shared" si="36"/>
        <v/>
      </c>
      <c r="V152" s="58" t="str">
        <f>IF($A152="","",IF(OR($B152="",$C152="",$D152="",$E152="",$F152=""),"Missing required field",IF(COUNTIFS($A$9:$A152,$A152,$B$9:$B152,$B152)&gt;1,"Duplicate event ID",IF(AND($E152&lt;&gt;IFERROR(LOOKUP(2,1/($B$9:$B$151=$B152),$E$9:$E151),0),IFERROR(LOOKUP(2,1/($B$9:$B$151=$B152),$E$9:$E151),0)&gt;$E152),"Date out of order",IF(AND(OR($F152="buy_to_close",$F152="expire",$F152="roll",$F152="assignment",$F152="called_away"),$AF152=0),"Unknown lot",IF(OR(AND($F152="assignment",$AF152&gt;0,IF($AF152&gt;0,INDEX($AG$9:$AG$151,$AF152),"")&lt;&gt;"put"),AND($F152="called_away",$AF152&gt;0,IF($AF152&gt;0,INDEX($AG$9:$AG$151,$AF152),"")&lt;&gt;"call")),"Wrong option leg",IF(OR(AND(OR($F152="sell_put",$F152="sell_call"),OR($H152&lt;=0,$I152&lt;=0,$J152&lt;0)),AND(OR($F152="buy_to_close",$F152="expire",$F152="assignment",$F152="called_away"),OR($H152&lt;=0,$J152&lt;0)),AND($F152="roll",OR($H152&lt;=0,$I152&lt;=0,$J152&lt;0,$K152&lt;0)),AND(OR($F152="buy_shares",$F152="sell_shares"),OR($L152&lt;=0,$M152&lt;0)),AND(OR($F152="dividend",$F152="fee"),$N152&lt;0)),"Invalid value",IF(AND(OR($F152="sell_shares",$F152="called_away"),$AL152&lt;IF($F152="called_away",$AE152*$D152,$L152)),"Insufficient shares (capped)",IF(AND(OR($F152="buy_to_close",$F152="expire",$F152="roll",$F152="assignment",$F152="called_away"),$AF152&gt;0,$H152&gt;IF($AF152&gt;0,MAX(0,INDEX($AI$9:$AI$151,$AF152)-SUMIFS($AE$9:$AE$151,$G$9:$G$151,$G152,$B$9:$B$151,$B152)),0)),"Close quantity capped","OK")))))))))</f>
        <v/>
      </c>
      <c r="W152" s="59" t="str">
        <f t="shared" si="37"/>
        <v/>
      </c>
      <c r="X152" s="60" t="str">
        <f t="shared" si="38"/>
        <v/>
      </c>
      <c r="Y152" s="50" t="str">
        <f t="shared" si="39"/>
        <v/>
      </c>
      <c r="Z152" s="50" t="str">
        <f t="shared" si="40"/>
        <v/>
      </c>
      <c r="AA152" s="50" t="str">
        <f t="shared" si="41"/>
        <v/>
      </c>
      <c r="AB152" s="50" t="str">
        <f t="shared" si="42"/>
        <v/>
      </c>
      <c r="AC152" s="50" t="str">
        <f>IF($A152="","",IF($F152="assignment",IF($AF152&gt;0,INDEX($AH$9:$AH$151,$AF152),0)*$AE152*$D152,IF($F152="buy_shares",$M152*$AL152,0)))</f>
        <v/>
      </c>
      <c r="AD152" s="50" t="str">
        <f>IF($A152="","",IF($F152="called_away",IF($AF152&gt;0,INDEX($AH$9:$AH$151,$AF152),0)*$AL152,IF($F152="sell_shares",$M152*$AL152,0)))</f>
        <v/>
      </c>
      <c r="AE152" s="51" t="str">
        <f>IF($A152="","",IF(OR($F152="sell_put",$F152="sell_call"),IF(AND($H152&gt;0,$I152&gt;0,$J152&gt;=0),$H152,0),IF(OR($F152="buy_to_close",$F152="expire",$F152="roll",$F152="assignment",$F152="called_away"),IF(AND($AF152&gt;0,$H152&gt;0,IF($F152="assignment",IF($AF152&gt;0,INDEX($AG$9:$AG$151,$AF152),"")="put",TRUE),IF($F152="called_away",IF($AF152&gt;0,INDEX($AG$9:$AG$151,$AF152),"")="call",TRUE)),MIN($H152,IF($AF152&gt;0,MAX(0,INDEX($AI$9:$AI$151,$AF152)-SUMIFS($AE$9:$AE$151,$G$9:$G$151,$G152,$B$9:$B$151,$B152)),0)),0),0)))</f>
        <v/>
      </c>
      <c r="AF152" t="str">
        <f>IF($A152="","",IFERROR(MATCH(LEN($B152)&amp;":"&amp;$B152&amp;$G152,$AY$9:$AY$151,0),0))</f>
        <v/>
      </c>
      <c r="AG152" t="str">
        <f>IF($A152="","",IF($F152="sell_put","put",IF($F152="sell_call","call",IF($F152="roll",IF($AF152&gt;0,IF($AF152&gt;0,INDEX($AG$9:$AG$151,$AF152),""),""),IF($AF152&gt;0,IF($AF152&gt;0,INDEX($AG$9:$AG$151,$AF152),""),"")))))</f>
        <v/>
      </c>
      <c r="AH152" t="str">
        <f>IF($A152="","",IF(OR($F152="sell_put",$F152="sell_call",$F152="roll"),$I152,IF($AF152&gt;0,IF($AF152&gt;0,INDEX($AH$9:$AH$151,$AF152),0),0)))</f>
        <v/>
      </c>
      <c r="AI152" s="51" t="str">
        <f t="shared" si="43"/>
        <v/>
      </c>
      <c r="AJ152" s="51" t="str">
        <f>IF($A152="","",IFERROR(LOOKUP(2,1/($B$9:$B$151=$B152),$AM$9:$AM151),0))</f>
        <v/>
      </c>
      <c r="AK152" t="str">
        <f>IF($A152="","",IFERROR(LOOKUP(2,1/($B$9:$B$151=$B152),$AN$9:$AN151),0))</f>
        <v/>
      </c>
      <c r="AL152" s="51" t="str">
        <f t="shared" si="44"/>
        <v/>
      </c>
      <c r="AM152" s="51" t="str">
        <f t="shared" si="45"/>
        <v/>
      </c>
      <c r="AN152" t="str">
        <f t="shared" si="46"/>
        <v/>
      </c>
      <c r="AO152" s="50" t="str">
        <f>IF($A152="","",IFERROR(LOOKUP(2,1/($B$9:$B$151=$B152),$AO$9:$AO151),0)+IF($F152="sell_put",$I152*$AE152*$D152,IF($F152="roll",IF($AG152="put",($I152-IF($AF152&gt;0,INDEX($AH$9:$AH$151,$AF152),0))*$AE152*$D152,0),IF(AND(OR($F152="buy_to_close",$F152="expire",$F152="roll",$F152="assignment",$F152="called_away"),$F152&lt;&gt;"roll",$AG152="put"),-IF($AF152&gt;0,INDEX($AH$9:$AH$151,$AF152),0)*$AE152*$D152,0))))</f>
        <v/>
      </c>
      <c r="AP152" s="51" t="str">
        <f>IF($A152="","",IFERROR(LOOKUP(2,1/($B$9:$B$151=$B152),$AP$9:$AP151),0)+IF($F152="sell_put",$AE152*$D152,IF(AND(OR($F152="buy_to_close",$F152="expire",$F152="roll",$F152="assignment",$F152="called_away"),$F152&lt;&gt;"roll",$AG152="put"),-$AE152*$D152,0)))</f>
        <v/>
      </c>
      <c r="AQ152" s="51" t="str">
        <f>IF($A152="","",IFERROR(LOOKUP(2,1/($B$9:$B$151=$B152),$AQ$9:$AQ151),0)+IF(OR($F152="sell_put",$F152="sell_call"),$AE152,0)-IF(AND(OR($F152="buy_to_close",$F152="expire",$F152="roll",$F152="assignment",$F152="called_away"),$F152&lt;&gt;"roll"),$AE152,0))</f>
        <v/>
      </c>
      <c r="AR152" t="str">
        <f t="shared" si="47"/>
        <v/>
      </c>
      <c r="AS152" s="50" t="str">
        <f t="shared" si="48"/>
        <v/>
      </c>
      <c r="AT152" s="50" t="str">
        <f>IF($A152="","",MAX(IF($T152=IFERROR(LOOKUP(2,1/($B$9:$B$151=$B152),$T$9:$T151),0),IFERROR(LOOKUP(2,1/($B$9:$B$151=$B152),$AT$9:$AT151),0),0),$AS152))</f>
        <v/>
      </c>
      <c r="AU152" t="str">
        <f t="shared" si="49"/>
        <v/>
      </c>
      <c r="AV152" s="51">
        <f>IF($AU152="",0,IF(AND(IFERROR(LOOKUP(2,1/($B$9:$B$151=$B152),$AR$9:$AR151),1),NOT(AND(OR($F152="dividend",$F152="fee"),IFERROR(LOOKUP(2,1/($B$9:$B$151=$B152),$T$9:$T151),0)&gt;0))),ROW(),0))</f>
        <v>0</v>
      </c>
      <c r="AW152">
        <f>IF($A152="",0,IF($AV152&gt;0,MAX($AW$9:$AW$151)+1,MAX($AW$9:$AW$151)))</f>
        <v>0</v>
      </c>
      <c r="AX152">
        <f>IF($AU152="",0,IF(AND($AR152,OR(NOT(IFERROR(LOOKUP(2,1/($B$9:$B$151=$B152),$AR$9:$AR151),1)),IFERROR(LOOKUP(2,1/($B$9:$B$151=$B152),$T$9:$T151),0)=0)),ROW(),0))</f>
        <v>0</v>
      </c>
      <c r="AY152" t="str">
        <f t="shared" si="50"/>
        <v/>
      </c>
    </row>
    <row r="153" spans="1:51" ht="15" x14ac:dyDescent="0.25">
      <c r="A153" s="41" t="str">
        <f>IF(Trades!$A153="","",Trades!O153)</f>
        <v/>
      </c>
      <c r="B153" s="41" t="str">
        <f>IF(Trades!$A153="","",Trades!B153)</f>
        <v/>
      </c>
      <c r="C153" s="41" t="str">
        <f>IF(Trades!$A153="","",Trades!C153)</f>
        <v/>
      </c>
      <c r="D153" s="42" t="str">
        <f>IF(Trades!$A153="","",IF(Trades!$L153&gt;0,Trades!$L153,Trades!$C$6))</f>
        <v/>
      </c>
      <c r="E153" s="43" t="str">
        <f>IF(Trades!$A153="","",Trades!A153)</f>
        <v/>
      </c>
      <c r="F153" s="41" t="str">
        <f>IF(Trades!$A153="","",IFERROR(INDEX(Trades!$V$2:$V$14,MATCH(Trades!$E153,Trades!$U$2:$U$14,0)),""))</f>
        <v/>
      </c>
      <c r="G153" s="41" t="str">
        <f>IF(Trades!$A153="","",Trades!N153)</f>
        <v/>
      </c>
      <c r="H153" s="42" t="str">
        <f>IF(Trades!$A153="","",Trades!F153)</f>
        <v/>
      </c>
      <c r="I153" s="44" t="str">
        <f>IF(Trades!$A153="","",Trades!G153)</f>
        <v/>
      </c>
      <c r="J153" s="44" t="str">
        <f>IF(Trades!$A153="","",Trades!I153)</f>
        <v/>
      </c>
      <c r="K153" s="44" t="str">
        <f>IF(Trades!$A153="","",Trades!Q153)</f>
        <v/>
      </c>
      <c r="L153" s="42" t="str">
        <f>IF(Trades!$A153="","",Trades!F153)</f>
        <v/>
      </c>
      <c r="M153" s="44" t="str">
        <f>IF(Trades!$A153="","",Trades!M153)</f>
        <v/>
      </c>
      <c r="N153" s="44" t="str">
        <f>IF(Trades!$A153="","",Trades!R153)</f>
        <v/>
      </c>
      <c r="O153" s="44" t="str">
        <f>IF(Trades!$A153="","",Trades!J153)</f>
        <v/>
      </c>
      <c r="P153" s="43" t="str">
        <f>IF(Trades!$A153="","",Trades!H153)</f>
        <v/>
      </c>
      <c r="Q153" s="41" t="str">
        <f>IF(Trades!$A153="","",Trades!P153)</f>
        <v/>
      </c>
      <c r="R153" s="45" t="str">
        <f t="shared" si="34"/>
        <v/>
      </c>
      <c r="S153" s="45" t="str">
        <f t="shared" si="35"/>
        <v/>
      </c>
      <c r="T153" s="46" t="str">
        <f>IF(OR($A153="",$B153=""),"",IF(AND(IFERROR(LOOKUP(2,1/($B$9:$B$152=$B153),$AR$9:$AR152),1),NOT(AND(OR($F153="dividend",$F153="fee"),IFERROR(LOOKUP(2,1/($B$9:$B$152=$B153),$T$9:$T152),0)&gt;0))),IFERROR(LOOKUP(2,1/($B$9:$B$152=$B153),$T$9:$T152),0)+1,IFERROR(LOOKUP(2,1/($B$9:$B$152=$B153),$T$9:$T152),0)))</f>
        <v/>
      </c>
      <c r="U153" s="47" t="str">
        <f t="shared" si="36"/>
        <v/>
      </c>
      <c r="V153" s="47" t="str">
        <f>IF($A153="","",IF(OR($B153="",$C153="",$D153="",$E153="",$F153=""),"Missing required field",IF(COUNTIFS($A$9:$A153,$A153,$B$9:$B153,$B153)&gt;1,"Duplicate event ID",IF(AND($E153&lt;&gt;IFERROR(LOOKUP(2,1/($B$9:$B$152=$B153),$E$9:$E152),0),IFERROR(LOOKUP(2,1/($B$9:$B$152=$B153),$E$9:$E152),0)&gt;$E153),"Date out of order",IF(AND(OR($F153="buy_to_close",$F153="expire",$F153="roll",$F153="assignment",$F153="called_away"),$AF153=0),"Unknown lot",IF(OR(AND($F153="assignment",$AF153&gt;0,IF($AF153&gt;0,INDEX($AG$9:$AG$152,$AF153),"")&lt;&gt;"put"),AND($F153="called_away",$AF153&gt;0,IF($AF153&gt;0,INDEX($AG$9:$AG$152,$AF153),"")&lt;&gt;"call")),"Wrong option leg",IF(OR(AND(OR($F153="sell_put",$F153="sell_call"),OR($H153&lt;=0,$I153&lt;=0,$J153&lt;0)),AND(OR($F153="buy_to_close",$F153="expire",$F153="assignment",$F153="called_away"),OR($H153&lt;=0,$J153&lt;0)),AND($F153="roll",OR($H153&lt;=0,$I153&lt;=0,$J153&lt;0,$K153&lt;0)),AND(OR($F153="buy_shares",$F153="sell_shares"),OR($L153&lt;=0,$M153&lt;0)),AND(OR($F153="dividend",$F153="fee"),$N153&lt;0)),"Invalid value",IF(AND(OR($F153="sell_shares",$F153="called_away"),$AL153&lt;IF($F153="called_away",$AE153*$D153,$L153)),"Insufficient shares (capped)",IF(AND(OR($F153="buy_to_close",$F153="expire",$F153="roll",$F153="assignment",$F153="called_away"),$AF153&gt;0,$H153&gt;IF($AF153&gt;0,MAX(0,INDEX($AI$9:$AI$152,$AF153)-SUMIFS($AE$9:$AE$152,$G$9:$G$152,$G153,$B$9:$B$152,$B153)),0)),"Close quantity capped","OK")))))))))</f>
        <v/>
      </c>
      <c r="W153" s="48" t="str">
        <f t="shared" si="37"/>
        <v/>
      </c>
      <c r="X153" s="49" t="str">
        <f t="shared" si="38"/>
        <v/>
      </c>
      <c r="Y153" s="50" t="str">
        <f t="shared" si="39"/>
        <v/>
      </c>
      <c r="Z153" s="50" t="str">
        <f t="shared" si="40"/>
        <v/>
      </c>
      <c r="AA153" s="50" t="str">
        <f t="shared" si="41"/>
        <v/>
      </c>
      <c r="AB153" s="50" t="str">
        <f t="shared" si="42"/>
        <v/>
      </c>
      <c r="AC153" s="50" t="str">
        <f>IF($A153="","",IF($F153="assignment",IF($AF153&gt;0,INDEX($AH$9:$AH$152,$AF153),0)*$AE153*$D153,IF($F153="buy_shares",$M153*$AL153,0)))</f>
        <v/>
      </c>
      <c r="AD153" s="50" t="str">
        <f>IF($A153="","",IF($F153="called_away",IF($AF153&gt;0,INDEX($AH$9:$AH$152,$AF153),0)*$AL153,IF($F153="sell_shares",$M153*$AL153,0)))</f>
        <v/>
      </c>
      <c r="AE153" s="51" t="str">
        <f>IF($A153="","",IF(OR($F153="sell_put",$F153="sell_call"),IF(AND($H153&gt;0,$I153&gt;0,$J153&gt;=0),$H153,0),IF(OR($F153="buy_to_close",$F153="expire",$F153="roll",$F153="assignment",$F153="called_away"),IF(AND($AF153&gt;0,$H153&gt;0,IF($F153="assignment",IF($AF153&gt;0,INDEX($AG$9:$AG$152,$AF153),"")="put",TRUE),IF($F153="called_away",IF($AF153&gt;0,INDEX($AG$9:$AG$152,$AF153),"")="call",TRUE)),MIN($H153,IF($AF153&gt;0,MAX(0,INDEX($AI$9:$AI$152,$AF153)-SUMIFS($AE$9:$AE$152,$G$9:$G$152,$G153,$B$9:$B$152,$B153)),0)),0),0)))</f>
        <v/>
      </c>
      <c r="AF153" t="str">
        <f>IF($A153="","",IFERROR(MATCH(LEN($B153)&amp;":"&amp;$B153&amp;$G153,$AY$9:$AY$152,0),0))</f>
        <v/>
      </c>
      <c r="AG153" t="str">
        <f>IF($A153="","",IF($F153="sell_put","put",IF($F153="sell_call","call",IF($F153="roll",IF($AF153&gt;0,IF($AF153&gt;0,INDEX($AG$9:$AG$152,$AF153),""),""),IF($AF153&gt;0,IF($AF153&gt;0,INDEX($AG$9:$AG$152,$AF153),""),"")))))</f>
        <v/>
      </c>
      <c r="AH153" t="str">
        <f>IF($A153="","",IF(OR($F153="sell_put",$F153="sell_call",$F153="roll"),$I153,IF($AF153&gt;0,IF($AF153&gt;0,INDEX($AH$9:$AH$152,$AF153),0),0)))</f>
        <v/>
      </c>
      <c r="AI153" s="51" t="str">
        <f t="shared" si="43"/>
        <v/>
      </c>
      <c r="AJ153" s="51" t="str">
        <f>IF($A153="","",IFERROR(LOOKUP(2,1/($B$9:$B$152=$B153),$AM$9:$AM152),0))</f>
        <v/>
      </c>
      <c r="AK153" t="str">
        <f>IF($A153="","",IFERROR(LOOKUP(2,1/($B$9:$B$152=$B153),$AN$9:$AN152),0))</f>
        <v/>
      </c>
      <c r="AL153" s="51" t="str">
        <f t="shared" si="44"/>
        <v/>
      </c>
      <c r="AM153" s="51" t="str">
        <f t="shared" si="45"/>
        <v/>
      </c>
      <c r="AN153" t="str">
        <f t="shared" si="46"/>
        <v/>
      </c>
      <c r="AO153" s="50" t="str">
        <f>IF($A153="","",IFERROR(LOOKUP(2,1/($B$9:$B$152=$B153),$AO$9:$AO152),0)+IF($F153="sell_put",$I153*$AE153*$D153,IF($F153="roll",IF($AG153="put",($I153-IF($AF153&gt;0,INDEX($AH$9:$AH$152,$AF153),0))*$AE153*$D153,0),IF(AND(OR($F153="buy_to_close",$F153="expire",$F153="roll",$F153="assignment",$F153="called_away"),$F153&lt;&gt;"roll",$AG153="put"),-IF($AF153&gt;0,INDEX($AH$9:$AH$152,$AF153),0)*$AE153*$D153,0))))</f>
        <v/>
      </c>
      <c r="AP153" s="51" t="str">
        <f>IF($A153="","",IFERROR(LOOKUP(2,1/($B$9:$B$152=$B153),$AP$9:$AP152),0)+IF($F153="sell_put",$AE153*$D153,IF(AND(OR($F153="buy_to_close",$F153="expire",$F153="roll",$F153="assignment",$F153="called_away"),$F153&lt;&gt;"roll",$AG153="put"),-$AE153*$D153,0)))</f>
        <v/>
      </c>
      <c r="AQ153" s="51" t="str">
        <f>IF($A153="","",IFERROR(LOOKUP(2,1/($B$9:$B$152=$B153),$AQ$9:$AQ152),0)+IF(OR($F153="sell_put",$F153="sell_call"),$AE153,0)-IF(AND(OR($F153="buy_to_close",$F153="expire",$F153="roll",$F153="assignment",$F153="called_away"),$F153&lt;&gt;"roll"),$AE153,0))</f>
        <v/>
      </c>
      <c r="AR153" t="str">
        <f t="shared" si="47"/>
        <v/>
      </c>
      <c r="AS153" s="50" t="str">
        <f t="shared" si="48"/>
        <v/>
      </c>
      <c r="AT153" s="50" t="str">
        <f>IF($A153="","",MAX(IF($T153=IFERROR(LOOKUP(2,1/($B$9:$B$152=$B153),$T$9:$T152),0),IFERROR(LOOKUP(2,1/($B$9:$B$152=$B153),$AT$9:$AT152),0),0),$AS153))</f>
        <v/>
      </c>
      <c r="AU153" t="str">
        <f t="shared" si="49"/>
        <v/>
      </c>
      <c r="AV153" s="51">
        <f>IF($AU153="",0,IF(AND(IFERROR(LOOKUP(2,1/($B$9:$B$152=$B153),$AR$9:$AR152),1),NOT(AND(OR($F153="dividend",$F153="fee"),IFERROR(LOOKUP(2,1/($B$9:$B$152=$B153),$T$9:$T152),0)&gt;0))),ROW(),0))</f>
        <v>0</v>
      </c>
      <c r="AW153">
        <f>IF($A153="",0,IF($AV153&gt;0,MAX($AW$9:$AW$152)+1,MAX($AW$9:$AW$152)))</f>
        <v>0</v>
      </c>
      <c r="AX153">
        <f>IF($AU153="",0,IF(AND($AR153,OR(NOT(IFERROR(LOOKUP(2,1/($B$9:$B$152=$B153),$AR$9:$AR152),1)),IFERROR(LOOKUP(2,1/($B$9:$B$152=$B153),$T$9:$T152),0)=0)),ROW(),0))</f>
        <v>0</v>
      </c>
      <c r="AY153" t="str">
        <f t="shared" si="50"/>
        <v/>
      </c>
    </row>
    <row r="154" spans="1:51" ht="15" x14ac:dyDescent="0.25">
      <c r="A154" s="52" t="str">
        <f>IF(Trades!$A154="","",Trades!O154)</f>
        <v/>
      </c>
      <c r="B154" s="52" t="str">
        <f>IF(Trades!$A154="","",Trades!B154)</f>
        <v/>
      </c>
      <c r="C154" s="52" t="str">
        <f>IF(Trades!$A154="","",Trades!C154)</f>
        <v/>
      </c>
      <c r="D154" s="53" t="str">
        <f>IF(Trades!$A154="","",IF(Trades!$L154&gt;0,Trades!$L154,Trades!$C$6))</f>
        <v/>
      </c>
      <c r="E154" s="54" t="str">
        <f>IF(Trades!$A154="","",Trades!A154)</f>
        <v/>
      </c>
      <c r="F154" s="52" t="str">
        <f>IF(Trades!$A154="","",IFERROR(INDEX(Trades!$V$2:$V$14,MATCH(Trades!$E154,Trades!$U$2:$U$14,0)),""))</f>
        <v/>
      </c>
      <c r="G154" s="52" t="str">
        <f>IF(Trades!$A154="","",Trades!N154)</f>
        <v/>
      </c>
      <c r="H154" s="53" t="str">
        <f>IF(Trades!$A154="","",Trades!F154)</f>
        <v/>
      </c>
      <c r="I154" s="55" t="str">
        <f>IF(Trades!$A154="","",Trades!G154)</f>
        <v/>
      </c>
      <c r="J154" s="55" t="str">
        <f>IF(Trades!$A154="","",Trades!I154)</f>
        <v/>
      </c>
      <c r="K154" s="55" t="str">
        <f>IF(Trades!$A154="","",Trades!Q154)</f>
        <v/>
      </c>
      <c r="L154" s="53" t="str">
        <f>IF(Trades!$A154="","",Trades!F154)</f>
        <v/>
      </c>
      <c r="M154" s="55" t="str">
        <f>IF(Trades!$A154="","",Trades!M154)</f>
        <v/>
      </c>
      <c r="N154" s="55" t="str">
        <f>IF(Trades!$A154="","",Trades!R154)</f>
        <v/>
      </c>
      <c r="O154" s="55" t="str">
        <f>IF(Trades!$A154="","",Trades!J154)</f>
        <v/>
      </c>
      <c r="P154" s="54" t="str">
        <f>IF(Trades!$A154="","",Trades!H154)</f>
        <v/>
      </c>
      <c r="Q154" s="52" t="str">
        <f>IF(Trades!$A154="","",Trades!P154)</f>
        <v/>
      </c>
      <c r="R154" s="56" t="str">
        <f t="shared" si="34"/>
        <v/>
      </c>
      <c r="S154" s="56" t="str">
        <f t="shared" si="35"/>
        <v/>
      </c>
      <c r="T154" s="57" t="str">
        <f>IF(OR($A154="",$B154=""),"",IF(AND(IFERROR(LOOKUP(2,1/($B$9:$B$153=$B154),$AR$9:$AR153),1),NOT(AND(OR($F154="dividend",$F154="fee"),IFERROR(LOOKUP(2,1/($B$9:$B$153=$B154),$T$9:$T153),0)&gt;0))),IFERROR(LOOKUP(2,1/($B$9:$B$153=$B154),$T$9:$T153),0)+1,IFERROR(LOOKUP(2,1/($B$9:$B$153=$B154),$T$9:$T153),0)))</f>
        <v/>
      </c>
      <c r="U154" s="58" t="str">
        <f t="shared" si="36"/>
        <v/>
      </c>
      <c r="V154" s="58" t="str">
        <f>IF($A154="","",IF(OR($B154="",$C154="",$D154="",$E154="",$F154=""),"Missing required field",IF(COUNTIFS($A$9:$A154,$A154,$B$9:$B154,$B154)&gt;1,"Duplicate event ID",IF(AND($E154&lt;&gt;IFERROR(LOOKUP(2,1/($B$9:$B$153=$B154),$E$9:$E153),0),IFERROR(LOOKUP(2,1/($B$9:$B$153=$B154),$E$9:$E153),0)&gt;$E154),"Date out of order",IF(AND(OR($F154="buy_to_close",$F154="expire",$F154="roll",$F154="assignment",$F154="called_away"),$AF154=0),"Unknown lot",IF(OR(AND($F154="assignment",$AF154&gt;0,IF($AF154&gt;0,INDEX($AG$9:$AG$153,$AF154),"")&lt;&gt;"put"),AND($F154="called_away",$AF154&gt;0,IF($AF154&gt;0,INDEX($AG$9:$AG$153,$AF154),"")&lt;&gt;"call")),"Wrong option leg",IF(OR(AND(OR($F154="sell_put",$F154="sell_call"),OR($H154&lt;=0,$I154&lt;=0,$J154&lt;0)),AND(OR($F154="buy_to_close",$F154="expire",$F154="assignment",$F154="called_away"),OR($H154&lt;=0,$J154&lt;0)),AND($F154="roll",OR($H154&lt;=0,$I154&lt;=0,$J154&lt;0,$K154&lt;0)),AND(OR($F154="buy_shares",$F154="sell_shares"),OR($L154&lt;=0,$M154&lt;0)),AND(OR($F154="dividend",$F154="fee"),$N154&lt;0)),"Invalid value",IF(AND(OR($F154="sell_shares",$F154="called_away"),$AL154&lt;IF($F154="called_away",$AE154*$D154,$L154)),"Insufficient shares (capped)",IF(AND(OR($F154="buy_to_close",$F154="expire",$F154="roll",$F154="assignment",$F154="called_away"),$AF154&gt;0,$H154&gt;IF($AF154&gt;0,MAX(0,INDEX($AI$9:$AI$153,$AF154)-SUMIFS($AE$9:$AE$153,$G$9:$G$153,$G154,$B$9:$B$153,$B154)),0)),"Close quantity capped","OK")))))))))</f>
        <v/>
      </c>
      <c r="W154" s="59" t="str">
        <f t="shared" si="37"/>
        <v/>
      </c>
      <c r="X154" s="60" t="str">
        <f t="shared" si="38"/>
        <v/>
      </c>
      <c r="Y154" s="50" t="str">
        <f t="shared" si="39"/>
        <v/>
      </c>
      <c r="Z154" s="50" t="str">
        <f t="shared" si="40"/>
        <v/>
      </c>
      <c r="AA154" s="50" t="str">
        <f t="shared" si="41"/>
        <v/>
      </c>
      <c r="AB154" s="50" t="str">
        <f t="shared" si="42"/>
        <v/>
      </c>
      <c r="AC154" s="50" t="str">
        <f>IF($A154="","",IF($F154="assignment",IF($AF154&gt;0,INDEX($AH$9:$AH$153,$AF154),0)*$AE154*$D154,IF($F154="buy_shares",$M154*$AL154,0)))</f>
        <v/>
      </c>
      <c r="AD154" s="50" t="str">
        <f>IF($A154="","",IF($F154="called_away",IF($AF154&gt;0,INDEX($AH$9:$AH$153,$AF154),0)*$AL154,IF($F154="sell_shares",$M154*$AL154,0)))</f>
        <v/>
      </c>
      <c r="AE154" s="51" t="str">
        <f>IF($A154="","",IF(OR($F154="sell_put",$F154="sell_call"),IF(AND($H154&gt;0,$I154&gt;0,$J154&gt;=0),$H154,0),IF(OR($F154="buy_to_close",$F154="expire",$F154="roll",$F154="assignment",$F154="called_away"),IF(AND($AF154&gt;0,$H154&gt;0,IF($F154="assignment",IF($AF154&gt;0,INDEX($AG$9:$AG$153,$AF154),"")="put",TRUE),IF($F154="called_away",IF($AF154&gt;0,INDEX($AG$9:$AG$153,$AF154),"")="call",TRUE)),MIN($H154,IF($AF154&gt;0,MAX(0,INDEX($AI$9:$AI$153,$AF154)-SUMIFS($AE$9:$AE$153,$G$9:$G$153,$G154,$B$9:$B$153,$B154)),0)),0),0)))</f>
        <v/>
      </c>
      <c r="AF154" t="str">
        <f>IF($A154="","",IFERROR(MATCH(LEN($B154)&amp;":"&amp;$B154&amp;$G154,$AY$9:$AY$153,0),0))</f>
        <v/>
      </c>
      <c r="AG154" t="str">
        <f>IF($A154="","",IF($F154="sell_put","put",IF($F154="sell_call","call",IF($F154="roll",IF($AF154&gt;0,IF($AF154&gt;0,INDEX($AG$9:$AG$153,$AF154),""),""),IF($AF154&gt;0,IF($AF154&gt;0,INDEX($AG$9:$AG$153,$AF154),""),"")))))</f>
        <v/>
      </c>
      <c r="AH154" t="str">
        <f>IF($A154="","",IF(OR($F154="sell_put",$F154="sell_call",$F154="roll"),$I154,IF($AF154&gt;0,IF($AF154&gt;0,INDEX($AH$9:$AH$153,$AF154),0),0)))</f>
        <v/>
      </c>
      <c r="AI154" s="51" t="str">
        <f t="shared" si="43"/>
        <v/>
      </c>
      <c r="AJ154" s="51" t="str">
        <f>IF($A154="","",IFERROR(LOOKUP(2,1/($B$9:$B$153=$B154),$AM$9:$AM153),0))</f>
        <v/>
      </c>
      <c r="AK154" t="str">
        <f>IF($A154="","",IFERROR(LOOKUP(2,1/($B$9:$B$153=$B154),$AN$9:$AN153),0))</f>
        <v/>
      </c>
      <c r="AL154" s="51" t="str">
        <f t="shared" si="44"/>
        <v/>
      </c>
      <c r="AM154" s="51" t="str">
        <f t="shared" si="45"/>
        <v/>
      </c>
      <c r="AN154" t="str">
        <f t="shared" si="46"/>
        <v/>
      </c>
      <c r="AO154" s="50" t="str">
        <f>IF($A154="","",IFERROR(LOOKUP(2,1/($B$9:$B$153=$B154),$AO$9:$AO153),0)+IF($F154="sell_put",$I154*$AE154*$D154,IF($F154="roll",IF($AG154="put",($I154-IF($AF154&gt;0,INDEX($AH$9:$AH$153,$AF154),0))*$AE154*$D154,0),IF(AND(OR($F154="buy_to_close",$F154="expire",$F154="roll",$F154="assignment",$F154="called_away"),$F154&lt;&gt;"roll",$AG154="put"),-IF($AF154&gt;0,INDEX($AH$9:$AH$153,$AF154),0)*$AE154*$D154,0))))</f>
        <v/>
      </c>
      <c r="AP154" s="51" t="str">
        <f>IF($A154="","",IFERROR(LOOKUP(2,1/($B$9:$B$153=$B154),$AP$9:$AP153),0)+IF($F154="sell_put",$AE154*$D154,IF(AND(OR($F154="buy_to_close",$F154="expire",$F154="roll",$F154="assignment",$F154="called_away"),$F154&lt;&gt;"roll",$AG154="put"),-$AE154*$D154,0)))</f>
        <v/>
      </c>
      <c r="AQ154" s="51" t="str">
        <f>IF($A154="","",IFERROR(LOOKUP(2,1/($B$9:$B$153=$B154),$AQ$9:$AQ153),0)+IF(OR($F154="sell_put",$F154="sell_call"),$AE154,0)-IF(AND(OR($F154="buy_to_close",$F154="expire",$F154="roll",$F154="assignment",$F154="called_away"),$F154&lt;&gt;"roll"),$AE154,0))</f>
        <v/>
      </c>
      <c r="AR154" t="str">
        <f t="shared" si="47"/>
        <v/>
      </c>
      <c r="AS154" s="50" t="str">
        <f t="shared" si="48"/>
        <v/>
      </c>
      <c r="AT154" s="50" t="str">
        <f>IF($A154="","",MAX(IF($T154=IFERROR(LOOKUP(2,1/($B$9:$B$153=$B154),$T$9:$T153),0),IFERROR(LOOKUP(2,1/($B$9:$B$153=$B154),$AT$9:$AT153),0),0),$AS154))</f>
        <v/>
      </c>
      <c r="AU154" t="str">
        <f t="shared" si="49"/>
        <v/>
      </c>
      <c r="AV154" s="51">
        <f>IF($AU154="",0,IF(AND(IFERROR(LOOKUP(2,1/($B$9:$B$153=$B154),$AR$9:$AR153),1),NOT(AND(OR($F154="dividend",$F154="fee"),IFERROR(LOOKUP(2,1/($B$9:$B$153=$B154),$T$9:$T153),0)&gt;0))),ROW(),0))</f>
        <v>0</v>
      </c>
      <c r="AW154">
        <f>IF($A154="",0,IF($AV154&gt;0,MAX($AW$9:$AW$153)+1,MAX($AW$9:$AW$153)))</f>
        <v>0</v>
      </c>
      <c r="AX154">
        <f>IF($AU154="",0,IF(AND($AR154,OR(NOT(IFERROR(LOOKUP(2,1/($B$9:$B$153=$B154),$AR$9:$AR153),1)),IFERROR(LOOKUP(2,1/($B$9:$B$153=$B154),$T$9:$T153),0)=0)),ROW(),0))</f>
        <v>0</v>
      </c>
      <c r="AY154" t="str">
        <f t="shared" si="50"/>
        <v/>
      </c>
    </row>
    <row r="155" spans="1:51" ht="15" x14ac:dyDescent="0.25">
      <c r="A155" s="41" t="str">
        <f>IF(Trades!$A155="","",Trades!O155)</f>
        <v/>
      </c>
      <c r="B155" s="41" t="str">
        <f>IF(Trades!$A155="","",Trades!B155)</f>
        <v/>
      </c>
      <c r="C155" s="41" t="str">
        <f>IF(Trades!$A155="","",Trades!C155)</f>
        <v/>
      </c>
      <c r="D155" s="42" t="str">
        <f>IF(Trades!$A155="","",IF(Trades!$L155&gt;0,Trades!$L155,Trades!$C$6))</f>
        <v/>
      </c>
      <c r="E155" s="43" t="str">
        <f>IF(Trades!$A155="","",Trades!A155)</f>
        <v/>
      </c>
      <c r="F155" s="41" t="str">
        <f>IF(Trades!$A155="","",IFERROR(INDEX(Trades!$V$2:$V$14,MATCH(Trades!$E155,Trades!$U$2:$U$14,0)),""))</f>
        <v/>
      </c>
      <c r="G155" s="41" t="str">
        <f>IF(Trades!$A155="","",Trades!N155)</f>
        <v/>
      </c>
      <c r="H155" s="42" t="str">
        <f>IF(Trades!$A155="","",Trades!F155)</f>
        <v/>
      </c>
      <c r="I155" s="44" t="str">
        <f>IF(Trades!$A155="","",Trades!G155)</f>
        <v/>
      </c>
      <c r="J155" s="44" t="str">
        <f>IF(Trades!$A155="","",Trades!I155)</f>
        <v/>
      </c>
      <c r="K155" s="44" t="str">
        <f>IF(Trades!$A155="","",Trades!Q155)</f>
        <v/>
      </c>
      <c r="L155" s="42" t="str">
        <f>IF(Trades!$A155="","",Trades!F155)</f>
        <v/>
      </c>
      <c r="M155" s="44" t="str">
        <f>IF(Trades!$A155="","",Trades!M155)</f>
        <v/>
      </c>
      <c r="N155" s="44" t="str">
        <f>IF(Trades!$A155="","",Trades!R155)</f>
        <v/>
      </c>
      <c r="O155" s="44" t="str">
        <f>IF(Trades!$A155="","",Trades!J155)</f>
        <v/>
      </c>
      <c r="P155" s="43" t="str">
        <f>IF(Trades!$A155="","",Trades!H155)</f>
        <v/>
      </c>
      <c r="Q155" s="41" t="str">
        <f>IF(Trades!$A155="","",Trades!P155)</f>
        <v/>
      </c>
      <c r="R155" s="45" t="str">
        <f t="shared" si="34"/>
        <v/>
      </c>
      <c r="S155" s="45" t="str">
        <f t="shared" si="35"/>
        <v/>
      </c>
      <c r="T155" s="46" t="str">
        <f>IF(OR($A155="",$B155=""),"",IF(AND(IFERROR(LOOKUP(2,1/($B$9:$B$154=$B155),$AR$9:$AR154),1),NOT(AND(OR($F155="dividend",$F155="fee"),IFERROR(LOOKUP(2,1/($B$9:$B$154=$B155),$T$9:$T154),0)&gt;0))),IFERROR(LOOKUP(2,1/($B$9:$B$154=$B155),$T$9:$T154),0)+1,IFERROR(LOOKUP(2,1/($B$9:$B$154=$B155),$T$9:$T154),0)))</f>
        <v/>
      </c>
      <c r="U155" s="47" t="str">
        <f t="shared" si="36"/>
        <v/>
      </c>
      <c r="V155" s="47" t="str">
        <f>IF($A155="","",IF(OR($B155="",$C155="",$D155="",$E155="",$F155=""),"Missing required field",IF(COUNTIFS($A$9:$A155,$A155,$B$9:$B155,$B155)&gt;1,"Duplicate event ID",IF(AND($E155&lt;&gt;IFERROR(LOOKUP(2,1/($B$9:$B$154=$B155),$E$9:$E154),0),IFERROR(LOOKUP(2,1/($B$9:$B$154=$B155),$E$9:$E154),0)&gt;$E155),"Date out of order",IF(AND(OR($F155="buy_to_close",$F155="expire",$F155="roll",$F155="assignment",$F155="called_away"),$AF155=0),"Unknown lot",IF(OR(AND($F155="assignment",$AF155&gt;0,IF($AF155&gt;0,INDEX($AG$9:$AG$154,$AF155),"")&lt;&gt;"put"),AND($F155="called_away",$AF155&gt;0,IF($AF155&gt;0,INDEX($AG$9:$AG$154,$AF155),"")&lt;&gt;"call")),"Wrong option leg",IF(OR(AND(OR($F155="sell_put",$F155="sell_call"),OR($H155&lt;=0,$I155&lt;=0,$J155&lt;0)),AND(OR($F155="buy_to_close",$F155="expire",$F155="assignment",$F155="called_away"),OR($H155&lt;=0,$J155&lt;0)),AND($F155="roll",OR($H155&lt;=0,$I155&lt;=0,$J155&lt;0,$K155&lt;0)),AND(OR($F155="buy_shares",$F155="sell_shares"),OR($L155&lt;=0,$M155&lt;0)),AND(OR($F155="dividend",$F155="fee"),$N155&lt;0)),"Invalid value",IF(AND(OR($F155="sell_shares",$F155="called_away"),$AL155&lt;IF($F155="called_away",$AE155*$D155,$L155)),"Insufficient shares (capped)",IF(AND(OR($F155="buy_to_close",$F155="expire",$F155="roll",$F155="assignment",$F155="called_away"),$AF155&gt;0,$H155&gt;IF($AF155&gt;0,MAX(0,INDEX($AI$9:$AI$154,$AF155)-SUMIFS($AE$9:$AE$154,$G$9:$G$154,$G155,$B$9:$B$154,$B155)),0)),"Close quantity capped","OK")))))))))</f>
        <v/>
      </c>
      <c r="W155" s="48" t="str">
        <f t="shared" si="37"/>
        <v/>
      </c>
      <c r="X155" s="49" t="str">
        <f t="shared" si="38"/>
        <v/>
      </c>
      <c r="Y155" s="50" t="str">
        <f t="shared" si="39"/>
        <v/>
      </c>
      <c r="Z155" s="50" t="str">
        <f t="shared" si="40"/>
        <v/>
      </c>
      <c r="AA155" s="50" t="str">
        <f t="shared" si="41"/>
        <v/>
      </c>
      <c r="AB155" s="50" t="str">
        <f t="shared" si="42"/>
        <v/>
      </c>
      <c r="AC155" s="50" t="str">
        <f>IF($A155="","",IF($F155="assignment",IF($AF155&gt;0,INDEX($AH$9:$AH$154,$AF155),0)*$AE155*$D155,IF($F155="buy_shares",$M155*$AL155,0)))</f>
        <v/>
      </c>
      <c r="AD155" s="50" t="str">
        <f>IF($A155="","",IF($F155="called_away",IF($AF155&gt;0,INDEX($AH$9:$AH$154,$AF155),0)*$AL155,IF($F155="sell_shares",$M155*$AL155,0)))</f>
        <v/>
      </c>
      <c r="AE155" s="51" t="str">
        <f>IF($A155="","",IF(OR($F155="sell_put",$F155="sell_call"),IF(AND($H155&gt;0,$I155&gt;0,$J155&gt;=0),$H155,0),IF(OR($F155="buy_to_close",$F155="expire",$F155="roll",$F155="assignment",$F155="called_away"),IF(AND($AF155&gt;0,$H155&gt;0,IF($F155="assignment",IF($AF155&gt;0,INDEX($AG$9:$AG$154,$AF155),"")="put",TRUE),IF($F155="called_away",IF($AF155&gt;0,INDEX($AG$9:$AG$154,$AF155),"")="call",TRUE)),MIN($H155,IF($AF155&gt;0,MAX(0,INDEX($AI$9:$AI$154,$AF155)-SUMIFS($AE$9:$AE$154,$G$9:$G$154,$G155,$B$9:$B$154,$B155)),0)),0),0)))</f>
        <v/>
      </c>
      <c r="AF155" t="str">
        <f>IF($A155="","",IFERROR(MATCH(LEN($B155)&amp;":"&amp;$B155&amp;$G155,$AY$9:$AY$154,0),0))</f>
        <v/>
      </c>
      <c r="AG155" t="str">
        <f>IF($A155="","",IF($F155="sell_put","put",IF($F155="sell_call","call",IF($F155="roll",IF($AF155&gt;0,IF($AF155&gt;0,INDEX($AG$9:$AG$154,$AF155),""),""),IF($AF155&gt;0,IF($AF155&gt;0,INDEX($AG$9:$AG$154,$AF155),""),"")))))</f>
        <v/>
      </c>
      <c r="AH155" t="str">
        <f>IF($A155="","",IF(OR($F155="sell_put",$F155="sell_call",$F155="roll"),$I155,IF($AF155&gt;0,IF($AF155&gt;0,INDEX($AH$9:$AH$154,$AF155),0),0)))</f>
        <v/>
      </c>
      <c r="AI155" s="51" t="str">
        <f t="shared" si="43"/>
        <v/>
      </c>
      <c r="AJ155" s="51" t="str">
        <f>IF($A155="","",IFERROR(LOOKUP(2,1/($B$9:$B$154=$B155),$AM$9:$AM154),0))</f>
        <v/>
      </c>
      <c r="AK155" t="str">
        <f>IF($A155="","",IFERROR(LOOKUP(2,1/($B$9:$B$154=$B155),$AN$9:$AN154),0))</f>
        <v/>
      </c>
      <c r="AL155" s="51" t="str">
        <f t="shared" si="44"/>
        <v/>
      </c>
      <c r="AM155" s="51" t="str">
        <f t="shared" si="45"/>
        <v/>
      </c>
      <c r="AN155" t="str">
        <f t="shared" si="46"/>
        <v/>
      </c>
      <c r="AO155" s="50" t="str">
        <f>IF($A155="","",IFERROR(LOOKUP(2,1/($B$9:$B$154=$B155),$AO$9:$AO154),0)+IF($F155="sell_put",$I155*$AE155*$D155,IF($F155="roll",IF($AG155="put",($I155-IF($AF155&gt;0,INDEX($AH$9:$AH$154,$AF155),0))*$AE155*$D155,0),IF(AND(OR($F155="buy_to_close",$F155="expire",$F155="roll",$F155="assignment",$F155="called_away"),$F155&lt;&gt;"roll",$AG155="put"),-IF($AF155&gt;0,INDEX($AH$9:$AH$154,$AF155),0)*$AE155*$D155,0))))</f>
        <v/>
      </c>
      <c r="AP155" s="51" t="str">
        <f>IF($A155="","",IFERROR(LOOKUP(2,1/($B$9:$B$154=$B155),$AP$9:$AP154),0)+IF($F155="sell_put",$AE155*$D155,IF(AND(OR($F155="buy_to_close",$F155="expire",$F155="roll",$F155="assignment",$F155="called_away"),$F155&lt;&gt;"roll",$AG155="put"),-$AE155*$D155,0)))</f>
        <v/>
      </c>
      <c r="AQ155" s="51" t="str">
        <f>IF($A155="","",IFERROR(LOOKUP(2,1/($B$9:$B$154=$B155),$AQ$9:$AQ154),0)+IF(OR($F155="sell_put",$F155="sell_call"),$AE155,0)-IF(AND(OR($F155="buy_to_close",$F155="expire",$F155="roll",$F155="assignment",$F155="called_away"),$F155&lt;&gt;"roll"),$AE155,0))</f>
        <v/>
      </c>
      <c r="AR155" t="str">
        <f t="shared" si="47"/>
        <v/>
      </c>
      <c r="AS155" s="50" t="str">
        <f t="shared" si="48"/>
        <v/>
      </c>
      <c r="AT155" s="50" t="str">
        <f>IF($A155="","",MAX(IF($T155=IFERROR(LOOKUP(2,1/($B$9:$B$154=$B155),$T$9:$T154),0),IFERROR(LOOKUP(2,1/($B$9:$B$154=$B155),$AT$9:$AT154),0),0),$AS155))</f>
        <v/>
      </c>
      <c r="AU155" t="str">
        <f t="shared" si="49"/>
        <v/>
      </c>
      <c r="AV155" s="51">
        <f>IF($AU155="",0,IF(AND(IFERROR(LOOKUP(2,1/($B$9:$B$154=$B155),$AR$9:$AR154),1),NOT(AND(OR($F155="dividend",$F155="fee"),IFERROR(LOOKUP(2,1/($B$9:$B$154=$B155),$T$9:$T154),0)&gt;0))),ROW(),0))</f>
        <v>0</v>
      </c>
      <c r="AW155">
        <f>IF($A155="",0,IF($AV155&gt;0,MAX($AW$9:$AW$154)+1,MAX($AW$9:$AW$154)))</f>
        <v>0</v>
      </c>
      <c r="AX155">
        <f>IF($AU155="",0,IF(AND($AR155,OR(NOT(IFERROR(LOOKUP(2,1/($B$9:$B$154=$B155),$AR$9:$AR154),1)),IFERROR(LOOKUP(2,1/($B$9:$B$154=$B155),$T$9:$T154),0)=0)),ROW(),0))</f>
        <v>0</v>
      </c>
      <c r="AY155" t="str">
        <f t="shared" si="50"/>
        <v/>
      </c>
    </row>
    <row r="156" spans="1:51" ht="15" x14ac:dyDescent="0.25">
      <c r="A156" s="52" t="str">
        <f>IF(Trades!$A156="","",Trades!O156)</f>
        <v/>
      </c>
      <c r="B156" s="52" t="str">
        <f>IF(Trades!$A156="","",Trades!B156)</f>
        <v/>
      </c>
      <c r="C156" s="52" t="str">
        <f>IF(Trades!$A156="","",Trades!C156)</f>
        <v/>
      </c>
      <c r="D156" s="53" t="str">
        <f>IF(Trades!$A156="","",IF(Trades!$L156&gt;0,Trades!$L156,Trades!$C$6))</f>
        <v/>
      </c>
      <c r="E156" s="54" t="str">
        <f>IF(Trades!$A156="","",Trades!A156)</f>
        <v/>
      </c>
      <c r="F156" s="52" t="str">
        <f>IF(Trades!$A156="","",IFERROR(INDEX(Trades!$V$2:$V$14,MATCH(Trades!$E156,Trades!$U$2:$U$14,0)),""))</f>
        <v/>
      </c>
      <c r="G156" s="52" t="str">
        <f>IF(Trades!$A156="","",Trades!N156)</f>
        <v/>
      </c>
      <c r="H156" s="53" t="str">
        <f>IF(Trades!$A156="","",Trades!F156)</f>
        <v/>
      </c>
      <c r="I156" s="55" t="str">
        <f>IF(Trades!$A156="","",Trades!G156)</f>
        <v/>
      </c>
      <c r="J156" s="55" t="str">
        <f>IF(Trades!$A156="","",Trades!I156)</f>
        <v/>
      </c>
      <c r="K156" s="55" t="str">
        <f>IF(Trades!$A156="","",Trades!Q156)</f>
        <v/>
      </c>
      <c r="L156" s="53" t="str">
        <f>IF(Trades!$A156="","",Trades!F156)</f>
        <v/>
      </c>
      <c r="M156" s="55" t="str">
        <f>IF(Trades!$A156="","",Trades!M156)</f>
        <v/>
      </c>
      <c r="N156" s="55" t="str">
        <f>IF(Trades!$A156="","",Trades!R156)</f>
        <v/>
      </c>
      <c r="O156" s="55" t="str">
        <f>IF(Trades!$A156="","",Trades!J156)</f>
        <v/>
      </c>
      <c r="P156" s="54" t="str">
        <f>IF(Trades!$A156="","",Trades!H156)</f>
        <v/>
      </c>
      <c r="Q156" s="52" t="str">
        <f>IF(Trades!$A156="","",Trades!P156)</f>
        <v/>
      </c>
      <c r="R156" s="56" t="str">
        <f t="shared" si="34"/>
        <v/>
      </c>
      <c r="S156" s="56" t="str">
        <f t="shared" si="35"/>
        <v/>
      </c>
      <c r="T156" s="57" t="str">
        <f>IF(OR($A156="",$B156=""),"",IF(AND(IFERROR(LOOKUP(2,1/($B$9:$B$155=$B156),$AR$9:$AR155),1),NOT(AND(OR($F156="dividend",$F156="fee"),IFERROR(LOOKUP(2,1/($B$9:$B$155=$B156),$T$9:$T155),0)&gt;0))),IFERROR(LOOKUP(2,1/($B$9:$B$155=$B156),$T$9:$T155),0)+1,IFERROR(LOOKUP(2,1/($B$9:$B$155=$B156),$T$9:$T155),0)))</f>
        <v/>
      </c>
      <c r="U156" s="58" t="str">
        <f t="shared" si="36"/>
        <v/>
      </c>
      <c r="V156" s="58" t="str">
        <f>IF($A156="","",IF(OR($B156="",$C156="",$D156="",$E156="",$F156=""),"Missing required field",IF(COUNTIFS($A$9:$A156,$A156,$B$9:$B156,$B156)&gt;1,"Duplicate event ID",IF(AND($E156&lt;&gt;IFERROR(LOOKUP(2,1/($B$9:$B$155=$B156),$E$9:$E155),0),IFERROR(LOOKUP(2,1/($B$9:$B$155=$B156),$E$9:$E155),0)&gt;$E156),"Date out of order",IF(AND(OR($F156="buy_to_close",$F156="expire",$F156="roll",$F156="assignment",$F156="called_away"),$AF156=0),"Unknown lot",IF(OR(AND($F156="assignment",$AF156&gt;0,IF($AF156&gt;0,INDEX($AG$9:$AG$155,$AF156),"")&lt;&gt;"put"),AND($F156="called_away",$AF156&gt;0,IF($AF156&gt;0,INDEX($AG$9:$AG$155,$AF156),"")&lt;&gt;"call")),"Wrong option leg",IF(OR(AND(OR($F156="sell_put",$F156="sell_call"),OR($H156&lt;=0,$I156&lt;=0,$J156&lt;0)),AND(OR($F156="buy_to_close",$F156="expire",$F156="assignment",$F156="called_away"),OR($H156&lt;=0,$J156&lt;0)),AND($F156="roll",OR($H156&lt;=0,$I156&lt;=0,$J156&lt;0,$K156&lt;0)),AND(OR($F156="buy_shares",$F156="sell_shares"),OR($L156&lt;=0,$M156&lt;0)),AND(OR($F156="dividend",$F156="fee"),$N156&lt;0)),"Invalid value",IF(AND(OR($F156="sell_shares",$F156="called_away"),$AL156&lt;IF($F156="called_away",$AE156*$D156,$L156)),"Insufficient shares (capped)",IF(AND(OR($F156="buy_to_close",$F156="expire",$F156="roll",$F156="assignment",$F156="called_away"),$AF156&gt;0,$H156&gt;IF($AF156&gt;0,MAX(0,INDEX($AI$9:$AI$155,$AF156)-SUMIFS($AE$9:$AE$155,$G$9:$G$155,$G156,$B$9:$B$155,$B156)),0)),"Close quantity capped","OK")))))))))</f>
        <v/>
      </c>
      <c r="W156" s="59" t="str">
        <f t="shared" si="37"/>
        <v/>
      </c>
      <c r="X156" s="60" t="str">
        <f t="shared" si="38"/>
        <v/>
      </c>
      <c r="Y156" s="50" t="str">
        <f t="shared" si="39"/>
        <v/>
      </c>
      <c r="Z156" s="50" t="str">
        <f t="shared" si="40"/>
        <v/>
      </c>
      <c r="AA156" s="50" t="str">
        <f t="shared" si="41"/>
        <v/>
      </c>
      <c r="AB156" s="50" t="str">
        <f t="shared" si="42"/>
        <v/>
      </c>
      <c r="AC156" s="50" t="str">
        <f>IF($A156="","",IF($F156="assignment",IF($AF156&gt;0,INDEX($AH$9:$AH$155,$AF156),0)*$AE156*$D156,IF($F156="buy_shares",$M156*$AL156,0)))</f>
        <v/>
      </c>
      <c r="AD156" s="50" t="str">
        <f>IF($A156="","",IF($F156="called_away",IF($AF156&gt;0,INDEX($AH$9:$AH$155,$AF156),0)*$AL156,IF($F156="sell_shares",$M156*$AL156,0)))</f>
        <v/>
      </c>
      <c r="AE156" s="51" t="str">
        <f>IF($A156="","",IF(OR($F156="sell_put",$F156="sell_call"),IF(AND($H156&gt;0,$I156&gt;0,$J156&gt;=0),$H156,0),IF(OR($F156="buy_to_close",$F156="expire",$F156="roll",$F156="assignment",$F156="called_away"),IF(AND($AF156&gt;0,$H156&gt;0,IF($F156="assignment",IF($AF156&gt;0,INDEX($AG$9:$AG$155,$AF156),"")="put",TRUE),IF($F156="called_away",IF($AF156&gt;0,INDEX($AG$9:$AG$155,$AF156),"")="call",TRUE)),MIN($H156,IF($AF156&gt;0,MAX(0,INDEX($AI$9:$AI$155,$AF156)-SUMIFS($AE$9:$AE$155,$G$9:$G$155,$G156,$B$9:$B$155,$B156)),0)),0),0)))</f>
        <v/>
      </c>
      <c r="AF156" t="str">
        <f>IF($A156="","",IFERROR(MATCH(LEN($B156)&amp;":"&amp;$B156&amp;$G156,$AY$9:$AY$155,0),0))</f>
        <v/>
      </c>
      <c r="AG156" t="str">
        <f>IF($A156="","",IF($F156="sell_put","put",IF($F156="sell_call","call",IF($F156="roll",IF($AF156&gt;0,IF($AF156&gt;0,INDEX($AG$9:$AG$155,$AF156),""),""),IF($AF156&gt;0,IF($AF156&gt;0,INDEX($AG$9:$AG$155,$AF156),""),"")))))</f>
        <v/>
      </c>
      <c r="AH156" t="str">
        <f>IF($A156="","",IF(OR($F156="sell_put",$F156="sell_call",$F156="roll"),$I156,IF($AF156&gt;0,IF($AF156&gt;0,INDEX($AH$9:$AH$155,$AF156),0),0)))</f>
        <v/>
      </c>
      <c r="AI156" s="51" t="str">
        <f t="shared" si="43"/>
        <v/>
      </c>
      <c r="AJ156" s="51" t="str">
        <f>IF($A156="","",IFERROR(LOOKUP(2,1/($B$9:$B$155=$B156),$AM$9:$AM155),0))</f>
        <v/>
      </c>
      <c r="AK156" t="str">
        <f>IF($A156="","",IFERROR(LOOKUP(2,1/($B$9:$B$155=$B156),$AN$9:$AN155),0))</f>
        <v/>
      </c>
      <c r="AL156" s="51" t="str">
        <f t="shared" si="44"/>
        <v/>
      </c>
      <c r="AM156" s="51" t="str">
        <f t="shared" si="45"/>
        <v/>
      </c>
      <c r="AN156" t="str">
        <f t="shared" si="46"/>
        <v/>
      </c>
      <c r="AO156" s="50" t="str">
        <f>IF($A156="","",IFERROR(LOOKUP(2,1/($B$9:$B$155=$B156),$AO$9:$AO155),0)+IF($F156="sell_put",$I156*$AE156*$D156,IF($F156="roll",IF($AG156="put",($I156-IF($AF156&gt;0,INDEX($AH$9:$AH$155,$AF156),0))*$AE156*$D156,0),IF(AND(OR($F156="buy_to_close",$F156="expire",$F156="roll",$F156="assignment",$F156="called_away"),$F156&lt;&gt;"roll",$AG156="put"),-IF($AF156&gt;0,INDEX($AH$9:$AH$155,$AF156),0)*$AE156*$D156,0))))</f>
        <v/>
      </c>
      <c r="AP156" s="51" t="str">
        <f>IF($A156="","",IFERROR(LOOKUP(2,1/($B$9:$B$155=$B156),$AP$9:$AP155),0)+IF($F156="sell_put",$AE156*$D156,IF(AND(OR($F156="buy_to_close",$F156="expire",$F156="roll",$F156="assignment",$F156="called_away"),$F156&lt;&gt;"roll",$AG156="put"),-$AE156*$D156,0)))</f>
        <v/>
      </c>
      <c r="AQ156" s="51" t="str">
        <f>IF($A156="","",IFERROR(LOOKUP(2,1/($B$9:$B$155=$B156),$AQ$9:$AQ155),0)+IF(OR($F156="sell_put",$F156="sell_call"),$AE156,0)-IF(AND(OR($F156="buy_to_close",$F156="expire",$F156="roll",$F156="assignment",$F156="called_away"),$F156&lt;&gt;"roll"),$AE156,0))</f>
        <v/>
      </c>
      <c r="AR156" t="str">
        <f t="shared" si="47"/>
        <v/>
      </c>
      <c r="AS156" s="50" t="str">
        <f t="shared" si="48"/>
        <v/>
      </c>
      <c r="AT156" s="50" t="str">
        <f>IF($A156="","",MAX(IF($T156=IFERROR(LOOKUP(2,1/($B$9:$B$155=$B156),$T$9:$T155),0),IFERROR(LOOKUP(2,1/($B$9:$B$155=$B156),$AT$9:$AT155),0),0),$AS156))</f>
        <v/>
      </c>
      <c r="AU156" t="str">
        <f t="shared" si="49"/>
        <v/>
      </c>
      <c r="AV156" s="51">
        <f>IF($AU156="",0,IF(AND(IFERROR(LOOKUP(2,1/($B$9:$B$155=$B156),$AR$9:$AR155),1),NOT(AND(OR($F156="dividend",$F156="fee"),IFERROR(LOOKUP(2,1/($B$9:$B$155=$B156),$T$9:$T155),0)&gt;0))),ROW(),0))</f>
        <v>0</v>
      </c>
      <c r="AW156">
        <f>IF($A156="",0,IF($AV156&gt;0,MAX($AW$9:$AW$155)+1,MAX($AW$9:$AW$155)))</f>
        <v>0</v>
      </c>
      <c r="AX156">
        <f>IF($AU156="",0,IF(AND($AR156,OR(NOT(IFERROR(LOOKUP(2,1/($B$9:$B$155=$B156),$AR$9:$AR155),1)),IFERROR(LOOKUP(2,1/($B$9:$B$155=$B156),$T$9:$T155),0)=0)),ROW(),0))</f>
        <v>0</v>
      </c>
      <c r="AY156" t="str">
        <f t="shared" si="50"/>
        <v/>
      </c>
    </row>
    <row r="157" spans="1:51" ht="15" x14ac:dyDescent="0.25">
      <c r="A157" s="41" t="str">
        <f>IF(Trades!$A157="","",Trades!O157)</f>
        <v/>
      </c>
      <c r="B157" s="41" t="str">
        <f>IF(Trades!$A157="","",Trades!B157)</f>
        <v/>
      </c>
      <c r="C157" s="41" t="str">
        <f>IF(Trades!$A157="","",Trades!C157)</f>
        <v/>
      </c>
      <c r="D157" s="42" t="str">
        <f>IF(Trades!$A157="","",IF(Trades!$L157&gt;0,Trades!$L157,Trades!$C$6))</f>
        <v/>
      </c>
      <c r="E157" s="43" t="str">
        <f>IF(Trades!$A157="","",Trades!A157)</f>
        <v/>
      </c>
      <c r="F157" s="41" t="str">
        <f>IF(Trades!$A157="","",IFERROR(INDEX(Trades!$V$2:$V$14,MATCH(Trades!$E157,Trades!$U$2:$U$14,0)),""))</f>
        <v/>
      </c>
      <c r="G157" s="41" t="str">
        <f>IF(Trades!$A157="","",Trades!N157)</f>
        <v/>
      </c>
      <c r="H157" s="42" t="str">
        <f>IF(Trades!$A157="","",Trades!F157)</f>
        <v/>
      </c>
      <c r="I157" s="44" t="str">
        <f>IF(Trades!$A157="","",Trades!G157)</f>
        <v/>
      </c>
      <c r="J157" s="44" t="str">
        <f>IF(Trades!$A157="","",Trades!I157)</f>
        <v/>
      </c>
      <c r="K157" s="44" t="str">
        <f>IF(Trades!$A157="","",Trades!Q157)</f>
        <v/>
      </c>
      <c r="L157" s="42" t="str">
        <f>IF(Trades!$A157="","",Trades!F157)</f>
        <v/>
      </c>
      <c r="M157" s="44" t="str">
        <f>IF(Trades!$A157="","",Trades!M157)</f>
        <v/>
      </c>
      <c r="N157" s="44" t="str">
        <f>IF(Trades!$A157="","",Trades!R157)</f>
        <v/>
      </c>
      <c r="O157" s="44" t="str">
        <f>IF(Trades!$A157="","",Trades!J157)</f>
        <v/>
      </c>
      <c r="P157" s="43" t="str">
        <f>IF(Trades!$A157="","",Trades!H157)</f>
        <v/>
      </c>
      <c r="Q157" s="41" t="str">
        <f>IF(Trades!$A157="","",Trades!P157)</f>
        <v/>
      </c>
      <c r="R157" s="45" t="str">
        <f t="shared" si="34"/>
        <v/>
      </c>
      <c r="S157" s="45" t="str">
        <f t="shared" si="35"/>
        <v/>
      </c>
      <c r="T157" s="46" t="str">
        <f>IF(OR($A157="",$B157=""),"",IF(AND(IFERROR(LOOKUP(2,1/($B$9:$B$156=$B157),$AR$9:$AR156),1),NOT(AND(OR($F157="dividend",$F157="fee"),IFERROR(LOOKUP(2,1/($B$9:$B$156=$B157),$T$9:$T156),0)&gt;0))),IFERROR(LOOKUP(2,1/($B$9:$B$156=$B157),$T$9:$T156),0)+1,IFERROR(LOOKUP(2,1/($B$9:$B$156=$B157),$T$9:$T156),0)))</f>
        <v/>
      </c>
      <c r="U157" s="47" t="str">
        <f t="shared" si="36"/>
        <v/>
      </c>
      <c r="V157" s="47" t="str">
        <f>IF($A157="","",IF(OR($B157="",$C157="",$D157="",$E157="",$F157=""),"Missing required field",IF(COUNTIFS($A$9:$A157,$A157,$B$9:$B157,$B157)&gt;1,"Duplicate event ID",IF(AND($E157&lt;&gt;IFERROR(LOOKUP(2,1/($B$9:$B$156=$B157),$E$9:$E156),0),IFERROR(LOOKUP(2,1/($B$9:$B$156=$B157),$E$9:$E156),0)&gt;$E157),"Date out of order",IF(AND(OR($F157="buy_to_close",$F157="expire",$F157="roll",$F157="assignment",$F157="called_away"),$AF157=0),"Unknown lot",IF(OR(AND($F157="assignment",$AF157&gt;0,IF($AF157&gt;0,INDEX($AG$9:$AG$156,$AF157),"")&lt;&gt;"put"),AND($F157="called_away",$AF157&gt;0,IF($AF157&gt;0,INDEX($AG$9:$AG$156,$AF157),"")&lt;&gt;"call")),"Wrong option leg",IF(OR(AND(OR($F157="sell_put",$F157="sell_call"),OR($H157&lt;=0,$I157&lt;=0,$J157&lt;0)),AND(OR($F157="buy_to_close",$F157="expire",$F157="assignment",$F157="called_away"),OR($H157&lt;=0,$J157&lt;0)),AND($F157="roll",OR($H157&lt;=0,$I157&lt;=0,$J157&lt;0,$K157&lt;0)),AND(OR($F157="buy_shares",$F157="sell_shares"),OR($L157&lt;=0,$M157&lt;0)),AND(OR($F157="dividend",$F157="fee"),$N157&lt;0)),"Invalid value",IF(AND(OR($F157="sell_shares",$F157="called_away"),$AL157&lt;IF($F157="called_away",$AE157*$D157,$L157)),"Insufficient shares (capped)",IF(AND(OR($F157="buy_to_close",$F157="expire",$F157="roll",$F157="assignment",$F157="called_away"),$AF157&gt;0,$H157&gt;IF($AF157&gt;0,MAX(0,INDEX($AI$9:$AI$156,$AF157)-SUMIFS($AE$9:$AE$156,$G$9:$G$156,$G157,$B$9:$B$156,$B157)),0)),"Close quantity capped","OK")))))))))</f>
        <v/>
      </c>
      <c r="W157" s="48" t="str">
        <f t="shared" si="37"/>
        <v/>
      </c>
      <c r="X157" s="49" t="str">
        <f t="shared" si="38"/>
        <v/>
      </c>
      <c r="Y157" s="50" t="str">
        <f t="shared" si="39"/>
        <v/>
      </c>
      <c r="Z157" s="50" t="str">
        <f t="shared" si="40"/>
        <v/>
      </c>
      <c r="AA157" s="50" t="str">
        <f t="shared" si="41"/>
        <v/>
      </c>
      <c r="AB157" s="50" t="str">
        <f t="shared" si="42"/>
        <v/>
      </c>
      <c r="AC157" s="50" t="str">
        <f>IF($A157="","",IF($F157="assignment",IF($AF157&gt;0,INDEX($AH$9:$AH$156,$AF157),0)*$AE157*$D157,IF($F157="buy_shares",$M157*$AL157,0)))</f>
        <v/>
      </c>
      <c r="AD157" s="50" t="str">
        <f>IF($A157="","",IF($F157="called_away",IF($AF157&gt;0,INDEX($AH$9:$AH$156,$AF157),0)*$AL157,IF($F157="sell_shares",$M157*$AL157,0)))</f>
        <v/>
      </c>
      <c r="AE157" s="51" t="str">
        <f>IF($A157="","",IF(OR($F157="sell_put",$F157="sell_call"),IF(AND($H157&gt;0,$I157&gt;0,$J157&gt;=0),$H157,0),IF(OR($F157="buy_to_close",$F157="expire",$F157="roll",$F157="assignment",$F157="called_away"),IF(AND($AF157&gt;0,$H157&gt;0,IF($F157="assignment",IF($AF157&gt;0,INDEX($AG$9:$AG$156,$AF157),"")="put",TRUE),IF($F157="called_away",IF($AF157&gt;0,INDEX($AG$9:$AG$156,$AF157),"")="call",TRUE)),MIN($H157,IF($AF157&gt;0,MAX(0,INDEX($AI$9:$AI$156,$AF157)-SUMIFS($AE$9:$AE$156,$G$9:$G$156,$G157,$B$9:$B$156,$B157)),0)),0),0)))</f>
        <v/>
      </c>
      <c r="AF157" t="str">
        <f>IF($A157="","",IFERROR(MATCH(LEN($B157)&amp;":"&amp;$B157&amp;$G157,$AY$9:$AY$156,0),0))</f>
        <v/>
      </c>
      <c r="AG157" t="str">
        <f>IF($A157="","",IF($F157="sell_put","put",IF($F157="sell_call","call",IF($F157="roll",IF($AF157&gt;0,IF($AF157&gt;0,INDEX($AG$9:$AG$156,$AF157),""),""),IF($AF157&gt;0,IF($AF157&gt;0,INDEX($AG$9:$AG$156,$AF157),""),"")))))</f>
        <v/>
      </c>
      <c r="AH157" t="str">
        <f>IF($A157="","",IF(OR($F157="sell_put",$F157="sell_call",$F157="roll"),$I157,IF($AF157&gt;0,IF($AF157&gt;0,INDEX($AH$9:$AH$156,$AF157),0),0)))</f>
        <v/>
      </c>
      <c r="AI157" s="51" t="str">
        <f t="shared" si="43"/>
        <v/>
      </c>
      <c r="AJ157" s="51" t="str">
        <f>IF($A157="","",IFERROR(LOOKUP(2,1/($B$9:$B$156=$B157),$AM$9:$AM156),0))</f>
        <v/>
      </c>
      <c r="AK157" t="str">
        <f>IF($A157="","",IFERROR(LOOKUP(2,1/($B$9:$B$156=$B157),$AN$9:$AN156),0))</f>
        <v/>
      </c>
      <c r="AL157" s="51" t="str">
        <f t="shared" si="44"/>
        <v/>
      </c>
      <c r="AM157" s="51" t="str">
        <f t="shared" si="45"/>
        <v/>
      </c>
      <c r="AN157" t="str">
        <f t="shared" si="46"/>
        <v/>
      </c>
      <c r="AO157" s="50" t="str">
        <f>IF($A157="","",IFERROR(LOOKUP(2,1/($B$9:$B$156=$B157),$AO$9:$AO156),0)+IF($F157="sell_put",$I157*$AE157*$D157,IF($F157="roll",IF($AG157="put",($I157-IF($AF157&gt;0,INDEX($AH$9:$AH$156,$AF157),0))*$AE157*$D157,0),IF(AND(OR($F157="buy_to_close",$F157="expire",$F157="roll",$F157="assignment",$F157="called_away"),$F157&lt;&gt;"roll",$AG157="put"),-IF($AF157&gt;0,INDEX($AH$9:$AH$156,$AF157),0)*$AE157*$D157,0))))</f>
        <v/>
      </c>
      <c r="AP157" s="51" t="str">
        <f>IF($A157="","",IFERROR(LOOKUP(2,1/($B$9:$B$156=$B157),$AP$9:$AP156),0)+IF($F157="sell_put",$AE157*$D157,IF(AND(OR($F157="buy_to_close",$F157="expire",$F157="roll",$F157="assignment",$F157="called_away"),$F157&lt;&gt;"roll",$AG157="put"),-$AE157*$D157,0)))</f>
        <v/>
      </c>
      <c r="AQ157" s="51" t="str">
        <f>IF($A157="","",IFERROR(LOOKUP(2,1/($B$9:$B$156=$B157),$AQ$9:$AQ156),0)+IF(OR($F157="sell_put",$F157="sell_call"),$AE157,0)-IF(AND(OR($F157="buy_to_close",$F157="expire",$F157="roll",$F157="assignment",$F157="called_away"),$F157&lt;&gt;"roll"),$AE157,0))</f>
        <v/>
      </c>
      <c r="AR157" t="str">
        <f t="shared" si="47"/>
        <v/>
      </c>
      <c r="AS157" s="50" t="str">
        <f t="shared" si="48"/>
        <v/>
      </c>
      <c r="AT157" s="50" t="str">
        <f>IF($A157="","",MAX(IF($T157=IFERROR(LOOKUP(2,1/($B$9:$B$156=$B157),$T$9:$T156),0),IFERROR(LOOKUP(2,1/($B$9:$B$156=$B157),$AT$9:$AT156),0),0),$AS157))</f>
        <v/>
      </c>
      <c r="AU157" t="str">
        <f t="shared" si="49"/>
        <v/>
      </c>
      <c r="AV157" s="51">
        <f>IF($AU157="",0,IF(AND(IFERROR(LOOKUP(2,1/($B$9:$B$156=$B157),$AR$9:$AR156),1),NOT(AND(OR($F157="dividend",$F157="fee"),IFERROR(LOOKUP(2,1/($B$9:$B$156=$B157),$T$9:$T156),0)&gt;0))),ROW(),0))</f>
        <v>0</v>
      </c>
      <c r="AW157">
        <f>IF($A157="",0,IF($AV157&gt;0,MAX($AW$9:$AW$156)+1,MAX($AW$9:$AW$156)))</f>
        <v>0</v>
      </c>
      <c r="AX157">
        <f>IF($AU157="",0,IF(AND($AR157,OR(NOT(IFERROR(LOOKUP(2,1/($B$9:$B$156=$B157),$AR$9:$AR156),1)),IFERROR(LOOKUP(2,1/($B$9:$B$156=$B157),$T$9:$T156),0)=0)),ROW(),0))</f>
        <v>0</v>
      </c>
      <c r="AY157" t="str">
        <f t="shared" si="50"/>
        <v/>
      </c>
    </row>
    <row r="158" spans="1:51" ht="15" x14ac:dyDescent="0.25">
      <c r="A158" s="52" t="str">
        <f>IF(Trades!$A158="","",Trades!O158)</f>
        <v/>
      </c>
      <c r="B158" s="52" t="str">
        <f>IF(Trades!$A158="","",Trades!B158)</f>
        <v/>
      </c>
      <c r="C158" s="52" t="str">
        <f>IF(Trades!$A158="","",Trades!C158)</f>
        <v/>
      </c>
      <c r="D158" s="53" t="str">
        <f>IF(Trades!$A158="","",IF(Trades!$L158&gt;0,Trades!$L158,Trades!$C$6))</f>
        <v/>
      </c>
      <c r="E158" s="54" t="str">
        <f>IF(Trades!$A158="","",Trades!A158)</f>
        <v/>
      </c>
      <c r="F158" s="52" t="str">
        <f>IF(Trades!$A158="","",IFERROR(INDEX(Trades!$V$2:$V$14,MATCH(Trades!$E158,Trades!$U$2:$U$14,0)),""))</f>
        <v/>
      </c>
      <c r="G158" s="52" t="str">
        <f>IF(Trades!$A158="","",Trades!N158)</f>
        <v/>
      </c>
      <c r="H158" s="53" t="str">
        <f>IF(Trades!$A158="","",Trades!F158)</f>
        <v/>
      </c>
      <c r="I158" s="55" t="str">
        <f>IF(Trades!$A158="","",Trades!G158)</f>
        <v/>
      </c>
      <c r="J158" s="55" t="str">
        <f>IF(Trades!$A158="","",Trades!I158)</f>
        <v/>
      </c>
      <c r="K158" s="55" t="str">
        <f>IF(Trades!$A158="","",Trades!Q158)</f>
        <v/>
      </c>
      <c r="L158" s="53" t="str">
        <f>IF(Trades!$A158="","",Trades!F158)</f>
        <v/>
      </c>
      <c r="M158" s="55" t="str">
        <f>IF(Trades!$A158="","",Trades!M158)</f>
        <v/>
      </c>
      <c r="N158" s="55" t="str">
        <f>IF(Trades!$A158="","",Trades!R158)</f>
        <v/>
      </c>
      <c r="O158" s="55" t="str">
        <f>IF(Trades!$A158="","",Trades!J158)</f>
        <v/>
      </c>
      <c r="P158" s="54" t="str">
        <f>IF(Trades!$A158="","",Trades!H158)</f>
        <v/>
      </c>
      <c r="Q158" s="52" t="str">
        <f>IF(Trades!$A158="","",Trades!P158)</f>
        <v/>
      </c>
      <c r="R158" s="56" t="str">
        <f t="shared" si="34"/>
        <v/>
      </c>
      <c r="S158" s="56" t="str">
        <f t="shared" si="35"/>
        <v/>
      </c>
      <c r="T158" s="57" t="str">
        <f>IF(OR($A158="",$B158=""),"",IF(AND(IFERROR(LOOKUP(2,1/($B$9:$B$157=$B158),$AR$9:$AR157),1),NOT(AND(OR($F158="dividend",$F158="fee"),IFERROR(LOOKUP(2,1/($B$9:$B$157=$B158),$T$9:$T157),0)&gt;0))),IFERROR(LOOKUP(2,1/($B$9:$B$157=$B158),$T$9:$T157),0)+1,IFERROR(LOOKUP(2,1/($B$9:$B$157=$B158),$T$9:$T157),0)))</f>
        <v/>
      </c>
      <c r="U158" s="58" t="str">
        <f t="shared" si="36"/>
        <v/>
      </c>
      <c r="V158" s="58" t="str">
        <f>IF($A158="","",IF(OR($B158="",$C158="",$D158="",$E158="",$F158=""),"Missing required field",IF(COUNTIFS($A$9:$A158,$A158,$B$9:$B158,$B158)&gt;1,"Duplicate event ID",IF(AND($E158&lt;&gt;IFERROR(LOOKUP(2,1/($B$9:$B$157=$B158),$E$9:$E157),0),IFERROR(LOOKUP(2,1/($B$9:$B$157=$B158),$E$9:$E157),0)&gt;$E158),"Date out of order",IF(AND(OR($F158="buy_to_close",$F158="expire",$F158="roll",$F158="assignment",$F158="called_away"),$AF158=0),"Unknown lot",IF(OR(AND($F158="assignment",$AF158&gt;0,IF($AF158&gt;0,INDEX($AG$9:$AG$157,$AF158),"")&lt;&gt;"put"),AND($F158="called_away",$AF158&gt;0,IF($AF158&gt;0,INDEX($AG$9:$AG$157,$AF158),"")&lt;&gt;"call")),"Wrong option leg",IF(OR(AND(OR($F158="sell_put",$F158="sell_call"),OR($H158&lt;=0,$I158&lt;=0,$J158&lt;0)),AND(OR($F158="buy_to_close",$F158="expire",$F158="assignment",$F158="called_away"),OR($H158&lt;=0,$J158&lt;0)),AND($F158="roll",OR($H158&lt;=0,$I158&lt;=0,$J158&lt;0,$K158&lt;0)),AND(OR($F158="buy_shares",$F158="sell_shares"),OR($L158&lt;=0,$M158&lt;0)),AND(OR($F158="dividend",$F158="fee"),$N158&lt;0)),"Invalid value",IF(AND(OR($F158="sell_shares",$F158="called_away"),$AL158&lt;IF($F158="called_away",$AE158*$D158,$L158)),"Insufficient shares (capped)",IF(AND(OR($F158="buy_to_close",$F158="expire",$F158="roll",$F158="assignment",$F158="called_away"),$AF158&gt;0,$H158&gt;IF($AF158&gt;0,MAX(0,INDEX($AI$9:$AI$157,$AF158)-SUMIFS($AE$9:$AE$157,$G$9:$G$157,$G158,$B$9:$B$157,$B158)),0)),"Close quantity capped","OK")))))))))</f>
        <v/>
      </c>
      <c r="W158" s="59" t="str">
        <f t="shared" si="37"/>
        <v/>
      </c>
      <c r="X158" s="60" t="str">
        <f t="shared" si="38"/>
        <v/>
      </c>
      <c r="Y158" s="50" t="str">
        <f t="shared" si="39"/>
        <v/>
      </c>
      <c r="Z158" s="50" t="str">
        <f t="shared" si="40"/>
        <v/>
      </c>
      <c r="AA158" s="50" t="str">
        <f t="shared" si="41"/>
        <v/>
      </c>
      <c r="AB158" s="50" t="str">
        <f t="shared" si="42"/>
        <v/>
      </c>
      <c r="AC158" s="50" t="str">
        <f>IF($A158="","",IF($F158="assignment",IF($AF158&gt;0,INDEX($AH$9:$AH$157,$AF158),0)*$AE158*$D158,IF($F158="buy_shares",$M158*$AL158,0)))</f>
        <v/>
      </c>
      <c r="AD158" s="50" t="str">
        <f>IF($A158="","",IF($F158="called_away",IF($AF158&gt;0,INDEX($AH$9:$AH$157,$AF158),0)*$AL158,IF($F158="sell_shares",$M158*$AL158,0)))</f>
        <v/>
      </c>
      <c r="AE158" s="51" t="str">
        <f>IF($A158="","",IF(OR($F158="sell_put",$F158="sell_call"),IF(AND($H158&gt;0,$I158&gt;0,$J158&gt;=0),$H158,0),IF(OR($F158="buy_to_close",$F158="expire",$F158="roll",$F158="assignment",$F158="called_away"),IF(AND($AF158&gt;0,$H158&gt;0,IF($F158="assignment",IF($AF158&gt;0,INDEX($AG$9:$AG$157,$AF158),"")="put",TRUE),IF($F158="called_away",IF($AF158&gt;0,INDEX($AG$9:$AG$157,$AF158),"")="call",TRUE)),MIN($H158,IF($AF158&gt;0,MAX(0,INDEX($AI$9:$AI$157,$AF158)-SUMIFS($AE$9:$AE$157,$G$9:$G$157,$G158,$B$9:$B$157,$B158)),0)),0),0)))</f>
        <v/>
      </c>
      <c r="AF158" t="str">
        <f>IF($A158="","",IFERROR(MATCH(LEN($B158)&amp;":"&amp;$B158&amp;$G158,$AY$9:$AY$157,0),0))</f>
        <v/>
      </c>
      <c r="AG158" t="str">
        <f>IF($A158="","",IF($F158="sell_put","put",IF($F158="sell_call","call",IF($F158="roll",IF($AF158&gt;0,IF($AF158&gt;0,INDEX($AG$9:$AG$157,$AF158),""),""),IF($AF158&gt;0,IF($AF158&gt;0,INDEX($AG$9:$AG$157,$AF158),""),"")))))</f>
        <v/>
      </c>
      <c r="AH158" t="str">
        <f>IF($A158="","",IF(OR($F158="sell_put",$F158="sell_call",$F158="roll"),$I158,IF($AF158&gt;0,IF($AF158&gt;0,INDEX($AH$9:$AH$157,$AF158),0),0)))</f>
        <v/>
      </c>
      <c r="AI158" s="51" t="str">
        <f t="shared" si="43"/>
        <v/>
      </c>
      <c r="AJ158" s="51" t="str">
        <f>IF($A158="","",IFERROR(LOOKUP(2,1/($B$9:$B$157=$B158),$AM$9:$AM157),0))</f>
        <v/>
      </c>
      <c r="AK158" t="str">
        <f>IF($A158="","",IFERROR(LOOKUP(2,1/($B$9:$B$157=$B158),$AN$9:$AN157),0))</f>
        <v/>
      </c>
      <c r="AL158" s="51" t="str">
        <f t="shared" si="44"/>
        <v/>
      </c>
      <c r="AM158" s="51" t="str">
        <f t="shared" si="45"/>
        <v/>
      </c>
      <c r="AN158" t="str">
        <f t="shared" si="46"/>
        <v/>
      </c>
      <c r="AO158" s="50" t="str">
        <f>IF($A158="","",IFERROR(LOOKUP(2,1/($B$9:$B$157=$B158),$AO$9:$AO157),0)+IF($F158="sell_put",$I158*$AE158*$D158,IF($F158="roll",IF($AG158="put",($I158-IF($AF158&gt;0,INDEX($AH$9:$AH$157,$AF158),0))*$AE158*$D158,0),IF(AND(OR($F158="buy_to_close",$F158="expire",$F158="roll",$F158="assignment",$F158="called_away"),$F158&lt;&gt;"roll",$AG158="put"),-IF($AF158&gt;0,INDEX($AH$9:$AH$157,$AF158),0)*$AE158*$D158,0))))</f>
        <v/>
      </c>
      <c r="AP158" s="51" t="str">
        <f>IF($A158="","",IFERROR(LOOKUP(2,1/($B$9:$B$157=$B158),$AP$9:$AP157),0)+IF($F158="sell_put",$AE158*$D158,IF(AND(OR($F158="buy_to_close",$F158="expire",$F158="roll",$F158="assignment",$F158="called_away"),$F158&lt;&gt;"roll",$AG158="put"),-$AE158*$D158,0)))</f>
        <v/>
      </c>
      <c r="AQ158" s="51" t="str">
        <f>IF($A158="","",IFERROR(LOOKUP(2,1/($B$9:$B$157=$B158),$AQ$9:$AQ157),0)+IF(OR($F158="sell_put",$F158="sell_call"),$AE158,0)-IF(AND(OR($F158="buy_to_close",$F158="expire",$F158="roll",$F158="assignment",$F158="called_away"),$F158&lt;&gt;"roll"),$AE158,0))</f>
        <v/>
      </c>
      <c r="AR158" t="str">
        <f t="shared" si="47"/>
        <v/>
      </c>
      <c r="AS158" s="50" t="str">
        <f t="shared" si="48"/>
        <v/>
      </c>
      <c r="AT158" s="50" t="str">
        <f>IF($A158="","",MAX(IF($T158=IFERROR(LOOKUP(2,1/($B$9:$B$157=$B158),$T$9:$T157),0),IFERROR(LOOKUP(2,1/($B$9:$B$157=$B158),$AT$9:$AT157),0),0),$AS158))</f>
        <v/>
      </c>
      <c r="AU158" t="str">
        <f t="shared" si="49"/>
        <v/>
      </c>
      <c r="AV158" s="51">
        <f>IF($AU158="",0,IF(AND(IFERROR(LOOKUP(2,1/($B$9:$B$157=$B158),$AR$9:$AR157),1),NOT(AND(OR($F158="dividend",$F158="fee"),IFERROR(LOOKUP(2,1/($B$9:$B$157=$B158),$T$9:$T157),0)&gt;0))),ROW(),0))</f>
        <v>0</v>
      </c>
      <c r="AW158">
        <f>IF($A158="",0,IF($AV158&gt;0,MAX($AW$9:$AW$157)+1,MAX($AW$9:$AW$157)))</f>
        <v>0</v>
      </c>
      <c r="AX158">
        <f>IF($AU158="",0,IF(AND($AR158,OR(NOT(IFERROR(LOOKUP(2,1/($B$9:$B$157=$B158),$AR$9:$AR157),1)),IFERROR(LOOKUP(2,1/($B$9:$B$157=$B158),$T$9:$T157),0)=0)),ROW(),0))</f>
        <v>0</v>
      </c>
      <c r="AY158" t="str">
        <f t="shared" si="50"/>
        <v/>
      </c>
    </row>
    <row r="159" spans="1:51" ht="15" x14ac:dyDescent="0.25">
      <c r="A159" s="41" t="str">
        <f>IF(Trades!$A159="","",Trades!O159)</f>
        <v/>
      </c>
      <c r="B159" s="41" t="str">
        <f>IF(Trades!$A159="","",Trades!B159)</f>
        <v/>
      </c>
      <c r="C159" s="41" t="str">
        <f>IF(Trades!$A159="","",Trades!C159)</f>
        <v/>
      </c>
      <c r="D159" s="42" t="str">
        <f>IF(Trades!$A159="","",IF(Trades!$L159&gt;0,Trades!$L159,Trades!$C$6))</f>
        <v/>
      </c>
      <c r="E159" s="43" t="str">
        <f>IF(Trades!$A159="","",Trades!A159)</f>
        <v/>
      </c>
      <c r="F159" s="41" t="str">
        <f>IF(Trades!$A159="","",IFERROR(INDEX(Trades!$V$2:$V$14,MATCH(Trades!$E159,Trades!$U$2:$U$14,0)),""))</f>
        <v/>
      </c>
      <c r="G159" s="41" t="str">
        <f>IF(Trades!$A159="","",Trades!N159)</f>
        <v/>
      </c>
      <c r="H159" s="42" t="str">
        <f>IF(Trades!$A159="","",Trades!F159)</f>
        <v/>
      </c>
      <c r="I159" s="44" t="str">
        <f>IF(Trades!$A159="","",Trades!G159)</f>
        <v/>
      </c>
      <c r="J159" s="44" t="str">
        <f>IF(Trades!$A159="","",Trades!I159)</f>
        <v/>
      </c>
      <c r="K159" s="44" t="str">
        <f>IF(Trades!$A159="","",Trades!Q159)</f>
        <v/>
      </c>
      <c r="L159" s="42" t="str">
        <f>IF(Trades!$A159="","",Trades!F159)</f>
        <v/>
      </c>
      <c r="M159" s="44" t="str">
        <f>IF(Trades!$A159="","",Trades!M159)</f>
        <v/>
      </c>
      <c r="N159" s="44" t="str">
        <f>IF(Trades!$A159="","",Trades!R159)</f>
        <v/>
      </c>
      <c r="O159" s="44" t="str">
        <f>IF(Trades!$A159="","",Trades!J159)</f>
        <v/>
      </c>
      <c r="P159" s="43" t="str">
        <f>IF(Trades!$A159="","",Trades!H159)</f>
        <v/>
      </c>
      <c r="Q159" s="41" t="str">
        <f>IF(Trades!$A159="","",Trades!P159)</f>
        <v/>
      </c>
      <c r="R159" s="45" t="str">
        <f t="shared" si="34"/>
        <v/>
      </c>
      <c r="S159" s="45" t="str">
        <f t="shared" si="35"/>
        <v/>
      </c>
      <c r="T159" s="46" t="str">
        <f>IF(OR($A159="",$B159=""),"",IF(AND(IFERROR(LOOKUP(2,1/($B$9:$B$158=$B159),$AR$9:$AR158),1),NOT(AND(OR($F159="dividend",$F159="fee"),IFERROR(LOOKUP(2,1/($B$9:$B$158=$B159),$T$9:$T158),0)&gt;0))),IFERROR(LOOKUP(2,1/($B$9:$B$158=$B159),$T$9:$T158),0)+1,IFERROR(LOOKUP(2,1/($B$9:$B$158=$B159),$T$9:$T158),0)))</f>
        <v/>
      </c>
      <c r="U159" s="47" t="str">
        <f t="shared" si="36"/>
        <v/>
      </c>
      <c r="V159" s="47" t="str">
        <f>IF($A159="","",IF(OR($B159="",$C159="",$D159="",$E159="",$F159=""),"Missing required field",IF(COUNTIFS($A$9:$A159,$A159,$B$9:$B159,$B159)&gt;1,"Duplicate event ID",IF(AND($E159&lt;&gt;IFERROR(LOOKUP(2,1/($B$9:$B$158=$B159),$E$9:$E158),0),IFERROR(LOOKUP(2,1/($B$9:$B$158=$B159),$E$9:$E158),0)&gt;$E159),"Date out of order",IF(AND(OR($F159="buy_to_close",$F159="expire",$F159="roll",$F159="assignment",$F159="called_away"),$AF159=0),"Unknown lot",IF(OR(AND($F159="assignment",$AF159&gt;0,IF($AF159&gt;0,INDEX($AG$9:$AG$158,$AF159),"")&lt;&gt;"put"),AND($F159="called_away",$AF159&gt;0,IF($AF159&gt;0,INDEX($AG$9:$AG$158,$AF159),"")&lt;&gt;"call")),"Wrong option leg",IF(OR(AND(OR($F159="sell_put",$F159="sell_call"),OR($H159&lt;=0,$I159&lt;=0,$J159&lt;0)),AND(OR($F159="buy_to_close",$F159="expire",$F159="assignment",$F159="called_away"),OR($H159&lt;=0,$J159&lt;0)),AND($F159="roll",OR($H159&lt;=0,$I159&lt;=0,$J159&lt;0,$K159&lt;0)),AND(OR($F159="buy_shares",$F159="sell_shares"),OR($L159&lt;=0,$M159&lt;0)),AND(OR($F159="dividend",$F159="fee"),$N159&lt;0)),"Invalid value",IF(AND(OR($F159="sell_shares",$F159="called_away"),$AL159&lt;IF($F159="called_away",$AE159*$D159,$L159)),"Insufficient shares (capped)",IF(AND(OR($F159="buy_to_close",$F159="expire",$F159="roll",$F159="assignment",$F159="called_away"),$AF159&gt;0,$H159&gt;IF($AF159&gt;0,MAX(0,INDEX($AI$9:$AI$158,$AF159)-SUMIFS($AE$9:$AE$158,$G$9:$G$158,$G159,$B$9:$B$158,$B159)),0)),"Close quantity capped","OK")))))))))</f>
        <v/>
      </c>
      <c r="W159" s="48" t="str">
        <f t="shared" si="37"/>
        <v/>
      </c>
      <c r="X159" s="49" t="str">
        <f t="shared" si="38"/>
        <v/>
      </c>
      <c r="Y159" s="50" t="str">
        <f t="shared" si="39"/>
        <v/>
      </c>
      <c r="Z159" s="50" t="str">
        <f t="shared" si="40"/>
        <v/>
      </c>
      <c r="AA159" s="50" t="str">
        <f t="shared" si="41"/>
        <v/>
      </c>
      <c r="AB159" s="50" t="str">
        <f t="shared" si="42"/>
        <v/>
      </c>
      <c r="AC159" s="50" t="str">
        <f>IF($A159="","",IF($F159="assignment",IF($AF159&gt;0,INDEX($AH$9:$AH$158,$AF159),0)*$AE159*$D159,IF($F159="buy_shares",$M159*$AL159,0)))</f>
        <v/>
      </c>
      <c r="AD159" s="50" t="str">
        <f>IF($A159="","",IF($F159="called_away",IF($AF159&gt;0,INDEX($AH$9:$AH$158,$AF159),0)*$AL159,IF($F159="sell_shares",$M159*$AL159,0)))</f>
        <v/>
      </c>
      <c r="AE159" s="51" t="str">
        <f>IF($A159="","",IF(OR($F159="sell_put",$F159="sell_call"),IF(AND($H159&gt;0,$I159&gt;0,$J159&gt;=0),$H159,0),IF(OR($F159="buy_to_close",$F159="expire",$F159="roll",$F159="assignment",$F159="called_away"),IF(AND($AF159&gt;0,$H159&gt;0,IF($F159="assignment",IF($AF159&gt;0,INDEX($AG$9:$AG$158,$AF159),"")="put",TRUE),IF($F159="called_away",IF($AF159&gt;0,INDEX($AG$9:$AG$158,$AF159),"")="call",TRUE)),MIN($H159,IF($AF159&gt;0,MAX(0,INDEX($AI$9:$AI$158,$AF159)-SUMIFS($AE$9:$AE$158,$G$9:$G$158,$G159,$B$9:$B$158,$B159)),0)),0),0)))</f>
        <v/>
      </c>
      <c r="AF159" t="str">
        <f>IF($A159="","",IFERROR(MATCH(LEN($B159)&amp;":"&amp;$B159&amp;$G159,$AY$9:$AY$158,0),0))</f>
        <v/>
      </c>
      <c r="AG159" t="str">
        <f>IF($A159="","",IF($F159="sell_put","put",IF($F159="sell_call","call",IF($F159="roll",IF($AF159&gt;0,IF($AF159&gt;0,INDEX($AG$9:$AG$158,$AF159),""),""),IF($AF159&gt;0,IF($AF159&gt;0,INDEX($AG$9:$AG$158,$AF159),""),"")))))</f>
        <v/>
      </c>
      <c r="AH159" t="str">
        <f>IF($A159="","",IF(OR($F159="sell_put",$F159="sell_call",$F159="roll"),$I159,IF($AF159&gt;0,IF($AF159&gt;0,INDEX($AH$9:$AH$158,$AF159),0),0)))</f>
        <v/>
      </c>
      <c r="AI159" s="51" t="str">
        <f t="shared" si="43"/>
        <v/>
      </c>
      <c r="AJ159" s="51" t="str">
        <f>IF($A159="","",IFERROR(LOOKUP(2,1/($B$9:$B$158=$B159),$AM$9:$AM158),0))</f>
        <v/>
      </c>
      <c r="AK159" t="str">
        <f>IF($A159="","",IFERROR(LOOKUP(2,1/($B$9:$B$158=$B159),$AN$9:$AN158),0))</f>
        <v/>
      </c>
      <c r="AL159" s="51" t="str">
        <f t="shared" si="44"/>
        <v/>
      </c>
      <c r="AM159" s="51" t="str">
        <f t="shared" si="45"/>
        <v/>
      </c>
      <c r="AN159" t="str">
        <f t="shared" si="46"/>
        <v/>
      </c>
      <c r="AO159" s="50" t="str">
        <f>IF($A159="","",IFERROR(LOOKUP(2,1/($B$9:$B$158=$B159),$AO$9:$AO158),0)+IF($F159="sell_put",$I159*$AE159*$D159,IF($F159="roll",IF($AG159="put",($I159-IF($AF159&gt;0,INDEX($AH$9:$AH$158,$AF159),0))*$AE159*$D159,0),IF(AND(OR($F159="buy_to_close",$F159="expire",$F159="roll",$F159="assignment",$F159="called_away"),$F159&lt;&gt;"roll",$AG159="put"),-IF($AF159&gt;0,INDEX($AH$9:$AH$158,$AF159),0)*$AE159*$D159,0))))</f>
        <v/>
      </c>
      <c r="AP159" s="51" t="str">
        <f>IF($A159="","",IFERROR(LOOKUP(2,1/($B$9:$B$158=$B159),$AP$9:$AP158),0)+IF($F159="sell_put",$AE159*$D159,IF(AND(OR($F159="buy_to_close",$F159="expire",$F159="roll",$F159="assignment",$F159="called_away"),$F159&lt;&gt;"roll",$AG159="put"),-$AE159*$D159,0)))</f>
        <v/>
      </c>
      <c r="AQ159" s="51" t="str">
        <f>IF($A159="","",IFERROR(LOOKUP(2,1/($B$9:$B$158=$B159),$AQ$9:$AQ158),0)+IF(OR($F159="sell_put",$F159="sell_call"),$AE159,0)-IF(AND(OR($F159="buy_to_close",$F159="expire",$F159="roll",$F159="assignment",$F159="called_away"),$F159&lt;&gt;"roll"),$AE159,0))</f>
        <v/>
      </c>
      <c r="AR159" t="str">
        <f t="shared" si="47"/>
        <v/>
      </c>
      <c r="AS159" s="50" t="str">
        <f t="shared" si="48"/>
        <v/>
      </c>
      <c r="AT159" s="50" t="str">
        <f>IF($A159="","",MAX(IF($T159=IFERROR(LOOKUP(2,1/($B$9:$B$158=$B159),$T$9:$T158),0),IFERROR(LOOKUP(2,1/($B$9:$B$158=$B159),$AT$9:$AT158),0),0),$AS159))</f>
        <v/>
      </c>
      <c r="AU159" t="str">
        <f t="shared" si="49"/>
        <v/>
      </c>
      <c r="AV159" s="51">
        <f>IF($AU159="",0,IF(AND(IFERROR(LOOKUP(2,1/($B$9:$B$158=$B159),$AR$9:$AR158),1),NOT(AND(OR($F159="dividend",$F159="fee"),IFERROR(LOOKUP(2,1/($B$9:$B$158=$B159),$T$9:$T158),0)&gt;0))),ROW(),0))</f>
        <v>0</v>
      </c>
      <c r="AW159">
        <f>IF($A159="",0,IF($AV159&gt;0,MAX($AW$9:$AW$158)+1,MAX($AW$9:$AW$158)))</f>
        <v>0</v>
      </c>
      <c r="AX159">
        <f>IF($AU159="",0,IF(AND($AR159,OR(NOT(IFERROR(LOOKUP(2,1/($B$9:$B$158=$B159),$AR$9:$AR158),1)),IFERROR(LOOKUP(2,1/($B$9:$B$158=$B159),$T$9:$T158),0)=0)),ROW(),0))</f>
        <v>0</v>
      </c>
      <c r="AY159" t="str">
        <f t="shared" si="50"/>
        <v/>
      </c>
    </row>
    <row r="160" spans="1:51" ht="15" x14ac:dyDescent="0.25">
      <c r="A160" s="52" t="str">
        <f>IF(Trades!$A160="","",Trades!O160)</f>
        <v/>
      </c>
      <c r="B160" s="52" t="str">
        <f>IF(Trades!$A160="","",Trades!B160)</f>
        <v/>
      </c>
      <c r="C160" s="52" t="str">
        <f>IF(Trades!$A160="","",Trades!C160)</f>
        <v/>
      </c>
      <c r="D160" s="53" t="str">
        <f>IF(Trades!$A160="","",IF(Trades!$L160&gt;0,Trades!$L160,Trades!$C$6))</f>
        <v/>
      </c>
      <c r="E160" s="54" t="str">
        <f>IF(Trades!$A160="","",Trades!A160)</f>
        <v/>
      </c>
      <c r="F160" s="52" t="str">
        <f>IF(Trades!$A160="","",IFERROR(INDEX(Trades!$V$2:$V$14,MATCH(Trades!$E160,Trades!$U$2:$U$14,0)),""))</f>
        <v/>
      </c>
      <c r="G160" s="52" t="str">
        <f>IF(Trades!$A160="","",Trades!N160)</f>
        <v/>
      </c>
      <c r="H160" s="53" t="str">
        <f>IF(Trades!$A160="","",Trades!F160)</f>
        <v/>
      </c>
      <c r="I160" s="55" t="str">
        <f>IF(Trades!$A160="","",Trades!G160)</f>
        <v/>
      </c>
      <c r="J160" s="55" t="str">
        <f>IF(Trades!$A160="","",Trades!I160)</f>
        <v/>
      </c>
      <c r="K160" s="55" t="str">
        <f>IF(Trades!$A160="","",Trades!Q160)</f>
        <v/>
      </c>
      <c r="L160" s="53" t="str">
        <f>IF(Trades!$A160="","",Trades!F160)</f>
        <v/>
      </c>
      <c r="M160" s="55" t="str">
        <f>IF(Trades!$A160="","",Trades!M160)</f>
        <v/>
      </c>
      <c r="N160" s="55" t="str">
        <f>IF(Trades!$A160="","",Trades!R160)</f>
        <v/>
      </c>
      <c r="O160" s="55" t="str">
        <f>IF(Trades!$A160="","",Trades!J160)</f>
        <v/>
      </c>
      <c r="P160" s="54" t="str">
        <f>IF(Trades!$A160="","",Trades!H160)</f>
        <v/>
      </c>
      <c r="Q160" s="52" t="str">
        <f>IF(Trades!$A160="","",Trades!P160)</f>
        <v/>
      </c>
      <c r="R160" s="56" t="str">
        <f t="shared" si="34"/>
        <v/>
      </c>
      <c r="S160" s="56" t="str">
        <f t="shared" si="35"/>
        <v/>
      </c>
      <c r="T160" s="57" t="str">
        <f>IF(OR($A160="",$B160=""),"",IF(AND(IFERROR(LOOKUP(2,1/($B$9:$B$159=$B160),$AR$9:$AR159),1),NOT(AND(OR($F160="dividend",$F160="fee"),IFERROR(LOOKUP(2,1/($B$9:$B$159=$B160),$T$9:$T159),0)&gt;0))),IFERROR(LOOKUP(2,1/($B$9:$B$159=$B160),$T$9:$T159),0)+1,IFERROR(LOOKUP(2,1/($B$9:$B$159=$B160),$T$9:$T159),0)))</f>
        <v/>
      </c>
      <c r="U160" s="58" t="str">
        <f t="shared" si="36"/>
        <v/>
      </c>
      <c r="V160" s="58" t="str">
        <f>IF($A160="","",IF(OR($B160="",$C160="",$D160="",$E160="",$F160=""),"Missing required field",IF(COUNTIFS($A$9:$A160,$A160,$B$9:$B160,$B160)&gt;1,"Duplicate event ID",IF(AND($E160&lt;&gt;IFERROR(LOOKUP(2,1/($B$9:$B$159=$B160),$E$9:$E159),0),IFERROR(LOOKUP(2,1/($B$9:$B$159=$B160),$E$9:$E159),0)&gt;$E160),"Date out of order",IF(AND(OR($F160="buy_to_close",$F160="expire",$F160="roll",$F160="assignment",$F160="called_away"),$AF160=0),"Unknown lot",IF(OR(AND($F160="assignment",$AF160&gt;0,IF($AF160&gt;0,INDEX($AG$9:$AG$159,$AF160),"")&lt;&gt;"put"),AND($F160="called_away",$AF160&gt;0,IF($AF160&gt;0,INDEX($AG$9:$AG$159,$AF160),"")&lt;&gt;"call")),"Wrong option leg",IF(OR(AND(OR($F160="sell_put",$F160="sell_call"),OR($H160&lt;=0,$I160&lt;=0,$J160&lt;0)),AND(OR($F160="buy_to_close",$F160="expire",$F160="assignment",$F160="called_away"),OR($H160&lt;=0,$J160&lt;0)),AND($F160="roll",OR($H160&lt;=0,$I160&lt;=0,$J160&lt;0,$K160&lt;0)),AND(OR($F160="buy_shares",$F160="sell_shares"),OR($L160&lt;=0,$M160&lt;0)),AND(OR($F160="dividend",$F160="fee"),$N160&lt;0)),"Invalid value",IF(AND(OR($F160="sell_shares",$F160="called_away"),$AL160&lt;IF($F160="called_away",$AE160*$D160,$L160)),"Insufficient shares (capped)",IF(AND(OR($F160="buy_to_close",$F160="expire",$F160="roll",$F160="assignment",$F160="called_away"),$AF160&gt;0,$H160&gt;IF($AF160&gt;0,MAX(0,INDEX($AI$9:$AI$159,$AF160)-SUMIFS($AE$9:$AE$159,$G$9:$G$159,$G160,$B$9:$B$159,$B160)),0)),"Close quantity capped","OK")))))))))</f>
        <v/>
      </c>
      <c r="W160" s="59" t="str">
        <f t="shared" si="37"/>
        <v/>
      </c>
      <c r="X160" s="60" t="str">
        <f t="shared" si="38"/>
        <v/>
      </c>
      <c r="Y160" s="50" t="str">
        <f t="shared" si="39"/>
        <v/>
      </c>
      <c r="Z160" s="50" t="str">
        <f t="shared" si="40"/>
        <v/>
      </c>
      <c r="AA160" s="50" t="str">
        <f t="shared" si="41"/>
        <v/>
      </c>
      <c r="AB160" s="50" t="str">
        <f t="shared" si="42"/>
        <v/>
      </c>
      <c r="AC160" s="50" t="str">
        <f>IF($A160="","",IF($F160="assignment",IF($AF160&gt;0,INDEX($AH$9:$AH$159,$AF160),0)*$AE160*$D160,IF($F160="buy_shares",$M160*$AL160,0)))</f>
        <v/>
      </c>
      <c r="AD160" s="50" t="str">
        <f>IF($A160="","",IF($F160="called_away",IF($AF160&gt;0,INDEX($AH$9:$AH$159,$AF160),0)*$AL160,IF($F160="sell_shares",$M160*$AL160,0)))</f>
        <v/>
      </c>
      <c r="AE160" s="51" t="str">
        <f>IF($A160="","",IF(OR($F160="sell_put",$F160="sell_call"),IF(AND($H160&gt;0,$I160&gt;0,$J160&gt;=0),$H160,0),IF(OR($F160="buy_to_close",$F160="expire",$F160="roll",$F160="assignment",$F160="called_away"),IF(AND($AF160&gt;0,$H160&gt;0,IF($F160="assignment",IF($AF160&gt;0,INDEX($AG$9:$AG$159,$AF160),"")="put",TRUE),IF($F160="called_away",IF($AF160&gt;0,INDEX($AG$9:$AG$159,$AF160),"")="call",TRUE)),MIN($H160,IF($AF160&gt;0,MAX(0,INDEX($AI$9:$AI$159,$AF160)-SUMIFS($AE$9:$AE$159,$G$9:$G$159,$G160,$B$9:$B$159,$B160)),0)),0),0)))</f>
        <v/>
      </c>
      <c r="AF160" t="str">
        <f>IF($A160="","",IFERROR(MATCH(LEN($B160)&amp;":"&amp;$B160&amp;$G160,$AY$9:$AY$159,0),0))</f>
        <v/>
      </c>
      <c r="AG160" t="str">
        <f>IF($A160="","",IF($F160="sell_put","put",IF($F160="sell_call","call",IF($F160="roll",IF($AF160&gt;0,IF($AF160&gt;0,INDEX($AG$9:$AG$159,$AF160),""),""),IF($AF160&gt;0,IF($AF160&gt;0,INDEX($AG$9:$AG$159,$AF160),""),"")))))</f>
        <v/>
      </c>
      <c r="AH160" t="str">
        <f>IF($A160="","",IF(OR($F160="sell_put",$F160="sell_call",$F160="roll"),$I160,IF($AF160&gt;0,IF($AF160&gt;0,INDEX($AH$9:$AH$159,$AF160),0),0)))</f>
        <v/>
      </c>
      <c r="AI160" s="51" t="str">
        <f t="shared" si="43"/>
        <v/>
      </c>
      <c r="AJ160" s="51" t="str">
        <f>IF($A160="","",IFERROR(LOOKUP(2,1/($B$9:$B$159=$B160),$AM$9:$AM159),0))</f>
        <v/>
      </c>
      <c r="AK160" t="str">
        <f>IF($A160="","",IFERROR(LOOKUP(2,1/($B$9:$B$159=$B160),$AN$9:$AN159),0))</f>
        <v/>
      </c>
      <c r="AL160" s="51" t="str">
        <f t="shared" si="44"/>
        <v/>
      </c>
      <c r="AM160" s="51" t="str">
        <f t="shared" si="45"/>
        <v/>
      </c>
      <c r="AN160" t="str">
        <f t="shared" si="46"/>
        <v/>
      </c>
      <c r="AO160" s="50" t="str">
        <f>IF($A160="","",IFERROR(LOOKUP(2,1/($B$9:$B$159=$B160),$AO$9:$AO159),0)+IF($F160="sell_put",$I160*$AE160*$D160,IF($F160="roll",IF($AG160="put",($I160-IF($AF160&gt;0,INDEX($AH$9:$AH$159,$AF160),0))*$AE160*$D160,0),IF(AND(OR($F160="buy_to_close",$F160="expire",$F160="roll",$F160="assignment",$F160="called_away"),$F160&lt;&gt;"roll",$AG160="put"),-IF($AF160&gt;0,INDEX($AH$9:$AH$159,$AF160),0)*$AE160*$D160,0))))</f>
        <v/>
      </c>
      <c r="AP160" s="51" t="str">
        <f>IF($A160="","",IFERROR(LOOKUP(2,1/($B$9:$B$159=$B160),$AP$9:$AP159),0)+IF($F160="sell_put",$AE160*$D160,IF(AND(OR($F160="buy_to_close",$F160="expire",$F160="roll",$F160="assignment",$F160="called_away"),$F160&lt;&gt;"roll",$AG160="put"),-$AE160*$D160,0)))</f>
        <v/>
      </c>
      <c r="AQ160" s="51" t="str">
        <f>IF($A160="","",IFERROR(LOOKUP(2,1/($B$9:$B$159=$B160),$AQ$9:$AQ159),0)+IF(OR($F160="sell_put",$F160="sell_call"),$AE160,0)-IF(AND(OR($F160="buy_to_close",$F160="expire",$F160="roll",$F160="assignment",$F160="called_away"),$F160&lt;&gt;"roll"),$AE160,0))</f>
        <v/>
      </c>
      <c r="AR160" t="str">
        <f t="shared" si="47"/>
        <v/>
      </c>
      <c r="AS160" s="50" t="str">
        <f t="shared" si="48"/>
        <v/>
      </c>
      <c r="AT160" s="50" t="str">
        <f>IF($A160="","",MAX(IF($T160=IFERROR(LOOKUP(2,1/($B$9:$B$159=$B160),$T$9:$T159),0),IFERROR(LOOKUP(2,1/($B$9:$B$159=$B160),$AT$9:$AT159),0),0),$AS160))</f>
        <v/>
      </c>
      <c r="AU160" t="str">
        <f t="shared" si="49"/>
        <v/>
      </c>
      <c r="AV160" s="51">
        <f>IF($AU160="",0,IF(AND(IFERROR(LOOKUP(2,1/($B$9:$B$159=$B160),$AR$9:$AR159),1),NOT(AND(OR($F160="dividend",$F160="fee"),IFERROR(LOOKUP(2,1/($B$9:$B$159=$B160),$T$9:$T159),0)&gt;0))),ROW(),0))</f>
        <v>0</v>
      </c>
      <c r="AW160">
        <f>IF($A160="",0,IF($AV160&gt;0,MAX($AW$9:$AW$159)+1,MAX($AW$9:$AW$159)))</f>
        <v>0</v>
      </c>
      <c r="AX160">
        <f>IF($AU160="",0,IF(AND($AR160,OR(NOT(IFERROR(LOOKUP(2,1/($B$9:$B$159=$B160),$AR$9:$AR159),1)),IFERROR(LOOKUP(2,1/($B$9:$B$159=$B160),$T$9:$T159),0)=0)),ROW(),0))</f>
        <v>0</v>
      </c>
      <c r="AY160" t="str">
        <f t="shared" si="50"/>
        <v/>
      </c>
    </row>
    <row r="161" spans="1:51" ht="15" x14ac:dyDescent="0.25">
      <c r="A161" s="41" t="str">
        <f>IF(Trades!$A161="","",Trades!O161)</f>
        <v/>
      </c>
      <c r="B161" s="41" t="str">
        <f>IF(Trades!$A161="","",Trades!B161)</f>
        <v/>
      </c>
      <c r="C161" s="41" t="str">
        <f>IF(Trades!$A161="","",Trades!C161)</f>
        <v/>
      </c>
      <c r="D161" s="42" t="str">
        <f>IF(Trades!$A161="","",IF(Trades!$L161&gt;0,Trades!$L161,Trades!$C$6))</f>
        <v/>
      </c>
      <c r="E161" s="43" t="str">
        <f>IF(Trades!$A161="","",Trades!A161)</f>
        <v/>
      </c>
      <c r="F161" s="41" t="str">
        <f>IF(Trades!$A161="","",IFERROR(INDEX(Trades!$V$2:$V$14,MATCH(Trades!$E161,Trades!$U$2:$U$14,0)),""))</f>
        <v/>
      </c>
      <c r="G161" s="41" t="str">
        <f>IF(Trades!$A161="","",Trades!N161)</f>
        <v/>
      </c>
      <c r="H161" s="42" t="str">
        <f>IF(Trades!$A161="","",Trades!F161)</f>
        <v/>
      </c>
      <c r="I161" s="44" t="str">
        <f>IF(Trades!$A161="","",Trades!G161)</f>
        <v/>
      </c>
      <c r="J161" s="44" t="str">
        <f>IF(Trades!$A161="","",Trades!I161)</f>
        <v/>
      </c>
      <c r="K161" s="44" t="str">
        <f>IF(Trades!$A161="","",Trades!Q161)</f>
        <v/>
      </c>
      <c r="L161" s="42" t="str">
        <f>IF(Trades!$A161="","",Trades!F161)</f>
        <v/>
      </c>
      <c r="M161" s="44" t="str">
        <f>IF(Trades!$A161="","",Trades!M161)</f>
        <v/>
      </c>
      <c r="N161" s="44" t="str">
        <f>IF(Trades!$A161="","",Trades!R161)</f>
        <v/>
      </c>
      <c r="O161" s="44" t="str">
        <f>IF(Trades!$A161="","",Trades!J161)</f>
        <v/>
      </c>
      <c r="P161" s="43" t="str">
        <f>IF(Trades!$A161="","",Trades!H161)</f>
        <v/>
      </c>
      <c r="Q161" s="41" t="str">
        <f>IF(Trades!$A161="","",Trades!P161)</f>
        <v/>
      </c>
      <c r="R161" s="45" t="str">
        <f t="shared" si="34"/>
        <v/>
      </c>
      <c r="S161" s="45" t="str">
        <f t="shared" si="35"/>
        <v/>
      </c>
      <c r="T161" s="46" t="str">
        <f>IF(OR($A161="",$B161=""),"",IF(AND(IFERROR(LOOKUP(2,1/($B$9:$B$160=$B161),$AR$9:$AR160),1),NOT(AND(OR($F161="dividend",$F161="fee"),IFERROR(LOOKUP(2,1/($B$9:$B$160=$B161),$T$9:$T160),0)&gt;0))),IFERROR(LOOKUP(2,1/($B$9:$B$160=$B161),$T$9:$T160),0)+1,IFERROR(LOOKUP(2,1/($B$9:$B$160=$B161),$T$9:$T160),0)))</f>
        <v/>
      </c>
      <c r="U161" s="47" t="str">
        <f t="shared" si="36"/>
        <v/>
      </c>
      <c r="V161" s="47" t="str">
        <f>IF($A161="","",IF(OR($B161="",$C161="",$D161="",$E161="",$F161=""),"Missing required field",IF(COUNTIFS($A$9:$A161,$A161,$B$9:$B161,$B161)&gt;1,"Duplicate event ID",IF(AND($E161&lt;&gt;IFERROR(LOOKUP(2,1/($B$9:$B$160=$B161),$E$9:$E160),0),IFERROR(LOOKUP(2,1/($B$9:$B$160=$B161),$E$9:$E160),0)&gt;$E161),"Date out of order",IF(AND(OR($F161="buy_to_close",$F161="expire",$F161="roll",$F161="assignment",$F161="called_away"),$AF161=0),"Unknown lot",IF(OR(AND($F161="assignment",$AF161&gt;0,IF($AF161&gt;0,INDEX($AG$9:$AG$160,$AF161),"")&lt;&gt;"put"),AND($F161="called_away",$AF161&gt;0,IF($AF161&gt;0,INDEX($AG$9:$AG$160,$AF161),"")&lt;&gt;"call")),"Wrong option leg",IF(OR(AND(OR($F161="sell_put",$F161="sell_call"),OR($H161&lt;=0,$I161&lt;=0,$J161&lt;0)),AND(OR($F161="buy_to_close",$F161="expire",$F161="assignment",$F161="called_away"),OR($H161&lt;=0,$J161&lt;0)),AND($F161="roll",OR($H161&lt;=0,$I161&lt;=0,$J161&lt;0,$K161&lt;0)),AND(OR($F161="buy_shares",$F161="sell_shares"),OR($L161&lt;=0,$M161&lt;0)),AND(OR($F161="dividend",$F161="fee"),$N161&lt;0)),"Invalid value",IF(AND(OR($F161="sell_shares",$F161="called_away"),$AL161&lt;IF($F161="called_away",$AE161*$D161,$L161)),"Insufficient shares (capped)",IF(AND(OR($F161="buy_to_close",$F161="expire",$F161="roll",$F161="assignment",$F161="called_away"),$AF161&gt;0,$H161&gt;IF($AF161&gt;0,MAX(0,INDEX($AI$9:$AI$160,$AF161)-SUMIFS($AE$9:$AE$160,$G$9:$G$160,$G161,$B$9:$B$160,$B161)),0)),"Close quantity capped","OK")))))))))</f>
        <v/>
      </c>
      <c r="W161" s="48" t="str">
        <f t="shared" si="37"/>
        <v/>
      </c>
      <c r="X161" s="49" t="str">
        <f t="shared" si="38"/>
        <v/>
      </c>
      <c r="Y161" s="50" t="str">
        <f t="shared" si="39"/>
        <v/>
      </c>
      <c r="Z161" s="50" t="str">
        <f t="shared" si="40"/>
        <v/>
      </c>
      <c r="AA161" s="50" t="str">
        <f t="shared" si="41"/>
        <v/>
      </c>
      <c r="AB161" s="50" t="str">
        <f t="shared" si="42"/>
        <v/>
      </c>
      <c r="AC161" s="50" t="str">
        <f>IF($A161="","",IF($F161="assignment",IF($AF161&gt;0,INDEX($AH$9:$AH$160,$AF161),0)*$AE161*$D161,IF($F161="buy_shares",$M161*$AL161,0)))</f>
        <v/>
      </c>
      <c r="AD161" s="50" t="str">
        <f>IF($A161="","",IF($F161="called_away",IF($AF161&gt;0,INDEX($AH$9:$AH$160,$AF161),0)*$AL161,IF($F161="sell_shares",$M161*$AL161,0)))</f>
        <v/>
      </c>
      <c r="AE161" s="51" t="str">
        <f>IF($A161="","",IF(OR($F161="sell_put",$F161="sell_call"),IF(AND($H161&gt;0,$I161&gt;0,$J161&gt;=0),$H161,0),IF(OR($F161="buy_to_close",$F161="expire",$F161="roll",$F161="assignment",$F161="called_away"),IF(AND($AF161&gt;0,$H161&gt;0,IF($F161="assignment",IF($AF161&gt;0,INDEX($AG$9:$AG$160,$AF161),"")="put",TRUE),IF($F161="called_away",IF($AF161&gt;0,INDEX($AG$9:$AG$160,$AF161),"")="call",TRUE)),MIN($H161,IF($AF161&gt;0,MAX(0,INDEX($AI$9:$AI$160,$AF161)-SUMIFS($AE$9:$AE$160,$G$9:$G$160,$G161,$B$9:$B$160,$B161)),0)),0),0)))</f>
        <v/>
      </c>
      <c r="AF161" t="str">
        <f>IF($A161="","",IFERROR(MATCH(LEN($B161)&amp;":"&amp;$B161&amp;$G161,$AY$9:$AY$160,0),0))</f>
        <v/>
      </c>
      <c r="AG161" t="str">
        <f>IF($A161="","",IF($F161="sell_put","put",IF($F161="sell_call","call",IF($F161="roll",IF($AF161&gt;0,IF($AF161&gt;0,INDEX($AG$9:$AG$160,$AF161),""),""),IF($AF161&gt;0,IF($AF161&gt;0,INDEX($AG$9:$AG$160,$AF161),""),"")))))</f>
        <v/>
      </c>
      <c r="AH161" t="str">
        <f>IF($A161="","",IF(OR($F161="sell_put",$F161="sell_call",$F161="roll"),$I161,IF($AF161&gt;0,IF($AF161&gt;0,INDEX($AH$9:$AH$160,$AF161),0),0)))</f>
        <v/>
      </c>
      <c r="AI161" s="51" t="str">
        <f t="shared" si="43"/>
        <v/>
      </c>
      <c r="AJ161" s="51" t="str">
        <f>IF($A161="","",IFERROR(LOOKUP(2,1/($B$9:$B$160=$B161),$AM$9:$AM160),0))</f>
        <v/>
      </c>
      <c r="AK161" t="str">
        <f>IF($A161="","",IFERROR(LOOKUP(2,1/($B$9:$B$160=$B161),$AN$9:$AN160),0))</f>
        <v/>
      </c>
      <c r="AL161" s="51" t="str">
        <f t="shared" si="44"/>
        <v/>
      </c>
      <c r="AM161" s="51" t="str">
        <f t="shared" si="45"/>
        <v/>
      </c>
      <c r="AN161" t="str">
        <f t="shared" si="46"/>
        <v/>
      </c>
      <c r="AO161" s="50" t="str">
        <f>IF($A161="","",IFERROR(LOOKUP(2,1/($B$9:$B$160=$B161),$AO$9:$AO160),0)+IF($F161="sell_put",$I161*$AE161*$D161,IF($F161="roll",IF($AG161="put",($I161-IF($AF161&gt;0,INDEX($AH$9:$AH$160,$AF161),0))*$AE161*$D161,0),IF(AND(OR($F161="buy_to_close",$F161="expire",$F161="roll",$F161="assignment",$F161="called_away"),$F161&lt;&gt;"roll",$AG161="put"),-IF($AF161&gt;0,INDEX($AH$9:$AH$160,$AF161),0)*$AE161*$D161,0))))</f>
        <v/>
      </c>
      <c r="AP161" s="51" t="str">
        <f>IF($A161="","",IFERROR(LOOKUP(2,1/($B$9:$B$160=$B161),$AP$9:$AP160),0)+IF($F161="sell_put",$AE161*$D161,IF(AND(OR($F161="buy_to_close",$F161="expire",$F161="roll",$F161="assignment",$F161="called_away"),$F161&lt;&gt;"roll",$AG161="put"),-$AE161*$D161,0)))</f>
        <v/>
      </c>
      <c r="AQ161" s="51" t="str">
        <f>IF($A161="","",IFERROR(LOOKUP(2,1/($B$9:$B$160=$B161),$AQ$9:$AQ160),0)+IF(OR($F161="sell_put",$F161="sell_call"),$AE161,0)-IF(AND(OR($F161="buy_to_close",$F161="expire",$F161="roll",$F161="assignment",$F161="called_away"),$F161&lt;&gt;"roll"),$AE161,0))</f>
        <v/>
      </c>
      <c r="AR161" t="str">
        <f t="shared" si="47"/>
        <v/>
      </c>
      <c r="AS161" s="50" t="str">
        <f t="shared" si="48"/>
        <v/>
      </c>
      <c r="AT161" s="50" t="str">
        <f>IF($A161="","",MAX(IF($T161=IFERROR(LOOKUP(2,1/($B$9:$B$160=$B161),$T$9:$T160),0),IFERROR(LOOKUP(2,1/($B$9:$B$160=$B161),$AT$9:$AT160),0),0),$AS161))</f>
        <v/>
      </c>
      <c r="AU161" t="str">
        <f t="shared" si="49"/>
        <v/>
      </c>
      <c r="AV161" s="51">
        <f>IF($AU161="",0,IF(AND(IFERROR(LOOKUP(2,1/($B$9:$B$160=$B161),$AR$9:$AR160),1),NOT(AND(OR($F161="dividend",$F161="fee"),IFERROR(LOOKUP(2,1/($B$9:$B$160=$B161),$T$9:$T160),0)&gt;0))),ROW(),0))</f>
        <v>0</v>
      </c>
      <c r="AW161">
        <f>IF($A161="",0,IF($AV161&gt;0,MAX($AW$9:$AW$160)+1,MAX($AW$9:$AW$160)))</f>
        <v>0</v>
      </c>
      <c r="AX161">
        <f>IF($AU161="",0,IF(AND($AR161,OR(NOT(IFERROR(LOOKUP(2,1/($B$9:$B$160=$B161),$AR$9:$AR160),1)),IFERROR(LOOKUP(2,1/($B$9:$B$160=$B161),$T$9:$T160),0)=0)),ROW(),0))</f>
        <v>0</v>
      </c>
      <c r="AY161" t="str">
        <f t="shared" si="50"/>
        <v/>
      </c>
    </row>
    <row r="162" spans="1:51" ht="15" x14ac:dyDescent="0.25">
      <c r="A162" s="52" t="str">
        <f>IF(Trades!$A162="","",Trades!O162)</f>
        <v/>
      </c>
      <c r="B162" s="52" t="str">
        <f>IF(Trades!$A162="","",Trades!B162)</f>
        <v/>
      </c>
      <c r="C162" s="52" t="str">
        <f>IF(Trades!$A162="","",Trades!C162)</f>
        <v/>
      </c>
      <c r="D162" s="53" t="str">
        <f>IF(Trades!$A162="","",IF(Trades!$L162&gt;0,Trades!$L162,Trades!$C$6))</f>
        <v/>
      </c>
      <c r="E162" s="54" t="str">
        <f>IF(Trades!$A162="","",Trades!A162)</f>
        <v/>
      </c>
      <c r="F162" s="52" t="str">
        <f>IF(Trades!$A162="","",IFERROR(INDEX(Trades!$V$2:$V$14,MATCH(Trades!$E162,Trades!$U$2:$U$14,0)),""))</f>
        <v/>
      </c>
      <c r="G162" s="52" t="str">
        <f>IF(Trades!$A162="","",Trades!N162)</f>
        <v/>
      </c>
      <c r="H162" s="53" t="str">
        <f>IF(Trades!$A162="","",Trades!F162)</f>
        <v/>
      </c>
      <c r="I162" s="55" t="str">
        <f>IF(Trades!$A162="","",Trades!G162)</f>
        <v/>
      </c>
      <c r="J162" s="55" t="str">
        <f>IF(Trades!$A162="","",Trades!I162)</f>
        <v/>
      </c>
      <c r="K162" s="55" t="str">
        <f>IF(Trades!$A162="","",Trades!Q162)</f>
        <v/>
      </c>
      <c r="L162" s="53" t="str">
        <f>IF(Trades!$A162="","",Trades!F162)</f>
        <v/>
      </c>
      <c r="M162" s="55" t="str">
        <f>IF(Trades!$A162="","",Trades!M162)</f>
        <v/>
      </c>
      <c r="N162" s="55" t="str">
        <f>IF(Trades!$A162="","",Trades!R162)</f>
        <v/>
      </c>
      <c r="O162" s="55" t="str">
        <f>IF(Trades!$A162="","",Trades!J162)</f>
        <v/>
      </c>
      <c r="P162" s="54" t="str">
        <f>IF(Trades!$A162="","",Trades!H162)</f>
        <v/>
      </c>
      <c r="Q162" s="52" t="str">
        <f>IF(Trades!$A162="","",Trades!P162)</f>
        <v/>
      </c>
      <c r="R162" s="56" t="str">
        <f t="shared" si="34"/>
        <v/>
      </c>
      <c r="S162" s="56" t="str">
        <f t="shared" si="35"/>
        <v/>
      </c>
      <c r="T162" s="57" t="str">
        <f>IF(OR($A162="",$B162=""),"",IF(AND(IFERROR(LOOKUP(2,1/($B$9:$B$161=$B162),$AR$9:$AR161),1),NOT(AND(OR($F162="dividend",$F162="fee"),IFERROR(LOOKUP(2,1/($B$9:$B$161=$B162),$T$9:$T161),0)&gt;0))),IFERROR(LOOKUP(2,1/($B$9:$B$161=$B162),$T$9:$T161),0)+1,IFERROR(LOOKUP(2,1/($B$9:$B$161=$B162),$T$9:$T161),0)))</f>
        <v/>
      </c>
      <c r="U162" s="58" t="str">
        <f t="shared" si="36"/>
        <v/>
      </c>
      <c r="V162" s="58" t="str">
        <f>IF($A162="","",IF(OR($B162="",$C162="",$D162="",$E162="",$F162=""),"Missing required field",IF(COUNTIFS($A$9:$A162,$A162,$B$9:$B162,$B162)&gt;1,"Duplicate event ID",IF(AND($E162&lt;&gt;IFERROR(LOOKUP(2,1/($B$9:$B$161=$B162),$E$9:$E161),0),IFERROR(LOOKUP(2,1/($B$9:$B$161=$B162),$E$9:$E161),0)&gt;$E162),"Date out of order",IF(AND(OR($F162="buy_to_close",$F162="expire",$F162="roll",$F162="assignment",$F162="called_away"),$AF162=0),"Unknown lot",IF(OR(AND($F162="assignment",$AF162&gt;0,IF($AF162&gt;0,INDEX($AG$9:$AG$161,$AF162),"")&lt;&gt;"put"),AND($F162="called_away",$AF162&gt;0,IF($AF162&gt;0,INDEX($AG$9:$AG$161,$AF162),"")&lt;&gt;"call")),"Wrong option leg",IF(OR(AND(OR($F162="sell_put",$F162="sell_call"),OR($H162&lt;=0,$I162&lt;=0,$J162&lt;0)),AND(OR($F162="buy_to_close",$F162="expire",$F162="assignment",$F162="called_away"),OR($H162&lt;=0,$J162&lt;0)),AND($F162="roll",OR($H162&lt;=0,$I162&lt;=0,$J162&lt;0,$K162&lt;0)),AND(OR($F162="buy_shares",$F162="sell_shares"),OR($L162&lt;=0,$M162&lt;0)),AND(OR($F162="dividend",$F162="fee"),$N162&lt;0)),"Invalid value",IF(AND(OR($F162="sell_shares",$F162="called_away"),$AL162&lt;IF($F162="called_away",$AE162*$D162,$L162)),"Insufficient shares (capped)",IF(AND(OR($F162="buy_to_close",$F162="expire",$F162="roll",$F162="assignment",$F162="called_away"),$AF162&gt;0,$H162&gt;IF($AF162&gt;0,MAX(0,INDEX($AI$9:$AI$161,$AF162)-SUMIFS($AE$9:$AE$161,$G$9:$G$161,$G162,$B$9:$B$161,$B162)),0)),"Close quantity capped","OK")))))))))</f>
        <v/>
      </c>
      <c r="W162" s="59" t="str">
        <f t="shared" si="37"/>
        <v/>
      </c>
      <c r="X162" s="60" t="str">
        <f t="shared" si="38"/>
        <v/>
      </c>
      <c r="Y162" s="50" t="str">
        <f t="shared" si="39"/>
        <v/>
      </c>
      <c r="Z162" s="50" t="str">
        <f t="shared" si="40"/>
        <v/>
      </c>
      <c r="AA162" s="50" t="str">
        <f t="shared" si="41"/>
        <v/>
      </c>
      <c r="AB162" s="50" t="str">
        <f t="shared" si="42"/>
        <v/>
      </c>
      <c r="AC162" s="50" t="str">
        <f>IF($A162="","",IF($F162="assignment",IF($AF162&gt;0,INDEX($AH$9:$AH$161,$AF162),0)*$AE162*$D162,IF($F162="buy_shares",$M162*$AL162,0)))</f>
        <v/>
      </c>
      <c r="AD162" s="50" t="str">
        <f>IF($A162="","",IF($F162="called_away",IF($AF162&gt;0,INDEX($AH$9:$AH$161,$AF162),0)*$AL162,IF($F162="sell_shares",$M162*$AL162,0)))</f>
        <v/>
      </c>
      <c r="AE162" s="51" t="str">
        <f>IF($A162="","",IF(OR($F162="sell_put",$F162="sell_call"),IF(AND($H162&gt;0,$I162&gt;0,$J162&gt;=0),$H162,0),IF(OR($F162="buy_to_close",$F162="expire",$F162="roll",$F162="assignment",$F162="called_away"),IF(AND($AF162&gt;0,$H162&gt;0,IF($F162="assignment",IF($AF162&gt;0,INDEX($AG$9:$AG$161,$AF162),"")="put",TRUE),IF($F162="called_away",IF($AF162&gt;0,INDEX($AG$9:$AG$161,$AF162),"")="call",TRUE)),MIN($H162,IF($AF162&gt;0,MAX(0,INDEX($AI$9:$AI$161,$AF162)-SUMIFS($AE$9:$AE$161,$G$9:$G$161,$G162,$B$9:$B$161,$B162)),0)),0),0)))</f>
        <v/>
      </c>
      <c r="AF162" t="str">
        <f>IF($A162="","",IFERROR(MATCH(LEN($B162)&amp;":"&amp;$B162&amp;$G162,$AY$9:$AY$161,0),0))</f>
        <v/>
      </c>
      <c r="AG162" t="str">
        <f>IF($A162="","",IF($F162="sell_put","put",IF($F162="sell_call","call",IF($F162="roll",IF($AF162&gt;0,IF($AF162&gt;0,INDEX($AG$9:$AG$161,$AF162),""),""),IF($AF162&gt;0,IF($AF162&gt;0,INDEX($AG$9:$AG$161,$AF162),""),"")))))</f>
        <v/>
      </c>
      <c r="AH162" t="str">
        <f>IF($A162="","",IF(OR($F162="sell_put",$F162="sell_call",$F162="roll"),$I162,IF($AF162&gt;0,IF($AF162&gt;0,INDEX($AH$9:$AH$161,$AF162),0),0)))</f>
        <v/>
      </c>
      <c r="AI162" s="51" t="str">
        <f t="shared" si="43"/>
        <v/>
      </c>
      <c r="AJ162" s="51" t="str">
        <f>IF($A162="","",IFERROR(LOOKUP(2,1/($B$9:$B$161=$B162),$AM$9:$AM161),0))</f>
        <v/>
      </c>
      <c r="AK162" t="str">
        <f>IF($A162="","",IFERROR(LOOKUP(2,1/($B$9:$B$161=$B162),$AN$9:$AN161),0))</f>
        <v/>
      </c>
      <c r="AL162" s="51" t="str">
        <f t="shared" si="44"/>
        <v/>
      </c>
      <c r="AM162" s="51" t="str">
        <f t="shared" si="45"/>
        <v/>
      </c>
      <c r="AN162" t="str">
        <f t="shared" si="46"/>
        <v/>
      </c>
      <c r="AO162" s="50" t="str">
        <f>IF($A162="","",IFERROR(LOOKUP(2,1/($B$9:$B$161=$B162),$AO$9:$AO161),0)+IF($F162="sell_put",$I162*$AE162*$D162,IF($F162="roll",IF($AG162="put",($I162-IF($AF162&gt;0,INDEX($AH$9:$AH$161,$AF162),0))*$AE162*$D162,0),IF(AND(OR($F162="buy_to_close",$F162="expire",$F162="roll",$F162="assignment",$F162="called_away"),$F162&lt;&gt;"roll",$AG162="put"),-IF($AF162&gt;0,INDEX($AH$9:$AH$161,$AF162),0)*$AE162*$D162,0))))</f>
        <v/>
      </c>
      <c r="AP162" s="51" t="str">
        <f>IF($A162="","",IFERROR(LOOKUP(2,1/($B$9:$B$161=$B162),$AP$9:$AP161),0)+IF($F162="sell_put",$AE162*$D162,IF(AND(OR($F162="buy_to_close",$F162="expire",$F162="roll",$F162="assignment",$F162="called_away"),$F162&lt;&gt;"roll",$AG162="put"),-$AE162*$D162,0)))</f>
        <v/>
      </c>
      <c r="AQ162" s="51" t="str">
        <f>IF($A162="","",IFERROR(LOOKUP(2,1/($B$9:$B$161=$B162),$AQ$9:$AQ161),0)+IF(OR($F162="sell_put",$F162="sell_call"),$AE162,0)-IF(AND(OR($F162="buy_to_close",$F162="expire",$F162="roll",$F162="assignment",$F162="called_away"),$F162&lt;&gt;"roll"),$AE162,0))</f>
        <v/>
      </c>
      <c r="AR162" t="str">
        <f t="shared" si="47"/>
        <v/>
      </c>
      <c r="AS162" s="50" t="str">
        <f t="shared" si="48"/>
        <v/>
      </c>
      <c r="AT162" s="50" t="str">
        <f>IF($A162="","",MAX(IF($T162=IFERROR(LOOKUP(2,1/($B$9:$B$161=$B162),$T$9:$T161),0),IFERROR(LOOKUP(2,1/($B$9:$B$161=$B162),$AT$9:$AT161),0),0),$AS162))</f>
        <v/>
      </c>
      <c r="AU162" t="str">
        <f t="shared" si="49"/>
        <v/>
      </c>
      <c r="AV162" s="51">
        <f>IF($AU162="",0,IF(AND(IFERROR(LOOKUP(2,1/($B$9:$B$161=$B162),$AR$9:$AR161),1),NOT(AND(OR($F162="dividend",$F162="fee"),IFERROR(LOOKUP(2,1/($B$9:$B$161=$B162),$T$9:$T161),0)&gt;0))),ROW(),0))</f>
        <v>0</v>
      </c>
      <c r="AW162">
        <f>IF($A162="",0,IF($AV162&gt;0,MAX($AW$9:$AW$161)+1,MAX($AW$9:$AW$161)))</f>
        <v>0</v>
      </c>
      <c r="AX162">
        <f>IF($AU162="",0,IF(AND($AR162,OR(NOT(IFERROR(LOOKUP(2,1/($B$9:$B$161=$B162),$AR$9:$AR161),1)),IFERROR(LOOKUP(2,1/($B$9:$B$161=$B162),$T$9:$T161),0)=0)),ROW(),0))</f>
        <v>0</v>
      </c>
      <c r="AY162" t="str">
        <f t="shared" si="50"/>
        <v/>
      </c>
    </row>
    <row r="163" spans="1:51" ht="15" x14ac:dyDescent="0.25">
      <c r="A163" s="41" t="str">
        <f>IF(Trades!$A163="","",Trades!O163)</f>
        <v/>
      </c>
      <c r="B163" s="41" t="str">
        <f>IF(Trades!$A163="","",Trades!B163)</f>
        <v/>
      </c>
      <c r="C163" s="41" t="str">
        <f>IF(Trades!$A163="","",Trades!C163)</f>
        <v/>
      </c>
      <c r="D163" s="42" t="str">
        <f>IF(Trades!$A163="","",IF(Trades!$L163&gt;0,Trades!$L163,Trades!$C$6))</f>
        <v/>
      </c>
      <c r="E163" s="43" t="str">
        <f>IF(Trades!$A163="","",Trades!A163)</f>
        <v/>
      </c>
      <c r="F163" s="41" t="str">
        <f>IF(Trades!$A163="","",IFERROR(INDEX(Trades!$V$2:$V$14,MATCH(Trades!$E163,Trades!$U$2:$U$14,0)),""))</f>
        <v/>
      </c>
      <c r="G163" s="41" t="str">
        <f>IF(Trades!$A163="","",Trades!N163)</f>
        <v/>
      </c>
      <c r="H163" s="42" t="str">
        <f>IF(Trades!$A163="","",Trades!F163)</f>
        <v/>
      </c>
      <c r="I163" s="44" t="str">
        <f>IF(Trades!$A163="","",Trades!G163)</f>
        <v/>
      </c>
      <c r="J163" s="44" t="str">
        <f>IF(Trades!$A163="","",Trades!I163)</f>
        <v/>
      </c>
      <c r="K163" s="44" t="str">
        <f>IF(Trades!$A163="","",Trades!Q163)</f>
        <v/>
      </c>
      <c r="L163" s="42" t="str">
        <f>IF(Trades!$A163="","",Trades!F163)</f>
        <v/>
      </c>
      <c r="M163" s="44" t="str">
        <f>IF(Trades!$A163="","",Trades!M163)</f>
        <v/>
      </c>
      <c r="N163" s="44" t="str">
        <f>IF(Trades!$A163="","",Trades!R163)</f>
        <v/>
      </c>
      <c r="O163" s="44" t="str">
        <f>IF(Trades!$A163="","",Trades!J163)</f>
        <v/>
      </c>
      <c r="P163" s="43" t="str">
        <f>IF(Trades!$A163="","",Trades!H163)</f>
        <v/>
      </c>
      <c r="Q163" s="41" t="str">
        <f>IF(Trades!$A163="","",Trades!P163)</f>
        <v/>
      </c>
      <c r="R163" s="45" t="str">
        <f t="shared" si="34"/>
        <v/>
      </c>
      <c r="S163" s="45" t="str">
        <f t="shared" si="35"/>
        <v/>
      </c>
      <c r="T163" s="46" t="str">
        <f>IF(OR($A163="",$B163=""),"",IF(AND(IFERROR(LOOKUP(2,1/($B$9:$B$162=$B163),$AR$9:$AR162),1),NOT(AND(OR($F163="dividend",$F163="fee"),IFERROR(LOOKUP(2,1/($B$9:$B$162=$B163),$T$9:$T162),0)&gt;0))),IFERROR(LOOKUP(2,1/($B$9:$B$162=$B163),$T$9:$T162),0)+1,IFERROR(LOOKUP(2,1/($B$9:$B$162=$B163),$T$9:$T162),0)))</f>
        <v/>
      </c>
      <c r="U163" s="47" t="str">
        <f t="shared" si="36"/>
        <v/>
      </c>
      <c r="V163" s="47" t="str">
        <f>IF($A163="","",IF(OR($B163="",$C163="",$D163="",$E163="",$F163=""),"Missing required field",IF(COUNTIFS($A$9:$A163,$A163,$B$9:$B163,$B163)&gt;1,"Duplicate event ID",IF(AND($E163&lt;&gt;IFERROR(LOOKUP(2,1/($B$9:$B$162=$B163),$E$9:$E162),0),IFERROR(LOOKUP(2,1/($B$9:$B$162=$B163),$E$9:$E162),0)&gt;$E163),"Date out of order",IF(AND(OR($F163="buy_to_close",$F163="expire",$F163="roll",$F163="assignment",$F163="called_away"),$AF163=0),"Unknown lot",IF(OR(AND($F163="assignment",$AF163&gt;0,IF($AF163&gt;0,INDEX($AG$9:$AG$162,$AF163),"")&lt;&gt;"put"),AND($F163="called_away",$AF163&gt;0,IF($AF163&gt;0,INDEX($AG$9:$AG$162,$AF163),"")&lt;&gt;"call")),"Wrong option leg",IF(OR(AND(OR($F163="sell_put",$F163="sell_call"),OR($H163&lt;=0,$I163&lt;=0,$J163&lt;0)),AND(OR($F163="buy_to_close",$F163="expire",$F163="assignment",$F163="called_away"),OR($H163&lt;=0,$J163&lt;0)),AND($F163="roll",OR($H163&lt;=0,$I163&lt;=0,$J163&lt;0,$K163&lt;0)),AND(OR($F163="buy_shares",$F163="sell_shares"),OR($L163&lt;=0,$M163&lt;0)),AND(OR($F163="dividend",$F163="fee"),$N163&lt;0)),"Invalid value",IF(AND(OR($F163="sell_shares",$F163="called_away"),$AL163&lt;IF($F163="called_away",$AE163*$D163,$L163)),"Insufficient shares (capped)",IF(AND(OR($F163="buy_to_close",$F163="expire",$F163="roll",$F163="assignment",$F163="called_away"),$AF163&gt;0,$H163&gt;IF($AF163&gt;0,MAX(0,INDEX($AI$9:$AI$162,$AF163)-SUMIFS($AE$9:$AE$162,$G$9:$G$162,$G163,$B$9:$B$162,$B163)),0)),"Close quantity capped","OK")))))))))</f>
        <v/>
      </c>
      <c r="W163" s="48" t="str">
        <f t="shared" si="37"/>
        <v/>
      </c>
      <c r="X163" s="49" t="str">
        <f t="shared" si="38"/>
        <v/>
      </c>
      <c r="Y163" s="50" t="str">
        <f t="shared" si="39"/>
        <v/>
      </c>
      <c r="Z163" s="50" t="str">
        <f t="shared" si="40"/>
        <v/>
      </c>
      <c r="AA163" s="50" t="str">
        <f t="shared" si="41"/>
        <v/>
      </c>
      <c r="AB163" s="50" t="str">
        <f t="shared" si="42"/>
        <v/>
      </c>
      <c r="AC163" s="50" t="str">
        <f>IF($A163="","",IF($F163="assignment",IF($AF163&gt;0,INDEX($AH$9:$AH$162,$AF163),0)*$AE163*$D163,IF($F163="buy_shares",$M163*$AL163,0)))</f>
        <v/>
      </c>
      <c r="AD163" s="50" t="str">
        <f>IF($A163="","",IF($F163="called_away",IF($AF163&gt;0,INDEX($AH$9:$AH$162,$AF163),0)*$AL163,IF($F163="sell_shares",$M163*$AL163,0)))</f>
        <v/>
      </c>
      <c r="AE163" s="51" t="str">
        <f>IF($A163="","",IF(OR($F163="sell_put",$F163="sell_call"),IF(AND($H163&gt;0,$I163&gt;0,$J163&gt;=0),$H163,0),IF(OR($F163="buy_to_close",$F163="expire",$F163="roll",$F163="assignment",$F163="called_away"),IF(AND($AF163&gt;0,$H163&gt;0,IF($F163="assignment",IF($AF163&gt;0,INDEX($AG$9:$AG$162,$AF163),"")="put",TRUE),IF($F163="called_away",IF($AF163&gt;0,INDEX($AG$9:$AG$162,$AF163),"")="call",TRUE)),MIN($H163,IF($AF163&gt;0,MAX(0,INDEX($AI$9:$AI$162,$AF163)-SUMIFS($AE$9:$AE$162,$G$9:$G$162,$G163,$B$9:$B$162,$B163)),0)),0),0)))</f>
        <v/>
      </c>
      <c r="AF163" t="str">
        <f>IF($A163="","",IFERROR(MATCH(LEN($B163)&amp;":"&amp;$B163&amp;$G163,$AY$9:$AY$162,0),0))</f>
        <v/>
      </c>
      <c r="AG163" t="str">
        <f>IF($A163="","",IF($F163="sell_put","put",IF($F163="sell_call","call",IF($F163="roll",IF($AF163&gt;0,IF($AF163&gt;0,INDEX($AG$9:$AG$162,$AF163),""),""),IF($AF163&gt;0,IF($AF163&gt;0,INDEX($AG$9:$AG$162,$AF163),""),"")))))</f>
        <v/>
      </c>
      <c r="AH163" t="str">
        <f>IF($A163="","",IF(OR($F163="sell_put",$F163="sell_call",$F163="roll"),$I163,IF($AF163&gt;0,IF($AF163&gt;0,INDEX($AH$9:$AH$162,$AF163),0),0)))</f>
        <v/>
      </c>
      <c r="AI163" s="51" t="str">
        <f t="shared" si="43"/>
        <v/>
      </c>
      <c r="AJ163" s="51" t="str">
        <f>IF($A163="","",IFERROR(LOOKUP(2,1/($B$9:$B$162=$B163),$AM$9:$AM162),0))</f>
        <v/>
      </c>
      <c r="AK163" t="str">
        <f>IF($A163="","",IFERROR(LOOKUP(2,1/($B$9:$B$162=$B163),$AN$9:$AN162),0))</f>
        <v/>
      </c>
      <c r="AL163" s="51" t="str">
        <f t="shared" si="44"/>
        <v/>
      </c>
      <c r="AM163" s="51" t="str">
        <f t="shared" si="45"/>
        <v/>
      </c>
      <c r="AN163" t="str">
        <f t="shared" si="46"/>
        <v/>
      </c>
      <c r="AO163" s="50" t="str">
        <f>IF($A163="","",IFERROR(LOOKUP(2,1/($B$9:$B$162=$B163),$AO$9:$AO162),0)+IF($F163="sell_put",$I163*$AE163*$D163,IF($F163="roll",IF($AG163="put",($I163-IF($AF163&gt;0,INDEX($AH$9:$AH$162,$AF163),0))*$AE163*$D163,0),IF(AND(OR($F163="buy_to_close",$F163="expire",$F163="roll",$F163="assignment",$F163="called_away"),$F163&lt;&gt;"roll",$AG163="put"),-IF($AF163&gt;0,INDEX($AH$9:$AH$162,$AF163),0)*$AE163*$D163,0))))</f>
        <v/>
      </c>
      <c r="AP163" s="51" t="str">
        <f>IF($A163="","",IFERROR(LOOKUP(2,1/($B$9:$B$162=$B163),$AP$9:$AP162),0)+IF($F163="sell_put",$AE163*$D163,IF(AND(OR($F163="buy_to_close",$F163="expire",$F163="roll",$F163="assignment",$F163="called_away"),$F163&lt;&gt;"roll",$AG163="put"),-$AE163*$D163,0)))</f>
        <v/>
      </c>
      <c r="AQ163" s="51" t="str">
        <f>IF($A163="","",IFERROR(LOOKUP(2,1/($B$9:$B$162=$B163),$AQ$9:$AQ162),0)+IF(OR($F163="sell_put",$F163="sell_call"),$AE163,0)-IF(AND(OR($F163="buy_to_close",$F163="expire",$F163="roll",$F163="assignment",$F163="called_away"),$F163&lt;&gt;"roll"),$AE163,0))</f>
        <v/>
      </c>
      <c r="AR163" t="str">
        <f t="shared" si="47"/>
        <v/>
      </c>
      <c r="AS163" s="50" t="str">
        <f t="shared" si="48"/>
        <v/>
      </c>
      <c r="AT163" s="50" t="str">
        <f>IF($A163="","",MAX(IF($T163=IFERROR(LOOKUP(2,1/($B$9:$B$162=$B163),$T$9:$T162),0),IFERROR(LOOKUP(2,1/($B$9:$B$162=$B163),$AT$9:$AT162),0),0),$AS163))</f>
        <v/>
      </c>
      <c r="AU163" t="str">
        <f t="shared" si="49"/>
        <v/>
      </c>
      <c r="AV163" s="51">
        <f>IF($AU163="",0,IF(AND(IFERROR(LOOKUP(2,1/($B$9:$B$162=$B163),$AR$9:$AR162),1),NOT(AND(OR($F163="dividend",$F163="fee"),IFERROR(LOOKUP(2,1/($B$9:$B$162=$B163),$T$9:$T162),0)&gt;0))),ROW(),0))</f>
        <v>0</v>
      </c>
      <c r="AW163">
        <f>IF($A163="",0,IF($AV163&gt;0,MAX($AW$9:$AW$162)+1,MAX($AW$9:$AW$162)))</f>
        <v>0</v>
      </c>
      <c r="AX163">
        <f>IF($AU163="",0,IF(AND($AR163,OR(NOT(IFERROR(LOOKUP(2,1/($B$9:$B$162=$B163),$AR$9:$AR162),1)),IFERROR(LOOKUP(2,1/($B$9:$B$162=$B163),$T$9:$T162),0)=0)),ROW(),0))</f>
        <v>0</v>
      </c>
      <c r="AY163" t="str">
        <f t="shared" si="50"/>
        <v/>
      </c>
    </row>
    <row r="164" spans="1:51" ht="15" x14ac:dyDescent="0.25">
      <c r="A164" s="52" t="str">
        <f>IF(Trades!$A164="","",Trades!O164)</f>
        <v/>
      </c>
      <c r="B164" s="52" t="str">
        <f>IF(Trades!$A164="","",Trades!B164)</f>
        <v/>
      </c>
      <c r="C164" s="52" t="str">
        <f>IF(Trades!$A164="","",Trades!C164)</f>
        <v/>
      </c>
      <c r="D164" s="53" t="str">
        <f>IF(Trades!$A164="","",IF(Trades!$L164&gt;0,Trades!$L164,Trades!$C$6))</f>
        <v/>
      </c>
      <c r="E164" s="54" t="str">
        <f>IF(Trades!$A164="","",Trades!A164)</f>
        <v/>
      </c>
      <c r="F164" s="52" t="str">
        <f>IF(Trades!$A164="","",IFERROR(INDEX(Trades!$V$2:$V$14,MATCH(Trades!$E164,Trades!$U$2:$U$14,0)),""))</f>
        <v/>
      </c>
      <c r="G164" s="52" t="str">
        <f>IF(Trades!$A164="","",Trades!N164)</f>
        <v/>
      </c>
      <c r="H164" s="53" t="str">
        <f>IF(Trades!$A164="","",Trades!F164)</f>
        <v/>
      </c>
      <c r="I164" s="55" t="str">
        <f>IF(Trades!$A164="","",Trades!G164)</f>
        <v/>
      </c>
      <c r="J164" s="55" t="str">
        <f>IF(Trades!$A164="","",Trades!I164)</f>
        <v/>
      </c>
      <c r="K164" s="55" t="str">
        <f>IF(Trades!$A164="","",Trades!Q164)</f>
        <v/>
      </c>
      <c r="L164" s="53" t="str">
        <f>IF(Trades!$A164="","",Trades!F164)</f>
        <v/>
      </c>
      <c r="M164" s="55" t="str">
        <f>IF(Trades!$A164="","",Trades!M164)</f>
        <v/>
      </c>
      <c r="N164" s="55" t="str">
        <f>IF(Trades!$A164="","",Trades!R164)</f>
        <v/>
      </c>
      <c r="O164" s="55" t="str">
        <f>IF(Trades!$A164="","",Trades!J164)</f>
        <v/>
      </c>
      <c r="P164" s="54" t="str">
        <f>IF(Trades!$A164="","",Trades!H164)</f>
        <v/>
      </c>
      <c r="Q164" s="52" t="str">
        <f>IF(Trades!$A164="","",Trades!P164)</f>
        <v/>
      </c>
      <c r="R164" s="56" t="str">
        <f t="shared" si="34"/>
        <v/>
      </c>
      <c r="S164" s="56" t="str">
        <f t="shared" si="35"/>
        <v/>
      </c>
      <c r="T164" s="57" t="str">
        <f>IF(OR($A164="",$B164=""),"",IF(AND(IFERROR(LOOKUP(2,1/($B$9:$B$163=$B164),$AR$9:$AR163),1),NOT(AND(OR($F164="dividend",$F164="fee"),IFERROR(LOOKUP(2,1/($B$9:$B$163=$B164),$T$9:$T163),0)&gt;0))),IFERROR(LOOKUP(2,1/($B$9:$B$163=$B164),$T$9:$T163),0)+1,IFERROR(LOOKUP(2,1/($B$9:$B$163=$B164),$T$9:$T163),0)))</f>
        <v/>
      </c>
      <c r="U164" s="58" t="str">
        <f t="shared" si="36"/>
        <v/>
      </c>
      <c r="V164" s="58" t="str">
        <f>IF($A164="","",IF(OR($B164="",$C164="",$D164="",$E164="",$F164=""),"Missing required field",IF(COUNTIFS($A$9:$A164,$A164,$B$9:$B164,$B164)&gt;1,"Duplicate event ID",IF(AND($E164&lt;&gt;IFERROR(LOOKUP(2,1/($B$9:$B$163=$B164),$E$9:$E163),0),IFERROR(LOOKUP(2,1/($B$9:$B$163=$B164),$E$9:$E163),0)&gt;$E164),"Date out of order",IF(AND(OR($F164="buy_to_close",$F164="expire",$F164="roll",$F164="assignment",$F164="called_away"),$AF164=0),"Unknown lot",IF(OR(AND($F164="assignment",$AF164&gt;0,IF($AF164&gt;0,INDEX($AG$9:$AG$163,$AF164),"")&lt;&gt;"put"),AND($F164="called_away",$AF164&gt;0,IF($AF164&gt;0,INDEX($AG$9:$AG$163,$AF164),"")&lt;&gt;"call")),"Wrong option leg",IF(OR(AND(OR($F164="sell_put",$F164="sell_call"),OR($H164&lt;=0,$I164&lt;=0,$J164&lt;0)),AND(OR($F164="buy_to_close",$F164="expire",$F164="assignment",$F164="called_away"),OR($H164&lt;=0,$J164&lt;0)),AND($F164="roll",OR($H164&lt;=0,$I164&lt;=0,$J164&lt;0,$K164&lt;0)),AND(OR($F164="buy_shares",$F164="sell_shares"),OR($L164&lt;=0,$M164&lt;0)),AND(OR($F164="dividend",$F164="fee"),$N164&lt;0)),"Invalid value",IF(AND(OR($F164="sell_shares",$F164="called_away"),$AL164&lt;IF($F164="called_away",$AE164*$D164,$L164)),"Insufficient shares (capped)",IF(AND(OR($F164="buy_to_close",$F164="expire",$F164="roll",$F164="assignment",$F164="called_away"),$AF164&gt;0,$H164&gt;IF($AF164&gt;0,MAX(0,INDEX($AI$9:$AI$163,$AF164)-SUMIFS($AE$9:$AE$163,$G$9:$G$163,$G164,$B$9:$B$163,$B164)),0)),"Close quantity capped","OK")))))))))</f>
        <v/>
      </c>
      <c r="W164" s="59" t="str">
        <f t="shared" si="37"/>
        <v/>
      </c>
      <c r="X164" s="60" t="str">
        <f t="shared" si="38"/>
        <v/>
      </c>
      <c r="Y164" s="50" t="str">
        <f t="shared" si="39"/>
        <v/>
      </c>
      <c r="Z164" s="50" t="str">
        <f t="shared" si="40"/>
        <v/>
      </c>
      <c r="AA164" s="50" t="str">
        <f t="shared" si="41"/>
        <v/>
      </c>
      <c r="AB164" s="50" t="str">
        <f t="shared" si="42"/>
        <v/>
      </c>
      <c r="AC164" s="50" t="str">
        <f>IF($A164="","",IF($F164="assignment",IF($AF164&gt;0,INDEX($AH$9:$AH$163,$AF164),0)*$AE164*$D164,IF($F164="buy_shares",$M164*$AL164,0)))</f>
        <v/>
      </c>
      <c r="AD164" s="50" t="str">
        <f>IF($A164="","",IF($F164="called_away",IF($AF164&gt;0,INDEX($AH$9:$AH$163,$AF164),0)*$AL164,IF($F164="sell_shares",$M164*$AL164,0)))</f>
        <v/>
      </c>
      <c r="AE164" s="51" t="str">
        <f>IF($A164="","",IF(OR($F164="sell_put",$F164="sell_call"),IF(AND($H164&gt;0,$I164&gt;0,$J164&gt;=0),$H164,0),IF(OR($F164="buy_to_close",$F164="expire",$F164="roll",$F164="assignment",$F164="called_away"),IF(AND($AF164&gt;0,$H164&gt;0,IF($F164="assignment",IF($AF164&gt;0,INDEX($AG$9:$AG$163,$AF164),"")="put",TRUE),IF($F164="called_away",IF($AF164&gt;0,INDEX($AG$9:$AG$163,$AF164),"")="call",TRUE)),MIN($H164,IF($AF164&gt;0,MAX(0,INDEX($AI$9:$AI$163,$AF164)-SUMIFS($AE$9:$AE$163,$G$9:$G$163,$G164,$B$9:$B$163,$B164)),0)),0),0)))</f>
        <v/>
      </c>
      <c r="AF164" t="str">
        <f>IF($A164="","",IFERROR(MATCH(LEN($B164)&amp;":"&amp;$B164&amp;$G164,$AY$9:$AY$163,0),0))</f>
        <v/>
      </c>
      <c r="AG164" t="str">
        <f>IF($A164="","",IF($F164="sell_put","put",IF($F164="sell_call","call",IF($F164="roll",IF($AF164&gt;0,IF($AF164&gt;0,INDEX($AG$9:$AG$163,$AF164),""),""),IF($AF164&gt;0,IF($AF164&gt;0,INDEX($AG$9:$AG$163,$AF164),""),"")))))</f>
        <v/>
      </c>
      <c r="AH164" t="str">
        <f>IF($A164="","",IF(OR($F164="sell_put",$F164="sell_call",$F164="roll"),$I164,IF($AF164&gt;0,IF($AF164&gt;0,INDEX($AH$9:$AH$163,$AF164),0),0)))</f>
        <v/>
      </c>
      <c r="AI164" s="51" t="str">
        <f t="shared" si="43"/>
        <v/>
      </c>
      <c r="AJ164" s="51" t="str">
        <f>IF($A164="","",IFERROR(LOOKUP(2,1/($B$9:$B$163=$B164),$AM$9:$AM163),0))</f>
        <v/>
      </c>
      <c r="AK164" t="str">
        <f>IF($A164="","",IFERROR(LOOKUP(2,1/($B$9:$B$163=$B164),$AN$9:$AN163),0))</f>
        <v/>
      </c>
      <c r="AL164" s="51" t="str">
        <f t="shared" si="44"/>
        <v/>
      </c>
      <c r="AM164" s="51" t="str">
        <f t="shared" si="45"/>
        <v/>
      </c>
      <c r="AN164" t="str">
        <f t="shared" si="46"/>
        <v/>
      </c>
      <c r="AO164" s="50" t="str">
        <f>IF($A164="","",IFERROR(LOOKUP(2,1/($B$9:$B$163=$B164),$AO$9:$AO163),0)+IF($F164="sell_put",$I164*$AE164*$D164,IF($F164="roll",IF($AG164="put",($I164-IF($AF164&gt;0,INDEX($AH$9:$AH$163,$AF164),0))*$AE164*$D164,0),IF(AND(OR($F164="buy_to_close",$F164="expire",$F164="roll",$F164="assignment",$F164="called_away"),$F164&lt;&gt;"roll",$AG164="put"),-IF($AF164&gt;0,INDEX($AH$9:$AH$163,$AF164),0)*$AE164*$D164,0))))</f>
        <v/>
      </c>
      <c r="AP164" s="51" t="str">
        <f>IF($A164="","",IFERROR(LOOKUP(2,1/($B$9:$B$163=$B164),$AP$9:$AP163),0)+IF($F164="sell_put",$AE164*$D164,IF(AND(OR($F164="buy_to_close",$F164="expire",$F164="roll",$F164="assignment",$F164="called_away"),$F164&lt;&gt;"roll",$AG164="put"),-$AE164*$D164,0)))</f>
        <v/>
      </c>
      <c r="AQ164" s="51" t="str">
        <f>IF($A164="","",IFERROR(LOOKUP(2,1/($B$9:$B$163=$B164),$AQ$9:$AQ163),0)+IF(OR($F164="sell_put",$F164="sell_call"),$AE164,0)-IF(AND(OR($F164="buy_to_close",$F164="expire",$F164="roll",$F164="assignment",$F164="called_away"),$F164&lt;&gt;"roll"),$AE164,0))</f>
        <v/>
      </c>
      <c r="AR164" t="str">
        <f t="shared" si="47"/>
        <v/>
      </c>
      <c r="AS164" s="50" t="str">
        <f t="shared" si="48"/>
        <v/>
      </c>
      <c r="AT164" s="50" t="str">
        <f>IF($A164="","",MAX(IF($T164=IFERROR(LOOKUP(2,1/($B$9:$B$163=$B164),$T$9:$T163),0),IFERROR(LOOKUP(2,1/($B$9:$B$163=$B164),$AT$9:$AT163),0),0),$AS164))</f>
        <v/>
      </c>
      <c r="AU164" t="str">
        <f t="shared" si="49"/>
        <v/>
      </c>
      <c r="AV164" s="51">
        <f>IF($AU164="",0,IF(AND(IFERROR(LOOKUP(2,1/($B$9:$B$163=$B164),$AR$9:$AR163),1),NOT(AND(OR($F164="dividend",$F164="fee"),IFERROR(LOOKUP(2,1/($B$9:$B$163=$B164),$T$9:$T163),0)&gt;0))),ROW(),0))</f>
        <v>0</v>
      </c>
      <c r="AW164">
        <f>IF($A164="",0,IF($AV164&gt;0,MAX($AW$9:$AW$163)+1,MAX($AW$9:$AW$163)))</f>
        <v>0</v>
      </c>
      <c r="AX164">
        <f>IF($AU164="",0,IF(AND($AR164,OR(NOT(IFERROR(LOOKUP(2,1/($B$9:$B$163=$B164),$AR$9:$AR163),1)),IFERROR(LOOKUP(2,1/($B$9:$B$163=$B164),$T$9:$T163),0)=0)),ROW(),0))</f>
        <v>0</v>
      </c>
      <c r="AY164" t="str">
        <f t="shared" si="50"/>
        <v/>
      </c>
    </row>
    <row r="165" spans="1:51" ht="15" x14ac:dyDescent="0.25">
      <c r="A165" s="41" t="str">
        <f>IF(Trades!$A165="","",Trades!O165)</f>
        <v/>
      </c>
      <c r="B165" s="41" t="str">
        <f>IF(Trades!$A165="","",Trades!B165)</f>
        <v/>
      </c>
      <c r="C165" s="41" t="str">
        <f>IF(Trades!$A165="","",Trades!C165)</f>
        <v/>
      </c>
      <c r="D165" s="42" t="str">
        <f>IF(Trades!$A165="","",IF(Trades!$L165&gt;0,Trades!$L165,Trades!$C$6))</f>
        <v/>
      </c>
      <c r="E165" s="43" t="str">
        <f>IF(Trades!$A165="","",Trades!A165)</f>
        <v/>
      </c>
      <c r="F165" s="41" t="str">
        <f>IF(Trades!$A165="","",IFERROR(INDEX(Trades!$V$2:$V$14,MATCH(Trades!$E165,Trades!$U$2:$U$14,0)),""))</f>
        <v/>
      </c>
      <c r="G165" s="41" t="str">
        <f>IF(Trades!$A165="","",Trades!N165)</f>
        <v/>
      </c>
      <c r="H165" s="42" t="str">
        <f>IF(Trades!$A165="","",Trades!F165)</f>
        <v/>
      </c>
      <c r="I165" s="44" t="str">
        <f>IF(Trades!$A165="","",Trades!G165)</f>
        <v/>
      </c>
      <c r="J165" s="44" t="str">
        <f>IF(Trades!$A165="","",Trades!I165)</f>
        <v/>
      </c>
      <c r="K165" s="44" t="str">
        <f>IF(Trades!$A165="","",Trades!Q165)</f>
        <v/>
      </c>
      <c r="L165" s="42" t="str">
        <f>IF(Trades!$A165="","",Trades!F165)</f>
        <v/>
      </c>
      <c r="M165" s="44" t="str">
        <f>IF(Trades!$A165="","",Trades!M165)</f>
        <v/>
      </c>
      <c r="N165" s="44" t="str">
        <f>IF(Trades!$A165="","",Trades!R165)</f>
        <v/>
      </c>
      <c r="O165" s="44" t="str">
        <f>IF(Trades!$A165="","",Trades!J165)</f>
        <v/>
      </c>
      <c r="P165" s="43" t="str">
        <f>IF(Trades!$A165="","",Trades!H165)</f>
        <v/>
      </c>
      <c r="Q165" s="41" t="str">
        <f>IF(Trades!$A165="","",Trades!P165)</f>
        <v/>
      </c>
      <c r="R165" s="45" t="str">
        <f t="shared" si="34"/>
        <v/>
      </c>
      <c r="S165" s="45" t="str">
        <f t="shared" si="35"/>
        <v/>
      </c>
      <c r="T165" s="46" t="str">
        <f>IF(OR($A165="",$B165=""),"",IF(AND(IFERROR(LOOKUP(2,1/($B$9:$B$164=$B165),$AR$9:$AR164),1),NOT(AND(OR($F165="dividend",$F165="fee"),IFERROR(LOOKUP(2,1/($B$9:$B$164=$B165),$T$9:$T164),0)&gt;0))),IFERROR(LOOKUP(2,1/($B$9:$B$164=$B165),$T$9:$T164),0)+1,IFERROR(LOOKUP(2,1/($B$9:$B$164=$B165),$T$9:$T164),0)))</f>
        <v/>
      </c>
      <c r="U165" s="47" t="str">
        <f t="shared" si="36"/>
        <v/>
      </c>
      <c r="V165" s="47" t="str">
        <f>IF($A165="","",IF(OR($B165="",$C165="",$D165="",$E165="",$F165=""),"Missing required field",IF(COUNTIFS($A$9:$A165,$A165,$B$9:$B165,$B165)&gt;1,"Duplicate event ID",IF(AND($E165&lt;&gt;IFERROR(LOOKUP(2,1/($B$9:$B$164=$B165),$E$9:$E164),0),IFERROR(LOOKUP(2,1/($B$9:$B$164=$B165),$E$9:$E164),0)&gt;$E165),"Date out of order",IF(AND(OR($F165="buy_to_close",$F165="expire",$F165="roll",$F165="assignment",$F165="called_away"),$AF165=0),"Unknown lot",IF(OR(AND($F165="assignment",$AF165&gt;0,IF($AF165&gt;0,INDEX($AG$9:$AG$164,$AF165),"")&lt;&gt;"put"),AND($F165="called_away",$AF165&gt;0,IF($AF165&gt;0,INDEX($AG$9:$AG$164,$AF165),"")&lt;&gt;"call")),"Wrong option leg",IF(OR(AND(OR($F165="sell_put",$F165="sell_call"),OR($H165&lt;=0,$I165&lt;=0,$J165&lt;0)),AND(OR($F165="buy_to_close",$F165="expire",$F165="assignment",$F165="called_away"),OR($H165&lt;=0,$J165&lt;0)),AND($F165="roll",OR($H165&lt;=0,$I165&lt;=0,$J165&lt;0,$K165&lt;0)),AND(OR($F165="buy_shares",$F165="sell_shares"),OR($L165&lt;=0,$M165&lt;0)),AND(OR($F165="dividend",$F165="fee"),$N165&lt;0)),"Invalid value",IF(AND(OR($F165="sell_shares",$F165="called_away"),$AL165&lt;IF($F165="called_away",$AE165*$D165,$L165)),"Insufficient shares (capped)",IF(AND(OR($F165="buy_to_close",$F165="expire",$F165="roll",$F165="assignment",$F165="called_away"),$AF165&gt;0,$H165&gt;IF($AF165&gt;0,MAX(0,INDEX($AI$9:$AI$164,$AF165)-SUMIFS($AE$9:$AE$164,$G$9:$G$164,$G165,$B$9:$B$164,$B165)),0)),"Close quantity capped","OK")))))))))</f>
        <v/>
      </c>
      <c r="W165" s="48" t="str">
        <f t="shared" si="37"/>
        <v/>
      </c>
      <c r="X165" s="49" t="str">
        <f t="shared" si="38"/>
        <v/>
      </c>
      <c r="Y165" s="50" t="str">
        <f t="shared" si="39"/>
        <v/>
      </c>
      <c r="Z165" s="50" t="str">
        <f t="shared" si="40"/>
        <v/>
      </c>
      <c r="AA165" s="50" t="str">
        <f t="shared" si="41"/>
        <v/>
      </c>
      <c r="AB165" s="50" t="str">
        <f t="shared" si="42"/>
        <v/>
      </c>
      <c r="AC165" s="50" t="str">
        <f>IF($A165="","",IF($F165="assignment",IF($AF165&gt;0,INDEX($AH$9:$AH$164,$AF165),0)*$AE165*$D165,IF($F165="buy_shares",$M165*$AL165,0)))</f>
        <v/>
      </c>
      <c r="AD165" s="50" t="str">
        <f>IF($A165="","",IF($F165="called_away",IF($AF165&gt;0,INDEX($AH$9:$AH$164,$AF165),0)*$AL165,IF($F165="sell_shares",$M165*$AL165,0)))</f>
        <v/>
      </c>
      <c r="AE165" s="51" t="str">
        <f>IF($A165="","",IF(OR($F165="sell_put",$F165="sell_call"),IF(AND($H165&gt;0,$I165&gt;0,$J165&gt;=0),$H165,0),IF(OR($F165="buy_to_close",$F165="expire",$F165="roll",$F165="assignment",$F165="called_away"),IF(AND($AF165&gt;0,$H165&gt;0,IF($F165="assignment",IF($AF165&gt;0,INDEX($AG$9:$AG$164,$AF165),"")="put",TRUE),IF($F165="called_away",IF($AF165&gt;0,INDEX($AG$9:$AG$164,$AF165),"")="call",TRUE)),MIN($H165,IF($AF165&gt;0,MAX(0,INDEX($AI$9:$AI$164,$AF165)-SUMIFS($AE$9:$AE$164,$G$9:$G$164,$G165,$B$9:$B$164,$B165)),0)),0),0)))</f>
        <v/>
      </c>
      <c r="AF165" t="str">
        <f>IF($A165="","",IFERROR(MATCH(LEN($B165)&amp;":"&amp;$B165&amp;$G165,$AY$9:$AY$164,0),0))</f>
        <v/>
      </c>
      <c r="AG165" t="str">
        <f>IF($A165="","",IF($F165="sell_put","put",IF($F165="sell_call","call",IF($F165="roll",IF($AF165&gt;0,IF($AF165&gt;0,INDEX($AG$9:$AG$164,$AF165),""),""),IF($AF165&gt;0,IF($AF165&gt;0,INDEX($AG$9:$AG$164,$AF165),""),"")))))</f>
        <v/>
      </c>
      <c r="AH165" t="str">
        <f>IF($A165="","",IF(OR($F165="sell_put",$F165="sell_call",$F165="roll"),$I165,IF($AF165&gt;0,IF($AF165&gt;0,INDEX($AH$9:$AH$164,$AF165),0),0)))</f>
        <v/>
      </c>
      <c r="AI165" s="51" t="str">
        <f t="shared" si="43"/>
        <v/>
      </c>
      <c r="AJ165" s="51" t="str">
        <f>IF($A165="","",IFERROR(LOOKUP(2,1/($B$9:$B$164=$B165),$AM$9:$AM164),0))</f>
        <v/>
      </c>
      <c r="AK165" t="str">
        <f>IF($A165="","",IFERROR(LOOKUP(2,1/($B$9:$B$164=$B165),$AN$9:$AN164),0))</f>
        <v/>
      </c>
      <c r="AL165" s="51" t="str">
        <f t="shared" si="44"/>
        <v/>
      </c>
      <c r="AM165" s="51" t="str">
        <f t="shared" si="45"/>
        <v/>
      </c>
      <c r="AN165" t="str">
        <f t="shared" si="46"/>
        <v/>
      </c>
      <c r="AO165" s="50" t="str">
        <f>IF($A165="","",IFERROR(LOOKUP(2,1/($B$9:$B$164=$B165),$AO$9:$AO164),0)+IF($F165="sell_put",$I165*$AE165*$D165,IF($F165="roll",IF($AG165="put",($I165-IF($AF165&gt;0,INDEX($AH$9:$AH$164,$AF165),0))*$AE165*$D165,0),IF(AND(OR($F165="buy_to_close",$F165="expire",$F165="roll",$F165="assignment",$F165="called_away"),$F165&lt;&gt;"roll",$AG165="put"),-IF($AF165&gt;0,INDEX($AH$9:$AH$164,$AF165),0)*$AE165*$D165,0))))</f>
        <v/>
      </c>
      <c r="AP165" s="51" t="str">
        <f>IF($A165="","",IFERROR(LOOKUP(2,1/($B$9:$B$164=$B165),$AP$9:$AP164),0)+IF($F165="sell_put",$AE165*$D165,IF(AND(OR($F165="buy_to_close",$F165="expire",$F165="roll",$F165="assignment",$F165="called_away"),$F165&lt;&gt;"roll",$AG165="put"),-$AE165*$D165,0)))</f>
        <v/>
      </c>
      <c r="AQ165" s="51" t="str">
        <f>IF($A165="","",IFERROR(LOOKUP(2,1/($B$9:$B$164=$B165),$AQ$9:$AQ164),0)+IF(OR($F165="sell_put",$F165="sell_call"),$AE165,0)-IF(AND(OR($F165="buy_to_close",$F165="expire",$F165="roll",$F165="assignment",$F165="called_away"),$F165&lt;&gt;"roll"),$AE165,0))</f>
        <v/>
      </c>
      <c r="AR165" t="str">
        <f t="shared" si="47"/>
        <v/>
      </c>
      <c r="AS165" s="50" t="str">
        <f t="shared" si="48"/>
        <v/>
      </c>
      <c r="AT165" s="50" t="str">
        <f>IF($A165="","",MAX(IF($T165=IFERROR(LOOKUP(2,1/($B$9:$B$164=$B165),$T$9:$T164),0),IFERROR(LOOKUP(2,1/($B$9:$B$164=$B165),$AT$9:$AT164),0),0),$AS165))</f>
        <v/>
      </c>
      <c r="AU165" t="str">
        <f t="shared" si="49"/>
        <v/>
      </c>
      <c r="AV165" s="51">
        <f>IF($AU165="",0,IF(AND(IFERROR(LOOKUP(2,1/($B$9:$B$164=$B165),$AR$9:$AR164),1),NOT(AND(OR($F165="dividend",$F165="fee"),IFERROR(LOOKUP(2,1/($B$9:$B$164=$B165),$T$9:$T164),0)&gt;0))),ROW(),0))</f>
        <v>0</v>
      </c>
      <c r="AW165">
        <f>IF($A165="",0,IF($AV165&gt;0,MAX($AW$9:$AW$164)+1,MAX($AW$9:$AW$164)))</f>
        <v>0</v>
      </c>
      <c r="AX165">
        <f>IF($AU165="",0,IF(AND($AR165,OR(NOT(IFERROR(LOOKUP(2,1/($B$9:$B$164=$B165),$AR$9:$AR164),1)),IFERROR(LOOKUP(2,1/($B$9:$B$164=$B165),$T$9:$T164),0)=0)),ROW(),0))</f>
        <v>0</v>
      </c>
      <c r="AY165" t="str">
        <f t="shared" si="50"/>
        <v/>
      </c>
    </row>
    <row r="166" spans="1:51" ht="15" x14ac:dyDescent="0.25">
      <c r="A166" s="52" t="str">
        <f>IF(Trades!$A166="","",Trades!O166)</f>
        <v/>
      </c>
      <c r="B166" s="52" t="str">
        <f>IF(Trades!$A166="","",Trades!B166)</f>
        <v/>
      </c>
      <c r="C166" s="52" t="str">
        <f>IF(Trades!$A166="","",Trades!C166)</f>
        <v/>
      </c>
      <c r="D166" s="53" t="str">
        <f>IF(Trades!$A166="","",IF(Trades!$L166&gt;0,Trades!$L166,Trades!$C$6))</f>
        <v/>
      </c>
      <c r="E166" s="54" t="str">
        <f>IF(Trades!$A166="","",Trades!A166)</f>
        <v/>
      </c>
      <c r="F166" s="52" t="str">
        <f>IF(Trades!$A166="","",IFERROR(INDEX(Trades!$V$2:$V$14,MATCH(Trades!$E166,Trades!$U$2:$U$14,0)),""))</f>
        <v/>
      </c>
      <c r="G166" s="52" t="str">
        <f>IF(Trades!$A166="","",Trades!N166)</f>
        <v/>
      </c>
      <c r="H166" s="53" t="str">
        <f>IF(Trades!$A166="","",Trades!F166)</f>
        <v/>
      </c>
      <c r="I166" s="55" t="str">
        <f>IF(Trades!$A166="","",Trades!G166)</f>
        <v/>
      </c>
      <c r="J166" s="55" t="str">
        <f>IF(Trades!$A166="","",Trades!I166)</f>
        <v/>
      </c>
      <c r="K166" s="55" t="str">
        <f>IF(Trades!$A166="","",Trades!Q166)</f>
        <v/>
      </c>
      <c r="L166" s="53" t="str">
        <f>IF(Trades!$A166="","",Trades!F166)</f>
        <v/>
      </c>
      <c r="M166" s="55" t="str">
        <f>IF(Trades!$A166="","",Trades!M166)</f>
        <v/>
      </c>
      <c r="N166" s="55" t="str">
        <f>IF(Trades!$A166="","",Trades!R166)</f>
        <v/>
      </c>
      <c r="O166" s="55" t="str">
        <f>IF(Trades!$A166="","",Trades!J166)</f>
        <v/>
      </c>
      <c r="P166" s="54" t="str">
        <f>IF(Trades!$A166="","",Trades!H166)</f>
        <v/>
      </c>
      <c r="Q166" s="52" t="str">
        <f>IF(Trades!$A166="","",Trades!P166)</f>
        <v/>
      </c>
      <c r="R166" s="56" t="str">
        <f t="shared" si="34"/>
        <v/>
      </c>
      <c r="S166" s="56" t="str">
        <f t="shared" si="35"/>
        <v/>
      </c>
      <c r="T166" s="57" t="str">
        <f>IF(OR($A166="",$B166=""),"",IF(AND(IFERROR(LOOKUP(2,1/($B$9:$B$165=$B166),$AR$9:$AR165),1),NOT(AND(OR($F166="dividend",$F166="fee"),IFERROR(LOOKUP(2,1/($B$9:$B$165=$B166),$T$9:$T165),0)&gt;0))),IFERROR(LOOKUP(2,1/($B$9:$B$165=$B166),$T$9:$T165),0)+1,IFERROR(LOOKUP(2,1/($B$9:$B$165=$B166),$T$9:$T165),0)))</f>
        <v/>
      </c>
      <c r="U166" s="58" t="str">
        <f t="shared" si="36"/>
        <v/>
      </c>
      <c r="V166" s="58" t="str">
        <f>IF($A166="","",IF(OR($B166="",$C166="",$D166="",$E166="",$F166=""),"Missing required field",IF(COUNTIFS($A$9:$A166,$A166,$B$9:$B166,$B166)&gt;1,"Duplicate event ID",IF(AND($E166&lt;&gt;IFERROR(LOOKUP(2,1/($B$9:$B$165=$B166),$E$9:$E165),0),IFERROR(LOOKUP(2,1/($B$9:$B$165=$B166),$E$9:$E165),0)&gt;$E166),"Date out of order",IF(AND(OR($F166="buy_to_close",$F166="expire",$F166="roll",$F166="assignment",$F166="called_away"),$AF166=0),"Unknown lot",IF(OR(AND($F166="assignment",$AF166&gt;0,IF($AF166&gt;0,INDEX($AG$9:$AG$165,$AF166),"")&lt;&gt;"put"),AND($F166="called_away",$AF166&gt;0,IF($AF166&gt;0,INDEX($AG$9:$AG$165,$AF166),"")&lt;&gt;"call")),"Wrong option leg",IF(OR(AND(OR($F166="sell_put",$F166="sell_call"),OR($H166&lt;=0,$I166&lt;=0,$J166&lt;0)),AND(OR($F166="buy_to_close",$F166="expire",$F166="assignment",$F166="called_away"),OR($H166&lt;=0,$J166&lt;0)),AND($F166="roll",OR($H166&lt;=0,$I166&lt;=0,$J166&lt;0,$K166&lt;0)),AND(OR($F166="buy_shares",$F166="sell_shares"),OR($L166&lt;=0,$M166&lt;0)),AND(OR($F166="dividend",$F166="fee"),$N166&lt;0)),"Invalid value",IF(AND(OR($F166="sell_shares",$F166="called_away"),$AL166&lt;IF($F166="called_away",$AE166*$D166,$L166)),"Insufficient shares (capped)",IF(AND(OR($F166="buy_to_close",$F166="expire",$F166="roll",$F166="assignment",$F166="called_away"),$AF166&gt;0,$H166&gt;IF($AF166&gt;0,MAX(0,INDEX($AI$9:$AI$165,$AF166)-SUMIFS($AE$9:$AE$165,$G$9:$G$165,$G166,$B$9:$B$165,$B166)),0)),"Close quantity capped","OK")))))))))</f>
        <v/>
      </c>
      <c r="W166" s="59" t="str">
        <f t="shared" si="37"/>
        <v/>
      </c>
      <c r="X166" s="60" t="str">
        <f t="shared" si="38"/>
        <v/>
      </c>
      <c r="Y166" s="50" t="str">
        <f t="shared" si="39"/>
        <v/>
      </c>
      <c r="Z166" s="50" t="str">
        <f t="shared" si="40"/>
        <v/>
      </c>
      <c r="AA166" s="50" t="str">
        <f t="shared" si="41"/>
        <v/>
      </c>
      <c r="AB166" s="50" t="str">
        <f t="shared" si="42"/>
        <v/>
      </c>
      <c r="AC166" s="50" t="str">
        <f>IF($A166="","",IF($F166="assignment",IF($AF166&gt;0,INDEX($AH$9:$AH$165,$AF166),0)*$AE166*$D166,IF($F166="buy_shares",$M166*$AL166,0)))</f>
        <v/>
      </c>
      <c r="AD166" s="50" t="str">
        <f>IF($A166="","",IF($F166="called_away",IF($AF166&gt;0,INDEX($AH$9:$AH$165,$AF166),0)*$AL166,IF($F166="sell_shares",$M166*$AL166,0)))</f>
        <v/>
      </c>
      <c r="AE166" s="51" t="str">
        <f>IF($A166="","",IF(OR($F166="sell_put",$F166="sell_call"),IF(AND($H166&gt;0,$I166&gt;0,$J166&gt;=0),$H166,0),IF(OR($F166="buy_to_close",$F166="expire",$F166="roll",$F166="assignment",$F166="called_away"),IF(AND($AF166&gt;0,$H166&gt;0,IF($F166="assignment",IF($AF166&gt;0,INDEX($AG$9:$AG$165,$AF166),"")="put",TRUE),IF($F166="called_away",IF($AF166&gt;0,INDEX($AG$9:$AG$165,$AF166),"")="call",TRUE)),MIN($H166,IF($AF166&gt;0,MAX(0,INDEX($AI$9:$AI$165,$AF166)-SUMIFS($AE$9:$AE$165,$G$9:$G$165,$G166,$B$9:$B$165,$B166)),0)),0),0)))</f>
        <v/>
      </c>
      <c r="AF166" t="str">
        <f>IF($A166="","",IFERROR(MATCH(LEN($B166)&amp;":"&amp;$B166&amp;$G166,$AY$9:$AY$165,0),0))</f>
        <v/>
      </c>
      <c r="AG166" t="str">
        <f>IF($A166="","",IF($F166="sell_put","put",IF($F166="sell_call","call",IF($F166="roll",IF($AF166&gt;0,IF($AF166&gt;0,INDEX($AG$9:$AG$165,$AF166),""),""),IF($AF166&gt;0,IF($AF166&gt;0,INDEX($AG$9:$AG$165,$AF166),""),"")))))</f>
        <v/>
      </c>
      <c r="AH166" t="str">
        <f>IF($A166="","",IF(OR($F166="sell_put",$F166="sell_call",$F166="roll"),$I166,IF($AF166&gt;0,IF($AF166&gt;0,INDEX($AH$9:$AH$165,$AF166),0),0)))</f>
        <v/>
      </c>
      <c r="AI166" s="51" t="str">
        <f t="shared" si="43"/>
        <v/>
      </c>
      <c r="AJ166" s="51" t="str">
        <f>IF($A166="","",IFERROR(LOOKUP(2,1/($B$9:$B$165=$B166),$AM$9:$AM165),0))</f>
        <v/>
      </c>
      <c r="AK166" t="str">
        <f>IF($A166="","",IFERROR(LOOKUP(2,1/($B$9:$B$165=$B166),$AN$9:$AN165),0))</f>
        <v/>
      </c>
      <c r="AL166" s="51" t="str">
        <f t="shared" si="44"/>
        <v/>
      </c>
      <c r="AM166" s="51" t="str">
        <f t="shared" si="45"/>
        <v/>
      </c>
      <c r="AN166" t="str">
        <f t="shared" si="46"/>
        <v/>
      </c>
      <c r="AO166" s="50" t="str">
        <f>IF($A166="","",IFERROR(LOOKUP(2,1/($B$9:$B$165=$B166),$AO$9:$AO165),0)+IF($F166="sell_put",$I166*$AE166*$D166,IF($F166="roll",IF($AG166="put",($I166-IF($AF166&gt;0,INDEX($AH$9:$AH$165,$AF166),0))*$AE166*$D166,0),IF(AND(OR($F166="buy_to_close",$F166="expire",$F166="roll",$F166="assignment",$F166="called_away"),$F166&lt;&gt;"roll",$AG166="put"),-IF($AF166&gt;0,INDEX($AH$9:$AH$165,$AF166),0)*$AE166*$D166,0))))</f>
        <v/>
      </c>
      <c r="AP166" s="51" t="str">
        <f>IF($A166="","",IFERROR(LOOKUP(2,1/($B$9:$B$165=$B166),$AP$9:$AP165),0)+IF($F166="sell_put",$AE166*$D166,IF(AND(OR($F166="buy_to_close",$F166="expire",$F166="roll",$F166="assignment",$F166="called_away"),$F166&lt;&gt;"roll",$AG166="put"),-$AE166*$D166,0)))</f>
        <v/>
      </c>
      <c r="AQ166" s="51" t="str">
        <f>IF($A166="","",IFERROR(LOOKUP(2,1/($B$9:$B$165=$B166),$AQ$9:$AQ165),0)+IF(OR($F166="sell_put",$F166="sell_call"),$AE166,0)-IF(AND(OR($F166="buy_to_close",$F166="expire",$F166="roll",$F166="assignment",$F166="called_away"),$F166&lt;&gt;"roll"),$AE166,0))</f>
        <v/>
      </c>
      <c r="AR166" t="str">
        <f t="shared" si="47"/>
        <v/>
      </c>
      <c r="AS166" s="50" t="str">
        <f t="shared" si="48"/>
        <v/>
      </c>
      <c r="AT166" s="50" t="str">
        <f>IF($A166="","",MAX(IF($T166=IFERROR(LOOKUP(2,1/($B$9:$B$165=$B166),$T$9:$T165),0),IFERROR(LOOKUP(2,1/($B$9:$B$165=$B166),$AT$9:$AT165),0),0),$AS166))</f>
        <v/>
      </c>
      <c r="AU166" t="str">
        <f t="shared" si="49"/>
        <v/>
      </c>
      <c r="AV166" s="51">
        <f>IF($AU166="",0,IF(AND(IFERROR(LOOKUP(2,1/($B$9:$B$165=$B166),$AR$9:$AR165),1),NOT(AND(OR($F166="dividend",$F166="fee"),IFERROR(LOOKUP(2,1/($B$9:$B$165=$B166),$T$9:$T165),0)&gt;0))),ROW(),0))</f>
        <v>0</v>
      </c>
      <c r="AW166">
        <f>IF($A166="",0,IF($AV166&gt;0,MAX($AW$9:$AW$165)+1,MAX($AW$9:$AW$165)))</f>
        <v>0</v>
      </c>
      <c r="AX166">
        <f>IF($AU166="",0,IF(AND($AR166,OR(NOT(IFERROR(LOOKUP(2,1/($B$9:$B$165=$B166),$AR$9:$AR165),1)),IFERROR(LOOKUP(2,1/($B$9:$B$165=$B166),$T$9:$T165),0)=0)),ROW(),0))</f>
        <v>0</v>
      </c>
      <c r="AY166" t="str">
        <f t="shared" si="50"/>
        <v/>
      </c>
    </row>
    <row r="167" spans="1:51" ht="15" x14ac:dyDescent="0.25">
      <c r="A167" s="41" t="str">
        <f>IF(Trades!$A167="","",Trades!O167)</f>
        <v/>
      </c>
      <c r="B167" s="41" t="str">
        <f>IF(Trades!$A167="","",Trades!B167)</f>
        <v/>
      </c>
      <c r="C167" s="41" t="str">
        <f>IF(Trades!$A167="","",Trades!C167)</f>
        <v/>
      </c>
      <c r="D167" s="42" t="str">
        <f>IF(Trades!$A167="","",IF(Trades!$L167&gt;0,Trades!$L167,Trades!$C$6))</f>
        <v/>
      </c>
      <c r="E167" s="43" t="str">
        <f>IF(Trades!$A167="","",Trades!A167)</f>
        <v/>
      </c>
      <c r="F167" s="41" t="str">
        <f>IF(Trades!$A167="","",IFERROR(INDEX(Trades!$V$2:$V$14,MATCH(Trades!$E167,Trades!$U$2:$U$14,0)),""))</f>
        <v/>
      </c>
      <c r="G167" s="41" t="str">
        <f>IF(Trades!$A167="","",Trades!N167)</f>
        <v/>
      </c>
      <c r="H167" s="42" t="str">
        <f>IF(Trades!$A167="","",Trades!F167)</f>
        <v/>
      </c>
      <c r="I167" s="44" t="str">
        <f>IF(Trades!$A167="","",Trades!G167)</f>
        <v/>
      </c>
      <c r="J167" s="44" t="str">
        <f>IF(Trades!$A167="","",Trades!I167)</f>
        <v/>
      </c>
      <c r="K167" s="44" t="str">
        <f>IF(Trades!$A167="","",Trades!Q167)</f>
        <v/>
      </c>
      <c r="L167" s="42" t="str">
        <f>IF(Trades!$A167="","",Trades!F167)</f>
        <v/>
      </c>
      <c r="M167" s="44" t="str">
        <f>IF(Trades!$A167="","",Trades!M167)</f>
        <v/>
      </c>
      <c r="N167" s="44" t="str">
        <f>IF(Trades!$A167="","",Trades!R167)</f>
        <v/>
      </c>
      <c r="O167" s="44" t="str">
        <f>IF(Trades!$A167="","",Trades!J167)</f>
        <v/>
      </c>
      <c r="P167" s="43" t="str">
        <f>IF(Trades!$A167="","",Trades!H167)</f>
        <v/>
      </c>
      <c r="Q167" s="41" t="str">
        <f>IF(Trades!$A167="","",Trades!P167)</f>
        <v/>
      </c>
      <c r="R167" s="45" t="str">
        <f t="shared" si="34"/>
        <v/>
      </c>
      <c r="S167" s="45" t="str">
        <f t="shared" si="35"/>
        <v/>
      </c>
      <c r="T167" s="46" t="str">
        <f>IF(OR($A167="",$B167=""),"",IF(AND(IFERROR(LOOKUP(2,1/($B$9:$B$166=$B167),$AR$9:$AR166),1),NOT(AND(OR($F167="dividend",$F167="fee"),IFERROR(LOOKUP(2,1/($B$9:$B$166=$B167),$T$9:$T166),0)&gt;0))),IFERROR(LOOKUP(2,1/($B$9:$B$166=$B167),$T$9:$T166),0)+1,IFERROR(LOOKUP(2,1/($B$9:$B$166=$B167),$T$9:$T166),0)))</f>
        <v/>
      </c>
      <c r="U167" s="47" t="str">
        <f t="shared" si="36"/>
        <v/>
      </c>
      <c r="V167" s="47" t="str">
        <f>IF($A167="","",IF(OR($B167="",$C167="",$D167="",$E167="",$F167=""),"Missing required field",IF(COUNTIFS($A$9:$A167,$A167,$B$9:$B167,$B167)&gt;1,"Duplicate event ID",IF(AND($E167&lt;&gt;IFERROR(LOOKUP(2,1/($B$9:$B$166=$B167),$E$9:$E166),0),IFERROR(LOOKUP(2,1/($B$9:$B$166=$B167),$E$9:$E166),0)&gt;$E167),"Date out of order",IF(AND(OR($F167="buy_to_close",$F167="expire",$F167="roll",$F167="assignment",$F167="called_away"),$AF167=0),"Unknown lot",IF(OR(AND($F167="assignment",$AF167&gt;0,IF($AF167&gt;0,INDEX($AG$9:$AG$166,$AF167),"")&lt;&gt;"put"),AND($F167="called_away",$AF167&gt;0,IF($AF167&gt;0,INDEX($AG$9:$AG$166,$AF167),"")&lt;&gt;"call")),"Wrong option leg",IF(OR(AND(OR($F167="sell_put",$F167="sell_call"),OR($H167&lt;=0,$I167&lt;=0,$J167&lt;0)),AND(OR($F167="buy_to_close",$F167="expire",$F167="assignment",$F167="called_away"),OR($H167&lt;=0,$J167&lt;0)),AND($F167="roll",OR($H167&lt;=0,$I167&lt;=0,$J167&lt;0,$K167&lt;0)),AND(OR($F167="buy_shares",$F167="sell_shares"),OR($L167&lt;=0,$M167&lt;0)),AND(OR($F167="dividend",$F167="fee"),$N167&lt;0)),"Invalid value",IF(AND(OR($F167="sell_shares",$F167="called_away"),$AL167&lt;IF($F167="called_away",$AE167*$D167,$L167)),"Insufficient shares (capped)",IF(AND(OR($F167="buy_to_close",$F167="expire",$F167="roll",$F167="assignment",$F167="called_away"),$AF167&gt;0,$H167&gt;IF($AF167&gt;0,MAX(0,INDEX($AI$9:$AI$166,$AF167)-SUMIFS($AE$9:$AE$166,$G$9:$G$166,$G167,$B$9:$B$166,$B167)),0)),"Close quantity capped","OK")))))))))</f>
        <v/>
      </c>
      <c r="W167" s="48" t="str">
        <f t="shared" si="37"/>
        <v/>
      </c>
      <c r="X167" s="49" t="str">
        <f t="shared" si="38"/>
        <v/>
      </c>
      <c r="Y167" s="50" t="str">
        <f t="shared" si="39"/>
        <v/>
      </c>
      <c r="Z167" s="50" t="str">
        <f t="shared" si="40"/>
        <v/>
      </c>
      <c r="AA167" s="50" t="str">
        <f t="shared" si="41"/>
        <v/>
      </c>
      <c r="AB167" s="50" t="str">
        <f t="shared" si="42"/>
        <v/>
      </c>
      <c r="AC167" s="50" t="str">
        <f>IF($A167="","",IF($F167="assignment",IF($AF167&gt;0,INDEX($AH$9:$AH$166,$AF167),0)*$AE167*$D167,IF($F167="buy_shares",$M167*$AL167,0)))</f>
        <v/>
      </c>
      <c r="AD167" s="50" t="str">
        <f>IF($A167="","",IF($F167="called_away",IF($AF167&gt;0,INDEX($AH$9:$AH$166,$AF167),0)*$AL167,IF($F167="sell_shares",$M167*$AL167,0)))</f>
        <v/>
      </c>
      <c r="AE167" s="51" t="str">
        <f>IF($A167="","",IF(OR($F167="sell_put",$F167="sell_call"),IF(AND($H167&gt;0,$I167&gt;0,$J167&gt;=0),$H167,0),IF(OR($F167="buy_to_close",$F167="expire",$F167="roll",$F167="assignment",$F167="called_away"),IF(AND($AF167&gt;0,$H167&gt;0,IF($F167="assignment",IF($AF167&gt;0,INDEX($AG$9:$AG$166,$AF167),"")="put",TRUE),IF($F167="called_away",IF($AF167&gt;0,INDEX($AG$9:$AG$166,$AF167),"")="call",TRUE)),MIN($H167,IF($AF167&gt;0,MAX(0,INDEX($AI$9:$AI$166,$AF167)-SUMIFS($AE$9:$AE$166,$G$9:$G$166,$G167,$B$9:$B$166,$B167)),0)),0),0)))</f>
        <v/>
      </c>
      <c r="AF167" t="str">
        <f>IF($A167="","",IFERROR(MATCH(LEN($B167)&amp;":"&amp;$B167&amp;$G167,$AY$9:$AY$166,0),0))</f>
        <v/>
      </c>
      <c r="AG167" t="str">
        <f>IF($A167="","",IF($F167="sell_put","put",IF($F167="sell_call","call",IF($F167="roll",IF($AF167&gt;0,IF($AF167&gt;0,INDEX($AG$9:$AG$166,$AF167),""),""),IF($AF167&gt;0,IF($AF167&gt;0,INDEX($AG$9:$AG$166,$AF167),""),"")))))</f>
        <v/>
      </c>
      <c r="AH167" t="str">
        <f>IF($A167="","",IF(OR($F167="sell_put",$F167="sell_call",$F167="roll"),$I167,IF($AF167&gt;0,IF($AF167&gt;0,INDEX($AH$9:$AH$166,$AF167),0),0)))</f>
        <v/>
      </c>
      <c r="AI167" s="51" t="str">
        <f t="shared" si="43"/>
        <v/>
      </c>
      <c r="AJ167" s="51" t="str">
        <f>IF($A167="","",IFERROR(LOOKUP(2,1/($B$9:$B$166=$B167),$AM$9:$AM166),0))</f>
        <v/>
      </c>
      <c r="AK167" t="str">
        <f>IF($A167="","",IFERROR(LOOKUP(2,1/($B$9:$B$166=$B167),$AN$9:$AN166),0))</f>
        <v/>
      </c>
      <c r="AL167" s="51" t="str">
        <f t="shared" si="44"/>
        <v/>
      </c>
      <c r="AM167" s="51" t="str">
        <f t="shared" si="45"/>
        <v/>
      </c>
      <c r="AN167" t="str">
        <f t="shared" si="46"/>
        <v/>
      </c>
      <c r="AO167" s="50" t="str">
        <f>IF($A167="","",IFERROR(LOOKUP(2,1/($B$9:$B$166=$B167),$AO$9:$AO166),0)+IF($F167="sell_put",$I167*$AE167*$D167,IF($F167="roll",IF($AG167="put",($I167-IF($AF167&gt;0,INDEX($AH$9:$AH$166,$AF167),0))*$AE167*$D167,0),IF(AND(OR($F167="buy_to_close",$F167="expire",$F167="roll",$F167="assignment",$F167="called_away"),$F167&lt;&gt;"roll",$AG167="put"),-IF($AF167&gt;0,INDEX($AH$9:$AH$166,$AF167),0)*$AE167*$D167,0))))</f>
        <v/>
      </c>
      <c r="AP167" s="51" t="str">
        <f>IF($A167="","",IFERROR(LOOKUP(2,1/($B$9:$B$166=$B167),$AP$9:$AP166),0)+IF($F167="sell_put",$AE167*$D167,IF(AND(OR($F167="buy_to_close",$F167="expire",$F167="roll",$F167="assignment",$F167="called_away"),$F167&lt;&gt;"roll",$AG167="put"),-$AE167*$D167,0)))</f>
        <v/>
      </c>
      <c r="AQ167" s="51" t="str">
        <f>IF($A167="","",IFERROR(LOOKUP(2,1/($B$9:$B$166=$B167),$AQ$9:$AQ166),0)+IF(OR($F167="sell_put",$F167="sell_call"),$AE167,0)-IF(AND(OR($F167="buy_to_close",$F167="expire",$F167="roll",$F167="assignment",$F167="called_away"),$F167&lt;&gt;"roll"),$AE167,0))</f>
        <v/>
      </c>
      <c r="AR167" t="str">
        <f t="shared" si="47"/>
        <v/>
      </c>
      <c r="AS167" s="50" t="str">
        <f t="shared" si="48"/>
        <v/>
      </c>
      <c r="AT167" s="50" t="str">
        <f>IF($A167="","",MAX(IF($T167=IFERROR(LOOKUP(2,1/($B$9:$B$166=$B167),$T$9:$T166),0),IFERROR(LOOKUP(2,1/($B$9:$B$166=$B167),$AT$9:$AT166),0),0),$AS167))</f>
        <v/>
      </c>
      <c r="AU167" t="str">
        <f t="shared" si="49"/>
        <v/>
      </c>
      <c r="AV167" s="51">
        <f>IF($AU167="",0,IF(AND(IFERROR(LOOKUP(2,1/($B$9:$B$166=$B167),$AR$9:$AR166),1),NOT(AND(OR($F167="dividend",$F167="fee"),IFERROR(LOOKUP(2,1/($B$9:$B$166=$B167),$T$9:$T166),0)&gt;0))),ROW(),0))</f>
        <v>0</v>
      </c>
      <c r="AW167">
        <f>IF($A167="",0,IF($AV167&gt;0,MAX($AW$9:$AW$166)+1,MAX($AW$9:$AW$166)))</f>
        <v>0</v>
      </c>
      <c r="AX167">
        <f>IF($AU167="",0,IF(AND($AR167,OR(NOT(IFERROR(LOOKUP(2,1/($B$9:$B$166=$B167),$AR$9:$AR166),1)),IFERROR(LOOKUP(2,1/($B$9:$B$166=$B167),$T$9:$T166),0)=0)),ROW(),0))</f>
        <v>0</v>
      </c>
      <c r="AY167" t="str">
        <f t="shared" si="50"/>
        <v/>
      </c>
    </row>
    <row r="168" spans="1:51" ht="15" x14ac:dyDescent="0.25">
      <c r="A168" s="52" t="str">
        <f>IF(Trades!$A168="","",Trades!O168)</f>
        <v/>
      </c>
      <c r="B168" s="52" t="str">
        <f>IF(Trades!$A168="","",Trades!B168)</f>
        <v/>
      </c>
      <c r="C168" s="52" t="str">
        <f>IF(Trades!$A168="","",Trades!C168)</f>
        <v/>
      </c>
      <c r="D168" s="53" t="str">
        <f>IF(Trades!$A168="","",IF(Trades!$L168&gt;0,Trades!$L168,Trades!$C$6))</f>
        <v/>
      </c>
      <c r="E168" s="54" t="str">
        <f>IF(Trades!$A168="","",Trades!A168)</f>
        <v/>
      </c>
      <c r="F168" s="52" t="str">
        <f>IF(Trades!$A168="","",IFERROR(INDEX(Trades!$V$2:$V$14,MATCH(Trades!$E168,Trades!$U$2:$U$14,0)),""))</f>
        <v/>
      </c>
      <c r="G168" s="52" t="str">
        <f>IF(Trades!$A168="","",Trades!N168)</f>
        <v/>
      </c>
      <c r="H168" s="53" t="str">
        <f>IF(Trades!$A168="","",Trades!F168)</f>
        <v/>
      </c>
      <c r="I168" s="55" t="str">
        <f>IF(Trades!$A168="","",Trades!G168)</f>
        <v/>
      </c>
      <c r="J168" s="55" t="str">
        <f>IF(Trades!$A168="","",Trades!I168)</f>
        <v/>
      </c>
      <c r="K168" s="55" t="str">
        <f>IF(Trades!$A168="","",Trades!Q168)</f>
        <v/>
      </c>
      <c r="L168" s="53" t="str">
        <f>IF(Trades!$A168="","",Trades!F168)</f>
        <v/>
      </c>
      <c r="M168" s="55" t="str">
        <f>IF(Trades!$A168="","",Trades!M168)</f>
        <v/>
      </c>
      <c r="N168" s="55" t="str">
        <f>IF(Trades!$A168="","",Trades!R168)</f>
        <v/>
      </c>
      <c r="O168" s="55" t="str">
        <f>IF(Trades!$A168="","",Trades!J168)</f>
        <v/>
      </c>
      <c r="P168" s="54" t="str">
        <f>IF(Trades!$A168="","",Trades!H168)</f>
        <v/>
      </c>
      <c r="Q168" s="52" t="str">
        <f>IF(Trades!$A168="","",Trades!P168)</f>
        <v/>
      </c>
      <c r="R168" s="56" t="str">
        <f t="shared" si="34"/>
        <v/>
      </c>
      <c r="S168" s="56" t="str">
        <f t="shared" si="35"/>
        <v/>
      </c>
      <c r="T168" s="57" t="str">
        <f>IF(OR($A168="",$B168=""),"",IF(AND(IFERROR(LOOKUP(2,1/($B$9:$B$167=$B168),$AR$9:$AR167),1),NOT(AND(OR($F168="dividend",$F168="fee"),IFERROR(LOOKUP(2,1/($B$9:$B$167=$B168),$T$9:$T167),0)&gt;0))),IFERROR(LOOKUP(2,1/($B$9:$B$167=$B168),$T$9:$T167),0)+1,IFERROR(LOOKUP(2,1/($B$9:$B$167=$B168),$T$9:$T167),0)))</f>
        <v/>
      </c>
      <c r="U168" s="58" t="str">
        <f t="shared" si="36"/>
        <v/>
      </c>
      <c r="V168" s="58" t="str">
        <f>IF($A168="","",IF(OR($B168="",$C168="",$D168="",$E168="",$F168=""),"Missing required field",IF(COUNTIFS($A$9:$A168,$A168,$B$9:$B168,$B168)&gt;1,"Duplicate event ID",IF(AND($E168&lt;&gt;IFERROR(LOOKUP(2,1/($B$9:$B$167=$B168),$E$9:$E167),0),IFERROR(LOOKUP(2,1/($B$9:$B$167=$B168),$E$9:$E167),0)&gt;$E168),"Date out of order",IF(AND(OR($F168="buy_to_close",$F168="expire",$F168="roll",$F168="assignment",$F168="called_away"),$AF168=0),"Unknown lot",IF(OR(AND($F168="assignment",$AF168&gt;0,IF($AF168&gt;0,INDEX($AG$9:$AG$167,$AF168),"")&lt;&gt;"put"),AND($F168="called_away",$AF168&gt;0,IF($AF168&gt;0,INDEX($AG$9:$AG$167,$AF168),"")&lt;&gt;"call")),"Wrong option leg",IF(OR(AND(OR($F168="sell_put",$F168="sell_call"),OR($H168&lt;=0,$I168&lt;=0,$J168&lt;0)),AND(OR($F168="buy_to_close",$F168="expire",$F168="assignment",$F168="called_away"),OR($H168&lt;=0,$J168&lt;0)),AND($F168="roll",OR($H168&lt;=0,$I168&lt;=0,$J168&lt;0,$K168&lt;0)),AND(OR($F168="buy_shares",$F168="sell_shares"),OR($L168&lt;=0,$M168&lt;0)),AND(OR($F168="dividend",$F168="fee"),$N168&lt;0)),"Invalid value",IF(AND(OR($F168="sell_shares",$F168="called_away"),$AL168&lt;IF($F168="called_away",$AE168*$D168,$L168)),"Insufficient shares (capped)",IF(AND(OR($F168="buy_to_close",$F168="expire",$F168="roll",$F168="assignment",$F168="called_away"),$AF168&gt;0,$H168&gt;IF($AF168&gt;0,MAX(0,INDEX($AI$9:$AI$167,$AF168)-SUMIFS($AE$9:$AE$167,$G$9:$G$167,$G168,$B$9:$B$167,$B168)),0)),"Close quantity capped","OK")))))))))</f>
        <v/>
      </c>
      <c r="W168" s="59" t="str">
        <f t="shared" si="37"/>
        <v/>
      </c>
      <c r="X168" s="60" t="str">
        <f t="shared" si="38"/>
        <v/>
      </c>
      <c r="Y168" s="50" t="str">
        <f t="shared" si="39"/>
        <v/>
      </c>
      <c r="Z168" s="50" t="str">
        <f t="shared" si="40"/>
        <v/>
      </c>
      <c r="AA168" s="50" t="str">
        <f t="shared" si="41"/>
        <v/>
      </c>
      <c r="AB168" s="50" t="str">
        <f t="shared" si="42"/>
        <v/>
      </c>
      <c r="AC168" s="50" t="str">
        <f>IF($A168="","",IF($F168="assignment",IF($AF168&gt;0,INDEX($AH$9:$AH$167,$AF168),0)*$AE168*$D168,IF($F168="buy_shares",$M168*$AL168,0)))</f>
        <v/>
      </c>
      <c r="AD168" s="50" t="str">
        <f>IF($A168="","",IF($F168="called_away",IF($AF168&gt;0,INDEX($AH$9:$AH$167,$AF168),0)*$AL168,IF($F168="sell_shares",$M168*$AL168,0)))</f>
        <v/>
      </c>
      <c r="AE168" s="51" t="str">
        <f>IF($A168="","",IF(OR($F168="sell_put",$F168="sell_call"),IF(AND($H168&gt;0,$I168&gt;0,$J168&gt;=0),$H168,0),IF(OR($F168="buy_to_close",$F168="expire",$F168="roll",$F168="assignment",$F168="called_away"),IF(AND($AF168&gt;0,$H168&gt;0,IF($F168="assignment",IF($AF168&gt;0,INDEX($AG$9:$AG$167,$AF168),"")="put",TRUE),IF($F168="called_away",IF($AF168&gt;0,INDEX($AG$9:$AG$167,$AF168),"")="call",TRUE)),MIN($H168,IF($AF168&gt;0,MAX(0,INDEX($AI$9:$AI$167,$AF168)-SUMIFS($AE$9:$AE$167,$G$9:$G$167,$G168,$B$9:$B$167,$B168)),0)),0),0)))</f>
        <v/>
      </c>
      <c r="AF168" t="str">
        <f>IF($A168="","",IFERROR(MATCH(LEN($B168)&amp;":"&amp;$B168&amp;$G168,$AY$9:$AY$167,0),0))</f>
        <v/>
      </c>
      <c r="AG168" t="str">
        <f>IF($A168="","",IF($F168="sell_put","put",IF($F168="sell_call","call",IF($F168="roll",IF($AF168&gt;0,IF($AF168&gt;0,INDEX($AG$9:$AG$167,$AF168),""),""),IF($AF168&gt;0,IF($AF168&gt;0,INDEX($AG$9:$AG$167,$AF168),""),"")))))</f>
        <v/>
      </c>
      <c r="AH168" t="str">
        <f>IF($A168="","",IF(OR($F168="sell_put",$F168="sell_call",$F168="roll"),$I168,IF($AF168&gt;0,IF($AF168&gt;0,INDEX($AH$9:$AH$167,$AF168),0),0)))</f>
        <v/>
      </c>
      <c r="AI168" s="51" t="str">
        <f t="shared" si="43"/>
        <v/>
      </c>
      <c r="AJ168" s="51" t="str">
        <f>IF($A168="","",IFERROR(LOOKUP(2,1/($B$9:$B$167=$B168),$AM$9:$AM167),0))</f>
        <v/>
      </c>
      <c r="AK168" t="str">
        <f>IF($A168="","",IFERROR(LOOKUP(2,1/($B$9:$B$167=$B168),$AN$9:$AN167),0))</f>
        <v/>
      </c>
      <c r="AL168" s="51" t="str">
        <f t="shared" si="44"/>
        <v/>
      </c>
      <c r="AM168" s="51" t="str">
        <f t="shared" si="45"/>
        <v/>
      </c>
      <c r="AN168" t="str">
        <f t="shared" si="46"/>
        <v/>
      </c>
      <c r="AO168" s="50" t="str">
        <f>IF($A168="","",IFERROR(LOOKUP(2,1/($B$9:$B$167=$B168),$AO$9:$AO167),0)+IF($F168="sell_put",$I168*$AE168*$D168,IF($F168="roll",IF($AG168="put",($I168-IF($AF168&gt;0,INDEX($AH$9:$AH$167,$AF168),0))*$AE168*$D168,0),IF(AND(OR($F168="buy_to_close",$F168="expire",$F168="roll",$F168="assignment",$F168="called_away"),$F168&lt;&gt;"roll",$AG168="put"),-IF($AF168&gt;0,INDEX($AH$9:$AH$167,$AF168),0)*$AE168*$D168,0))))</f>
        <v/>
      </c>
      <c r="AP168" s="51" t="str">
        <f>IF($A168="","",IFERROR(LOOKUP(2,1/($B$9:$B$167=$B168),$AP$9:$AP167),0)+IF($F168="sell_put",$AE168*$D168,IF(AND(OR($F168="buy_to_close",$F168="expire",$F168="roll",$F168="assignment",$F168="called_away"),$F168&lt;&gt;"roll",$AG168="put"),-$AE168*$D168,0)))</f>
        <v/>
      </c>
      <c r="AQ168" s="51" t="str">
        <f>IF($A168="","",IFERROR(LOOKUP(2,1/($B$9:$B$167=$B168),$AQ$9:$AQ167),0)+IF(OR($F168="sell_put",$F168="sell_call"),$AE168,0)-IF(AND(OR($F168="buy_to_close",$F168="expire",$F168="roll",$F168="assignment",$F168="called_away"),$F168&lt;&gt;"roll"),$AE168,0))</f>
        <v/>
      </c>
      <c r="AR168" t="str">
        <f t="shared" si="47"/>
        <v/>
      </c>
      <c r="AS168" s="50" t="str">
        <f t="shared" si="48"/>
        <v/>
      </c>
      <c r="AT168" s="50" t="str">
        <f>IF($A168="","",MAX(IF($T168=IFERROR(LOOKUP(2,1/($B$9:$B$167=$B168),$T$9:$T167),0),IFERROR(LOOKUP(2,1/($B$9:$B$167=$B168),$AT$9:$AT167),0),0),$AS168))</f>
        <v/>
      </c>
      <c r="AU168" t="str">
        <f t="shared" si="49"/>
        <v/>
      </c>
      <c r="AV168" s="51">
        <f>IF($AU168="",0,IF(AND(IFERROR(LOOKUP(2,1/($B$9:$B$167=$B168),$AR$9:$AR167),1),NOT(AND(OR($F168="dividend",$F168="fee"),IFERROR(LOOKUP(2,1/($B$9:$B$167=$B168),$T$9:$T167),0)&gt;0))),ROW(),0))</f>
        <v>0</v>
      </c>
      <c r="AW168">
        <f>IF($A168="",0,IF($AV168&gt;0,MAX($AW$9:$AW$167)+1,MAX($AW$9:$AW$167)))</f>
        <v>0</v>
      </c>
      <c r="AX168">
        <f>IF($AU168="",0,IF(AND($AR168,OR(NOT(IFERROR(LOOKUP(2,1/($B$9:$B$167=$B168),$AR$9:$AR167),1)),IFERROR(LOOKUP(2,1/($B$9:$B$167=$B168),$T$9:$T167),0)=0)),ROW(),0))</f>
        <v>0</v>
      </c>
      <c r="AY168" t="str">
        <f t="shared" si="50"/>
        <v/>
      </c>
    </row>
    <row r="169" spans="1:51" ht="15" x14ac:dyDescent="0.25">
      <c r="A169" s="41" t="str">
        <f>IF(Trades!$A169="","",Trades!O169)</f>
        <v/>
      </c>
      <c r="B169" s="41" t="str">
        <f>IF(Trades!$A169="","",Trades!B169)</f>
        <v/>
      </c>
      <c r="C169" s="41" t="str">
        <f>IF(Trades!$A169="","",Trades!C169)</f>
        <v/>
      </c>
      <c r="D169" s="42" t="str">
        <f>IF(Trades!$A169="","",IF(Trades!$L169&gt;0,Trades!$L169,Trades!$C$6))</f>
        <v/>
      </c>
      <c r="E169" s="43" t="str">
        <f>IF(Trades!$A169="","",Trades!A169)</f>
        <v/>
      </c>
      <c r="F169" s="41" t="str">
        <f>IF(Trades!$A169="","",IFERROR(INDEX(Trades!$V$2:$V$14,MATCH(Trades!$E169,Trades!$U$2:$U$14,0)),""))</f>
        <v/>
      </c>
      <c r="G169" s="41" t="str">
        <f>IF(Trades!$A169="","",Trades!N169)</f>
        <v/>
      </c>
      <c r="H169" s="42" t="str">
        <f>IF(Trades!$A169="","",Trades!F169)</f>
        <v/>
      </c>
      <c r="I169" s="44" t="str">
        <f>IF(Trades!$A169="","",Trades!G169)</f>
        <v/>
      </c>
      <c r="J169" s="44" t="str">
        <f>IF(Trades!$A169="","",Trades!I169)</f>
        <v/>
      </c>
      <c r="K169" s="44" t="str">
        <f>IF(Trades!$A169="","",Trades!Q169)</f>
        <v/>
      </c>
      <c r="L169" s="42" t="str">
        <f>IF(Trades!$A169="","",Trades!F169)</f>
        <v/>
      </c>
      <c r="M169" s="44" t="str">
        <f>IF(Trades!$A169="","",Trades!M169)</f>
        <v/>
      </c>
      <c r="N169" s="44" t="str">
        <f>IF(Trades!$A169="","",Trades!R169)</f>
        <v/>
      </c>
      <c r="O169" s="44" t="str">
        <f>IF(Trades!$A169="","",Trades!J169)</f>
        <v/>
      </c>
      <c r="P169" s="43" t="str">
        <f>IF(Trades!$A169="","",Trades!H169)</f>
        <v/>
      </c>
      <c r="Q169" s="41" t="str">
        <f>IF(Trades!$A169="","",Trades!P169)</f>
        <v/>
      </c>
      <c r="R169" s="45" t="str">
        <f t="shared" si="34"/>
        <v/>
      </c>
      <c r="S169" s="45" t="str">
        <f t="shared" si="35"/>
        <v/>
      </c>
      <c r="T169" s="46" t="str">
        <f>IF(OR($A169="",$B169=""),"",IF(AND(IFERROR(LOOKUP(2,1/($B$9:$B$168=$B169),$AR$9:$AR168),1),NOT(AND(OR($F169="dividend",$F169="fee"),IFERROR(LOOKUP(2,1/($B$9:$B$168=$B169),$T$9:$T168),0)&gt;0))),IFERROR(LOOKUP(2,1/($B$9:$B$168=$B169),$T$9:$T168),0)+1,IFERROR(LOOKUP(2,1/($B$9:$B$168=$B169),$T$9:$T168),0)))</f>
        <v/>
      </c>
      <c r="U169" s="47" t="str">
        <f t="shared" si="36"/>
        <v/>
      </c>
      <c r="V169" s="47" t="str">
        <f>IF($A169="","",IF(OR($B169="",$C169="",$D169="",$E169="",$F169=""),"Missing required field",IF(COUNTIFS($A$9:$A169,$A169,$B$9:$B169,$B169)&gt;1,"Duplicate event ID",IF(AND($E169&lt;&gt;IFERROR(LOOKUP(2,1/($B$9:$B$168=$B169),$E$9:$E168),0),IFERROR(LOOKUP(2,1/($B$9:$B$168=$B169),$E$9:$E168),0)&gt;$E169),"Date out of order",IF(AND(OR($F169="buy_to_close",$F169="expire",$F169="roll",$F169="assignment",$F169="called_away"),$AF169=0),"Unknown lot",IF(OR(AND($F169="assignment",$AF169&gt;0,IF($AF169&gt;0,INDEX($AG$9:$AG$168,$AF169),"")&lt;&gt;"put"),AND($F169="called_away",$AF169&gt;0,IF($AF169&gt;0,INDEX($AG$9:$AG$168,$AF169),"")&lt;&gt;"call")),"Wrong option leg",IF(OR(AND(OR($F169="sell_put",$F169="sell_call"),OR($H169&lt;=0,$I169&lt;=0,$J169&lt;0)),AND(OR($F169="buy_to_close",$F169="expire",$F169="assignment",$F169="called_away"),OR($H169&lt;=0,$J169&lt;0)),AND($F169="roll",OR($H169&lt;=0,$I169&lt;=0,$J169&lt;0,$K169&lt;0)),AND(OR($F169="buy_shares",$F169="sell_shares"),OR($L169&lt;=0,$M169&lt;0)),AND(OR($F169="dividend",$F169="fee"),$N169&lt;0)),"Invalid value",IF(AND(OR($F169="sell_shares",$F169="called_away"),$AL169&lt;IF($F169="called_away",$AE169*$D169,$L169)),"Insufficient shares (capped)",IF(AND(OR($F169="buy_to_close",$F169="expire",$F169="roll",$F169="assignment",$F169="called_away"),$AF169&gt;0,$H169&gt;IF($AF169&gt;0,MAX(0,INDEX($AI$9:$AI$168,$AF169)-SUMIFS($AE$9:$AE$168,$G$9:$G$168,$G169,$B$9:$B$168,$B169)),0)),"Close quantity capped","OK")))))))))</f>
        <v/>
      </c>
      <c r="W169" s="48" t="str">
        <f t="shared" si="37"/>
        <v/>
      </c>
      <c r="X169" s="49" t="str">
        <f t="shared" si="38"/>
        <v/>
      </c>
      <c r="Y169" s="50" t="str">
        <f t="shared" si="39"/>
        <v/>
      </c>
      <c r="Z169" s="50" t="str">
        <f t="shared" si="40"/>
        <v/>
      </c>
      <c r="AA169" s="50" t="str">
        <f t="shared" si="41"/>
        <v/>
      </c>
      <c r="AB169" s="50" t="str">
        <f t="shared" si="42"/>
        <v/>
      </c>
      <c r="AC169" s="50" t="str">
        <f>IF($A169="","",IF($F169="assignment",IF($AF169&gt;0,INDEX($AH$9:$AH$168,$AF169),0)*$AE169*$D169,IF($F169="buy_shares",$M169*$AL169,0)))</f>
        <v/>
      </c>
      <c r="AD169" s="50" t="str">
        <f>IF($A169="","",IF($F169="called_away",IF($AF169&gt;0,INDEX($AH$9:$AH$168,$AF169),0)*$AL169,IF($F169="sell_shares",$M169*$AL169,0)))</f>
        <v/>
      </c>
      <c r="AE169" s="51" t="str">
        <f>IF($A169="","",IF(OR($F169="sell_put",$F169="sell_call"),IF(AND($H169&gt;0,$I169&gt;0,$J169&gt;=0),$H169,0),IF(OR($F169="buy_to_close",$F169="expire",$F169="roll",$F169="assignment",$F169="called_away"),IF(AND($AF169&gt;0,$H169&gt;0,IF($F169="assignment",IF($AF169&gt;0,INDEX($AG$9:$AG$168,$AF169),"")="put",TRUE),IF($F169="called_away",IF($AF169&gt;0,INDEX($AG$9:$AG$168,$AF169),"")="call",TRUE)),MIN($H169,IF($AF169&gt;0,MAX(0,INDEX($AI$9:$AI$168,$AF169)-SUMIFS($AE$9:$AE$168,$G$9:$G$168,$G169,$B$9:$B$168,$B169)),0)),0),0)))</f>
        <v/>
      </c>
      <c r="AF169" t="str">
        <f>IF($A169="","",IFERROR(MATCH(LEN($B169)&amp;":"&amp;$B169&amp;$G169,$AY$9:$AY$168,0),0))</f>
        <v/>
      </c>
      <c r="AG169" t="str">
        <f>IF($A169="","",IF($F169="sell_put","put",IF($F169="sell_call","call",IF($F169="roll",IF($AF169&gt;0,IF($AF169&gt;0,INDEX($AG$9:$AG$168,$AF169),""),""),IF($AF169&gt;0,IF($AF169&gt;0,INDEX($AG$9:$AG$168,$AF169),""),"")))))</f>
        <v/>
      </c>
      <c r="AH169" t="str">
        <f>IF($A169="","",IF(OR($F169="sell_put",$F169="sell_call",$F169="roll"),$I169,IF($AF169&gt;0,IF($AF169&gt;0,INDEX($AH$9:$AH$168,$AF169),0),0)))</f>
        <v/>
      </c>
      <c r="AI169" s="51" t="str">
        <f t="shared" si="43"/>
        <v/>
      </c>
      <c r="AJ169" s="51" t="str">
        <f>IF($A169="","",IFERROR(LOOKUP(2,1/($B$9:$B$168=$B169),$AM$9:$AM168),0))</f>
        <v/>
      </c>
      <c r="AK169" t="str">
        <f>IF($A169="","",IFERROR(LOOKUP(2,1/($B$9:$B$168=$B169),$AN$9:$AN168),0))</f>
        <v/>
      </c>
      <c r="AL169" s="51" t="str">
        <f t="shared" si="44"/>
        <v/>
      </c>
      <c r="AM169" s="51" t="str">
        <f t="shared" si="45"/>
        <v/>
      </c>
      <c r="AN169" t="str">
        <f t="shared" si="46"/>
        <v/>
      </c>
      <c r="AO169" s="50" t="str">
        <f>IF($A169="","",IFERROR(LOOKUP(2,1/($B$9:$B$168=$B169),$AO$9:$AO168),0)+IF($F169="sell_put",$I169*$AE169*$D169,IF($F169="roll",IF($AG169="put",($I169-IF($AF169&gt;0,INDEX($AH$9:$AH$168,$AF169),0))*$AE169*$D169,0),IF(AND(OR($F169="buy_to_close",$F169="expire",$F169="roll",$F169="assignment",$F169="called_away"),$F169&lt;&gt;"roll",$AG169="put"),-IF($AF169&gt;0,INDEX($AH$9:$AH$168,$AF169),0)*$AE169*$D169,0))))</f>
        <v/>
      </c>
      <c r="AP169" s="51" t="str">
        <f>IF($A169="","",IFERROR(LOOKUP(2,1/($B$9:$B$168=$B169),$AP$9:$AP168),0)+IF($F169="sell_put",$AE169*$D169,IF(AND(OR($F169="buy_to_close",$F169="expire",$F169="roll",$F169="assignment",$F169="called_away"),$F169&lt;&gt;"roll",$AG169="put"),-$AE169*$D169,0)))</f>
        <v/>
      </c>
      <c r="AQ169" s="51" t="str">
        <f>IF($A169="","",IFERROR(LOOKUP(2,1/($B$9:$B$168=$B169),$AQ$9:$AQ168),0)+IF(OR($F169="sell_put",$F169="sell_call"),$AE169,0)-IF(AND(OR($F169="buy_to_close",$F169="expire",$F169="roll",$F169="assignment",$F169="called_away"),$F169&lt;&gt;"roll"),$AE169,0))</f>
        <v/>
      </c>
      <c r="AR169" t="str">
        <f t="shared" si="47"/>
        <v/>
      </c>
      <c r="AS169" s="50" t="str">
        <f t="shared" si="48"/>
        <v/>
      </c>
      <c r="AT169" s="50" t="str">
        <f>IF($A169="","",MAX(IF($T169=IFERROR(LOOKUP(2,1/($B$9:$B$168=$B169),$T$9:$T168),0),IFERROR(LOOKUP(2,1/($B$9:$B$168=$B169),$AT$9:$AT168),0),0),$AS169))</f>
        <v/>
      </c>
      <c r="AU169" t="str">
        <f t="shared" si="49"/>
        <v/>
      </c>
      <c r="AV169" s="51">
        <f>IF($AU169="",0,IF(AND(IFERROR(LOOKUP(2,1/($B$9:$B$168=$B169),$AR$9:$AR168),1),NOT(AND(OR($F169="dividend",$F169="fee"),IFERROR(LOOKUP(2,1/($B$9:$B$168=$B169),$T$9:$T168),0)&gt;0))),ROW(),0))</f>
        <v>0</v>
      </c>
      <c r="AW169">
        <f>IF($A169="",0,IF($AV169&gt;0,MAX($AW$9:$AW$168)+1,MAX($AW$9:$AW$168)))</f>
        <v>0</v>
      </c>
      <c r="AX169">
        <f>IF($AU169="",0,IF(AND($AR169,OR(NOT(IFERROR(LOOKUP(2,1/($B$9:$B$168=$B169),$AR$9:$AR168),1)),IFERROR(LOOKUP(2,1/($B$9:$B$168=$B169),$T$9:$T168),0)=0)),ROW(),0))</f>
        <v>0</v>
      </c>
      <c r="AY169" t="str">
        <f t="shared" si="50"/>
        <v/>
      </c>
    </row>
    <row r="170" spans="1:51" ht="15" x14ac:dyDescent="0.25">
      <c r="A170" s="52" t="str">
        <f>IF(Trades!$A170="","",Trades!O170)</f>
        <v/>
      </c>
      <c r="B170" s="52" t="str">
        <f>IF(Trades!$A170="","",Trades!B170)</f>
        <v/>
      </c>
      <c r="C170" s="52" t="str">
        <f>IF(Trades!$A170="","",Trades!C170)</f>
        <v/>
      </c>
      <c r="D170" s="53" t="str">
        <f>IF(Trades!$A170="","",IF(Trades!$L170&gt;0,Trades!$L170,Trades!$C$6))</f>
        <v/>
      </c>
      <c r="E170" s="54" t="str">
        <f>IF(Trades!$A170="","",Trades!A170)</f>
        <v/>
      </c>
      <c r="F170" s="52" t="str">
        <f>IF(Trades!$A170="","",IFERROR(INDEX(Trades!$V$2:$V$14,MATCH(Trades!$E170,Trades!$U$2:$U$14,0)),""))</f>
        <v/>
      </c>
      <c r="G170" s="52" t="str">
        <f>IF(Trades!$A170="","",Trades!N170)</f>
        <v/>
      </c>
      <c r="H170" s="53" t="str">
        <f>IF(Trades!$A170="","",Trades!F170)</f>
        <v/>
      </c>
      <c r="I170" s="55" t="str">
        <f>IF(Trades!$A170="","",Trades!G170)</f>
        <v/>
      </c>
      <c r="J170" s="55" t="str">
        <f>IF(Trades!$A170="","",Trades!I170)</f>
        <v/>
      </c>
      <c r="K170" s="55" t="str">
        <f>IF(Trades!$A170="","",Trades!Q170)</f>
        <v/>
      </c>
      <c r="L170" s="53" t="str">
        <f>IF(Trades!$A170="","",Trades!F170)</f>
        <v/>
      </c>
      <c r="M170" s="55" t="str">
        <f>IF(Trades!$A170="","",Trades!M170)</f>
        <v/>
      </c>
      <c r="N170" s="55" t="str">
        <f>IF(Trades!$A170="","",Trades!R170)</f>
        <v/>
      </c>
      <c r="O170" s="55" t="str">
        <f>IF(Trades!$A170="","",Trades!J170)</f>
        <v/>
      </c>
      <c r="P170" s="54" t="str">
        <f>IF(Trades!$A170="","",Trades!H170)</f>
        <v/>
      </c>
      <c r="Q170" s="52" t="str">
        <f>IF(Trades!$A170="","",Trades!P170)</f>
        <v/>
      </c>
      <c r="R170" s="56" t="str">
        <f t="shared" si="34"/>
        <v/>
      </c>
      <c r="S170" s="56" t="str">
        <f t="shared" si="35"/>
        <v/>
      </c>
      <c r="T170" s="57" t="str">
        <f>IF(OR($A170="",$B170=""),"",IF(AND(IFERROR(LOOKUP(2,1/($B$9:$B$169=$B170),$AR$9:$AR169),1),NOT(AND(OR($F170="dividend",$F170="fee"),IFERROR(LOOKUP(2,1/($B$9:$B$169=$B170),$T$9:$T169),0)&gt;0))),IFERROR(LOOKUP(2,1/($B$9:$B$169=$B170),$T$9:$T169),0)+1,IFERROR(LOOKUP(2,1/($B$9:$B$169=$B170),$T$9:$T169),0)))</f>
        <v/>
      </c>
      <c r="U170" s="58" t="str">
        <f t="shared" si="36"/>
        <v/>
      </c>
      <c r="V170" s="58" t="str">
        <f>IF($A170="","",IF(OR($B170="",$C170="",$D170="",$E170="",$F170=""),"Missing required field",IF(COUNTIFS($A$9:$A170,$A170,$B$9:$B170,$B170)&gt;1,"Duplicate event ID",IF(AND($E170&lt;&gt;IFERROR(LOOKUP(2,1/($B$9:$B$169=$B170),$E$9:$E169),0),IFERROR(LOOKUP(2,1/($B$9:$B$169=$B170),$E$9:$E169),0)&gt;$E170),"Date out of order",IF(AND(OR($F170="buy_to_close",$F170="expire",$F170="roll",$F170="assignment",$F170="called_away"),$AF170=0),"Unknown lot",IF(OR(AND($F170="assignment",$AF170&gt;0,IF($AF170&gt;0,INDEX($AG$9:$AG$169,$AF170),"")&lt;&gt;"put"),AND($F170="called_away",$AF170&gt;0,IF($AF170&gt;0,INDEX($AG$9:$AG$169,$AF170),"")&lt;&gt;"call")),"Wrong option leg",IF(OR(AND(OR($F170="sell_put",$F170="sell_call"),OR($H170&lt;=0,$I170&lt;=0,$J170&lt;0)),AND(OR($F170="buy_to_close",$F170="expire",$F170="assignment",$F170="called_away"),OR($H170&lt;=0,$J170&lt;0)),AND($F170="roll",OR($H170&lt;=0,$I170&lt;=0,$J170&lt;0,$K170&lt;0)),AND(OR($F170="buy_shares",$F170="sell_shares"),OR($L170&lt;=0,$M170&lt;0)),AND(OR($F170="dividend",$F170="fee"),$N170&lt;0)),"Invalid value",IF(AND(OR($F170="sell_shares",$F170="called_away"),$AL170&lt;IF($F170="called_away",$AE170*$D170,$L170)),"Insufficient shares (capped)",IF(AND(OR($F170="buy_to_close",$F170="expire",$F170="roll",$F170="assignment",$F170="called_away"),$AF170&gt;0,$H170&gt;IF($AF170&gt;0,MAX(0,INDEX($AI$9:$AI$169,$AF170)-SUMIFS($AE$9:$AE$169,$G$9:$G$169,$G170,$B$9:$B$169,$B170)),0)),"Close quantity capped","OK")))))))))</f>
        <v/>
      </c>
      <c r="W170" s="59" t="str">
        <f t="shared" si="37"/>
        <v/>
      </c>
      <c r="X170" s="60" t="str">
        <f t="shared" si="38"/>
        <v/>
      </c>
      <c r="Y170" s="50" t="str">
        <f t="shared" si="39"/>
        <v/>
      </c>
      <c r="Z170" s="50" t="str">
        <f t="shared" si="40"/>
        <v/>
      </c>
      <c r="AA170" s="50" t="str">
        <f t="shared" si="41"/>
        <v/>
      </c>
      <c r="AB170" s="50" t="str">
        <f t="shared" si="42"/>
        <v/>
      </c>
      <c r="AC170" s="50" t="str">
        <f>IF($A170="","",IF($F170="assignment",IF($AF170&gt;0,INDEX($AH$9:$AH$169,$AF170),0)*$AE170*$D170,IF($F170="buy_shares",$M170*$AL170,0)))</f>
        <v/>
      </c>
      <c r="AD170" s="50" t="str">
        <f>IF($A170="","",IF($F170="called_away",IF($AF170&gt;0,INDEX($AH$9:$AH$169,$AF170),0)*$AL170,IF($F170="sell_shares",$M170*$AL170,0)))</f>
        <v/>
      </c>
      <c r="AE170" s="51" t="str">
        <f>IF($A170="","",IF(OR($F170="sell_put",$F170="sell_call"),IF(AND($H170&gt;0,$I170&gt;0,$J170&gt;=0),$H170,0),IF(OR($F170="buy_to_close",$F170="expire",$F170="roll",$F170="assignment",$F170="called_away"),IF(AND($AF170&gt;0,$H170&gt;0,IF($F170="assignment",IF($AF170&gt;0,INDEX($AG$9:$AG$169,$AF170),"")="put",TRUE),IF($F170="called_away",IF($AF170&gt;0,INDEX($AG$9:$AG$169,$AF170),"")="call",TRUE)),MIN($H170,IF($AF170&gt;0,MAX(0,INDEX($AI$9:$AI$169,$AF170)-SUMIFS($AE$9:$AE$169,$G$9:$G$169,$G170,$B$9:$B$169,$B170)),0)),0),0)))</f>
        <v/>
      </c>
      <c r="AF170" t="str">
        <f>IF($A170="","",IFERROR(MATCH(LEN($B170)&amp;":"&amp;$B170&amp;$G170,$AY$9:$AY$169,0),0))</f>
        <v/>
      </c>
      <c r="AG170" t="str">
        <f>IF($A170="","",IF($F170="sell_put","put",IF($F170="sell_call","call",IF($F170="roll",IF($AF170&gt;0,IF($AF170&gt;0,INDEX($AG$9:$AG$169,$AF170),""),""),IF($AF170&gt;0,IF($AF170&gt;0,INDEX($AG$9:$AG$169,$AF170),""),"")))))</f>
        <v/>
      </c>
      <c r="AH170" t="str">
        <f>IF($A170="","",IF(OR($F170="sell_put",$F170="sell_call",$F170="roll"),$I170,IF($AF170&gt;0,IF($AF170&gt;0,INDEX($AH$9:$AH$169,$AF170),0),0)))</f>
        <v/>
      </c>
      <c r="AI170" s="51" t="str">
        <f t="shared" si="43"/>
        <v/>
      </c>
      <c r="AJ170" s="51" t="str">
        <f>IF($A170="","",IFERROR(LOOKUP(2,1/($B$9:$B$169=$B170),$AM$9:$AM169),0))</f>
        <v/>
      </c>
      <c r="AK170" t="str">
        <f>IF($A170="","",IFERROR(LOOKUP(2,1/($B$9:$B$169=$B170),$AN$9:$AN169),0))</f>
        <v/>
      </c>
      <c r="AL170" s="51" t="str">
        <f t="shared" si="44"/>
        <v/>
      </c>
      <c r="AM170" s="51" t="str">
        <f t="shared" si="45"/>
        <v/>
      </c>
      <c r="AN170" t="str">
        <f t="shared" si="46"/>
        <v/>
      </c>
      <c r="AO170" s="50" t="str">
        <f>IF($A170="","",IFERROR(LOOKUP(2,1/($B$9:$B$169=$B170),$AO$9:$AO169),0)+IF($F170="sell_put",$I170*$AE170*$D170,IF($F170="roll",IF($AG170="put",($I170-IF($AF170&gt;0,INDEX($AH$9:$AH$169,$AF170),0))*$AE170*$D170,0),IF(AND(OR($F170="buy_to_close",$F170="expire",$F170="roll",$F170="assignment",$F170="called_away"),$F170&lt;&gt;"roll",$AG170="put"),-IF($AF170&gt;0,INDEX($AH$9:$AH$169,$AF170),0)*$AE170*$D170,0))))</f>
        <v/>
      </c>
      <c r="AP170" s="51" t="str">
        <f>IF($A170="","",IFERROR(LOOKUP(2,1/($B$9:$B$169=$B170),$AP$9:$AP169),0)+IF($F170="sell_put",$AE170*$D170,IF(AND(OR($F170="buy_to_close",$F170="expire",$F170="roll",$F170="assignment",$F170="called_away"),$F170&lt;&gt;"roll",$AG170="put"),-$AE170*$D170,0)))</f>
        <v/>
      </c>
      <c r="AQ170" s="51" t="str">
        <f>IF($A170="","",IFERROR(LOOKUP(2,1/($B$9:$B$169=$B170),$AQ$9:$AQ169),0)+IF(OR($F170="sell_put",$F170="sell_call"),$AE170,0)-IF(AND(OR($F170="buy_to_close",$F170="expire",$F170="roll",$F170="assignment",$F170="called_away"),$F170&lt;&gt;"roll"),$AE170,0))</f>
        <v/>
      </c>
      <c r="AR170" t="str">
        <f t="shared" si="47"/>
        <v/>
      </c>
      <c r="AS170" s="50" t="str">
        <f t="shared" si="48"/>
        <v/>
      </c>
      <c r="AT170" s="50" t="str">
        <f>IF($A170="","",MAX(IF($T170=IFERROR(LOOKUP(2,1/($B$9:$B$169=$B170),$T$9:$T169),0),IFERROR(LOOKUP(2,1/($B$9:$B$169=$B170),$AT$9:$AT169),0),0),$AS170))</f>
        <v/>
      </c>
      <c r="AU170" t="str">
        <f t="shared" si="49"/>
        <v/>
      </c>
      <c r="AV170" s="51">
        <f>IF($AU170="",0,IF(AND(IFERROR(LOOKUP(2,1/($B$9:$B$169=$B170),$AR$9:$AR169),1),NOT(AND(OR($F170="dividend",$F170="fee"),IFERROR(LOOKUP(2,1/($B$9:$B$169=$B170),$T$9:$T169),0)&gt;0))),ROW(),0))</f>
        <v>0</v>
      </c>
      <c r="AW170">
        <f>IF($A170="",0,IF($AV170&gt;0,MAX($AW$9:$AW$169)+1,MAX($AW$9:$AW$169)))</f>
        <v>0</v>
      </c>
      <c r="AX170">
        <f>IF($AU170="",0,IF(AND($AR170,OR(NOT(IFERROR(LOOKUP(2,1/($B$9:$B$169=$B170),$AR$9:$AR169),1)),IFERROR(LOOKUP(2,1/($B$9:$B$169=$B170),$T$9:$T169),0)=0)),ROW(),0))</f>
        <v>0</v>
      </c>
      <c r="AY170" t="str">
        <f t="shared" si="50"/>
        <v/>
      </c>
    </row>
    <row r="171" spans="1:51" ht="15" x14ac:dyDescent="0.25">
      <c r="A171" s="41" t="str">
        <f>IF(Trades!$A171="","",Trades!O171)</f>
        <v/>
      </c>
      <c r="B171" s="41" t="str">
        <f>IF(Trades!$A171="","",Trades!B171)</f>
        <v/>
      </c>
      <c r="C171" s="41" t="str">
        <f>IF(Trades!$A171="","",Trades!C171)</f>
        <v/>
      </c>
      <c r="D171" s="42" t="str">
        <f>IF(Trades!$A171="","",IF(Trades!$L171&gt;0,Trades!$L171,Trades!$C$6))</f>
        <v/>
      </c>
      <c r="E171" s="43" t="str">
        <f>IF(Trades!$A171="","",Trades!A171)</f>
        <v/>
      </c>
      <c r="F171" s="41" t="str">
        <f>IF(Trades!$A171="","",IFERROR(INDEX(Trades!$V$2:$V$14,MATCH(Trades!$E171,Trades!$U$2:$U$14,0)),""))</f>
        <v/>
      </c>
      <c r="G171" s="41" t="str">
        <f>IF(Trades!$A171="","",Trades!N171)</f>
        <v/>
      </c>
      <c r="H171" s="42" t="str">
        <f>IF(Trades!$A171="","",Trades!F171)</f>
        <v/>
      </c>
      <c r="I171" s="44" t="str">
        <f>IF(Trades!$A171="","",Trades!G171)</f>
        <v/>
      </c>
      <c r="J171" s="44" t="str">
        <f>IF(Trades!$A171="","",Trades!I171)</f>
        <v/>
      </c>
      <c r="K171" s="44" t="str">
        <f>IF(Trades!$A171="","",Trades!Q171)</f>
        <v/>
      </c>
      <c r="L171" s="42" t="str">
        <f>IF(Trades!$A171="","",Trades!F171)</f>
        <v/>
      </c>
      <c r="M171" s="44" t="str">
        <f>IF(Trades!$A171="","",Trades!M171)</f>
        <v/>
      </c>
      <c r="N171" s="44" t="str">
        <f>IF(Trades!$A171="","",Trades!R171)</f>
        <v/>
      </c>
      <c r="O171" s="44" t="str">
        <f>IF(Trades!$A171="","",Trades!J171)</f>
        <v/>
      </c>
      <c r="P171" s="43" t="str">
        <f>IF(Trades!$A171="","",Trades!H171)</f>
        <v/>
      </c>
      <c r="Q171" s="41" t="str">
        <f>IF(Trades!$A171="","",Trades!P171)</f>
        <v/>
      </c>
      <c r="R171" s="45" t="str">
        <f t="shared" si="34"/>
        <v/>
      </c>
      <c r="S171" s="45" t="str">
        <f t="shared" si="35"/>
        <v/>
      </c>
      <c r="T171" s="46" t="str">
        <f>IF(OR($A171="",$B171=""),"",IF(AND(IFERROR(LOOKUP(2,1/($B$9:$B$170=$B171),$AR$9:$AR170),1),NOT(AND(OR($F171="dividend",$F171="fee"),IFERROR(LOOKUP(2,1/($B$9:$B$170=$B171),$T$9:$T170),0)&gt;0))),IFERROR(LOOKUP(2,1/($B$9:$B$170=$B171),$T$9:$T170),0)+1,IFERROR(LOOKUP(2,1/($B$9:$B$170=$B171),$T$9:$T170),0)))</f>
        <v/>
      </c>
      <c r="U171" s="47" t="str">
        <f t="shared" si="36"/>
        <v/>
      </c>
      <c r="V171" s="47" t="str">
        <f>IF($A171="","",IF(OR($B171="",$C171="",$D171="",$E171="",$F171=""),"Missing required field",IF(COUNTIFS($A$9:$A171,$A171,$B$9:$B171,$B171)&gt;1,"Duplicate event ID",IF(AND($E171&lt;&gt;IFERROR(LOOKUP(2,1/($B$9:$B$170=$B171),$E$9:$E170),0),IFERROR(LOOKUP(2,1/($B$9:$B$170=$B171),$E$9:$E170),0)&gt;$E171),"Date out of order",IF(AND(OR($F171="buy_to_close",$F171="expire",$F171="roll",$F171="assignment",$F171="called_away"),$AF171=0),"Unknown lot",IF(OR(AND($F171="assignment",$AF171&gt;0,IF($AF171&gt;0,INDEX($AG$9:$AG$170,$AF171),"")&lt;&gt;"put"),AND($F171="called_away",$AF171&gt;0,IF($AF171&gt;0,INDEX($AG$9:$AG$170,$AF171),"")&lt;&gt;"call")),"Wrong option leg",IF(OR(AND(OR($F171="sell_put",$F171="sell_call"),OR($H171&lt;=0,$I171&lt;=0,$J171&lt;0)),AND(OR($F171="buy_to_close",$F171="expire",$F171="assignment",$F171="called_away"),OR($H171&lt;=0,$J171&lt;0)),AND($F171="roll",OR($H171&lt;=0,$I171&lt;=0,$J171&lt;0,$K171&lt;0)),AND(OR($F171="buy_shares",$F171="sell_shares"),OR($L171&lt;=0,$M171&lt;0)),AND(OR($F171="dividend",$F171="fee"),$N171&lt;0)),"Invalid value",IF(AND(OR($F171="sell_shares",$F171="called_away"),$AL171&lt;IF($F171="called_away",$AE171*$D171,$L171)),"Insufficient shares (capped)",IF(AND(OR($F171="buy_to_close",$F171="expire",$F171="roll",$F171="assignment",$F171="called_away"),$AF171&gt;0,$H171&gt;IF($AF171&gt;0,MAX(0,INDEX($AI$9:$AI$170,$AF171)-SUMIFS($AE$9:$AE$170,$G$9:$G$170,$G171,$B$9:$B$170,$B171)),0)),"Close quantity capped","OK")))))))))</f>
        <v/>
      </c>
      <c r="W171" s="48" t="str">
        <f t="shared" si="37"/>
        <v/>
      </c>
      <c r="X171" s="49" t="str">
        <f t="shared" si="38"/>
        <v/>
      </c>
      <c r="Y171" s="50" t="str">
        <f t="shared" si="39"/>
        <v/>
      </c>
      <c r="Z171" s="50" t="str">
        <f t="shared" si="40"/>
        <v/>
      </c>
      <c r="AA171" s="50" t="str">
        <f t="shared" si="41"/>
        <v/>
      </c>
      <c r="AB171" s="50" t="str">
        <f t="shared" si="42"/>
        <v/>
      </c>
      <c r="AC171" s="50" t="str">
        <f>IF($A171="","",IF($F171="assignment",IF($AF171&gt;0,INDEX($AH$9:$AH$170,$AF171),0)*$AE171*$D171,IF($F171="buy_shares",$M171*$AL171,0)))</f>
        <v/>
      </c>
      <c r="AD171" s="50" t="str">
        <f>IF($A171="","",IF($F171="called_away",IF($AF171&gt;0,INDEX($AH$9:$AH$170,$AF171),0)*$AL171,IF($F171="sell_shares",$M171*$AL171,0)))</f>
        <v/>
      </c>
      <c r="AE171" s="51" t="str">
        <f>IF($A171="","",IF(OR($F171="sell_put",$F171="sell_call"),IF(AND($H171&gt;0,$I171&gt;0,$J171&gt;=0),$H171,0),IF(OR($F171="buy_to_close",$F171="expire",$F171="roll",$F171="assignment",$F171="called_away"),IF(AND($AF171&gt;0,$H171&gt;0,IF($F171="assignment",IF($AF171&gt;0,INDEX($AG$9:$AG$170,$AF171),"")="put",TRUE),IF($F171="called_away",IF($AF171&gt;0,INDEX($AG$9:$AG$170,$AF171),"")="call",TRUE)),MIN($H171,IF($AF171&gt;0,MAX(0,INDEX($AI$9:$AI$170,$AF171)-SUMIFS($AE$9:$AE$170,$G$9:$G$170,$G171,$B$9:$B$170,$B171)),0)),0),0)))</f>
        <v/>
      </c>
      <c r="AF171" t="str">
        <f>IF($A171="","",IFERROR(MATCH(LEN($B171)&amp;":"&amp;$B171&amp;$G171,$AY$9:$AY$170,0),0))</f>
        <v/>
      </c>
      <c r="AG171" t="str">
        <f>IF($A171="","",IF($F171="sell_put","put",IF($F171="sell_call","call",IF($F171="roll",IF($AF171&gt;0,IF($AF171&gt;0,INDEX($AG$9:$AG$170,$AF171),""),""),IF($AF171&gt;0,IF($AF171&gt;0,INDEX($AG$9:$AG$170,$AF171),""),"")))))</f>
        <v/>
      </c>
      <c r="AH171" t="str">
        <f>IF($A171="","",IF(OR($F171="sell_put",$F171="sell_call",$F171="roll"),$I171,IF($AF171&gt;0,IF($AF171&gt;0,INDEX($AH$9:$AH$170,$AF171),0),0)))</f>
        <v/>
      </c>
      <c r="AI171" s="51" t="str">
        <f t="shared" si="43"/>
        <v/>
      </c>
      <c r="AJ171" s="51" t="str">
        <f>IF($A171="","",IFERROR(LOOKUP(2,1/($B$9:$B$170=$B171),$AM$9:$AM170),0))</f>
        <v/>
      </c>
      <c r="AK171" t="str">
        <f>IF($A171="","",IFERROR(LOOKUP(2,1/($B$9:$B$170=$B171),$AN$9:$AN170),0))</f>
        <v/>
      </c>
      <c r="AL171" s="51" t="str">
        <f t="shared" si="44"/>
        <v/>
      </c>
      <c r="AM171" s="51" t="str">
        <f t="shared" si="45"/>
        <v/>
      </c>
      <c r="AN171" t="str">
        <f t="shared" si="46"/>
        <v/>
      </c>
      <c r="AO171" s="50" t="str">
        <f>IF($A171="","",IFERROR(LOOKUP(2,1/($B$9:$B$170=$B171),$AO$9:$AO170),0)+IF($F171="sell_put",$I171*$AE171*$D171,IF($F171="roll",IF($AG171="put",($I171-IF($AF171&gt;0,INDEX($AH$9:$AH$170,$AF171),0))*$AE171*$D171,0),IF(AND(OR($F171="buy_to_close",$F171="expire",$F171="roll",$F171="assignment",$F171="called_away"),$F171&lt;&gt;"roll",$AG171="put"),-IF($AF171&gt;0,INDEX($AH$9:$AH$170,$AF171),0)*$AE171*$D171,0))))</f>
        <v/>
      </c>
      <c r="AP171" s="51" t="str">
        <f>IF($A171="","",IFERROR(LOOKUP(2,1/($B$9:$B$170=$B171),$AP$9:$AP170),0)+IF($F171="sell_put",$AE171*$D171,IF(AND(OR($F171="buy_to_close",$F171="expire",$F171="roll",$F171="assignment",$F171="called_away"),$F171&lt;&gt;"roll",$AG171="put"),-$AE171*$D171,0)))</f>
        <v/>
      </c>
      <c r="AQ171" s="51" t="str">
        <f>IF($A171="","",IFERROR(LOOKUP(2,1/($B$9:$B$170=$B171),$AQ$9:$AQ170),0)+IF(OR($F171="sell_put",$F171="sell_call"),$AE171,0)-IF(AND(OR($F171="buy_to_close",$F171="expire",$F171="roll",$F171="assignment",$F171="called_away"),$F171&lt;&gt;"roll"),$AE171,0))</f>
        <v/>
      </c>
      <c r="AR171" t="str">
        <f t="shared" si="47"/>
        <v/>
      </c>
      <c r="AS171" s="50" t="str">
        <f t="shared" si="48"/>
        <v/>
      </c>
      <c r="AT171" s="50" t="str">
        <f>IF($A171="","",MAX(IF($T171=IFERROR(LOOKUP(2,1/($B$9:$B$170=$B171),$T$9:$T170),0),IFERROR(LOOKUP(2,1/($B$9:$B$170=$B171),$AT$9:$AT170),0),0),$AS171))</f>
        <v/>
      </c>
      <c r="AU171" t="str">
        <f t="shared" si="49"/>
        <v/>
      </c>
      <c r="AV171" s="51">
        <f>IF($AU171="",0,IF(AND(IFERROR(LOOKUP(2,1/($B$9:$B$170=$B171),$AR$9:$AR170),1),NOT(AND(OR($F171="dividend",$F171="fee"),IFERROR(LOOKUP(2,1/($B$9:$B$170=$B171),$T$9:$T170),0)&gt;0))),ROW(),0))</f>
        <v>0</v>
      </c>
      <c r="AW171">
        <f>IF($A171="",0,IF($AV171&gt;0,MAX($AW$9:$AW$170)+1,MAX($AW$9:$AW$170)))</f>
        <v>0</v>
      </c>
      <c r="AX171">
        <f>IF($AU171="",0,IF(AND($AR171,OR(NOT(IFERROR(LOOKUP(2,1/($B$9:$B$170=$B171),$AR$9:$AR170),1)),IFERROR(LOOKUP(2,1/($B$9:$B$170=$B171),$T$9:$T170),0)=0)),ROW(),0))</f>
        <v>0</v>
      </c>
      <c r="AY171" t="str">
        <f t="shared" si="50"/>
        <v/>
      </c>
    </row>
    <row r="172" spans="1:51" ht="15" x14ac:dyDescent="0.25">
      <c r="A172" s="52" t="str">
        <f>IF(Trades!$A172="","",Trades!O172)</f>
        <v/>
      </c>
      <c r="B172" s="52" t="str">
        <f>IF(Trades!$A172="","",Trades!B172)</f>
        <v/>
      </c>
      <c r="C172" s="52" t="str">
        <f>IF(Trades!$A172="","",Trades!C172)</f>
        <v/>
      </c>
      <c r="D172" s="53" t="str">
        <f>IF(Trades!$A172="","",IF(Trades!$L172&gt;0,Trades!$L172,Trades!$C$6))</f>
        <v/>
      </c>
      <c r="E172" s="54" t="str">
        <f>IF(Trades!$A172="","",Trades!A172)</f>
        <v/>
      </c>
      <c r="F172" s="52" t="str">
        <f>IF(Trades!$A172="","",IFERROR(INDEX(Trades!$V$2:$V$14,MATCH(Trades!$E172,Trades!$U$2:$U$14,0)),""))</f>
        <v/>
      </c>
      <c r="G172" s="52" t="str">
        <f>IF(Trades!$A172="","",Trades!N172)</f>
        <v/>
      </c>
      <c r="H172" s="53" t="str">
        <f>IF(Trades!$A172="","",Trades!F172)</f>
        <v/>
      </c>
      <c r="I172" s="55" t="str">
        <f>IF(Trades!$A172="","",Trades!G172)</f>
        <v/>
      </c>
      <c r="J172" s="55" t="str">
        <f>IF(Trades!$A172="","",Trades!I172)</f>
        <v/>
      </c>
      <c r="K172" s="55" t="str">
        <f>IF(Trades!$A172="","",Trades!Q172)</f>
        <v/>
      </c>
      <c r="L172" s="53" t="str">
        <f>IF(Trades!$A172="","",Trades!F172)</f>
        <v/>
      </c>
      <c r="M172" s="55" t="str">
        <f>IF(Trades!$A172="","",Trades!M172)</f>
        <v/>
      </c>
      <c r="N172" s="55" t="str">
        <f>IF(Trades!$A172="","",Trades!R172)</f>
        <v/>
      </c>
      <c r="O172" s="55" t="str">
        <f>IF(Trades!$A172="","",Trades!J172)</f>
        <v/>
      </c>
      <c r="P172" s="54" t="str">
        <f>IF(Trades!$A172="","",Trades!H172)</f>
        <v/>
      </c>
      <c r="Q172" s="52" t="str">
        <f>IF(Trades!$A172="","",Trades!P172)</f>
        <v/>
      </c>
      <c r="R172" s="56" t="str">
        <f t="shared" si="34"/>
        <v/>
      </c>
      <c r="S172" s="56" t="str">
        <f t="shared" si="35"/>
        <v/>
      </c>
      <c r="T172" s="57" t="str">
        <f>IF(OR($A172="",$B172=""),"",IF(AND(IFERROR(LOOKUP(2,1/($B$9:$B$171=$B172),$AR$9:$AR171),1),NOT(AND(OR($F172="dividend",$F172="fee"),IFERROR(LOOKUP(2,1/($B$9:$B$171=$B172),$T$9:$T171),0)&gt;0))),IFERROR(LOOKUP(2,1/($B$9:$B$171=$B172),$T$9:$T171),0)+1,IFERROR(LOOKUP(2,1/($B$9:$B$171=$B172),$T$9:$T171),0)))</f>
        <v/>
      </c>
      <c r="U172" s="58" t="str">
        <f t="shared" si="36"/>
        <v/>
      </c>
      <c r="V172" s="58" t="str">
        <f>IF($A172="","",IF(OR($B172="",$C172="",$D172="",$E172="",$F172=""),"Missing required field",IF(COUNTIFS($A$9:$A172,$A172,$B$9:$B172,$B172)&gt;1,"Duplicate event ID",IF(AND($E172&lt;&gt;IFERROR(LOOKUP(2,1/($B$9:$B$171=$B172),$E$9:$E171),0),IFERROR(LOOKUP(2,1/($B$9:$B$171=$B172),$E$9:$E171),0)&gt;$E172),"Date out of order",IF(AND(OR($F172="buy_to_close",$F172="expire",$F172="roll",$F172="assignment",$F172="called_away"),$AF172=0),"Unknown lot",IF(OR(AND($F172="assignment",$AF172&gt;0,IF($AF172&gt;0,INDEX($AG$9:$AG$171,$AF172),"")&lt;&gt;"put"),AND($F172="called_away",$AF172&gt;0,IF($AF172&gt;0,INDEX($AG$9:$AG$171,$AF172),"")&lt;&gt;"call")),"Wrong option leg",IF(OR(AND(OR($F172="sell_put",$F172="sell_call"),OR($H172&lt;=0,$I172&lt;=0,$J172&lt;0)),AND(OR($F172="buy_to_close",$F172="expire",$F172="assignment",$F172="called_away"),OR($H172&lt;=0,$J172&lt;0)),AND($F172="roll",OR($H172&lt;=0,$I172&lt;=0,$J172&lt;0,$K172&lt;0)),AND(OR($F172="buy_shares",$F172="sell_shares"),OR($L172&lt;=0,$M172&lt;0)),AND(OR($F172="dividend",$F172="fee"),$N172&lt;0)),"Invalid value",IF(AND(OR($F172="sell_shares",$F172="called_away"),$AL172&lt;IF($F172="called_away",$AE172*$D172,$L172)),"Insufficient shares (capped)",IF(AND(OR($F172="buy_to_close",$F172="expire",$F172="roll",$F172="assignment",$F172="called_away"),$AF172&gt;0,$H172&gt;IF($AF172&gt;0,MAX(0,INDEX($AI$9:$AI$171,$AF172)-SUMIFS($AE$9:$AE$171,$G$9:$G$171,$G172,$B$9:$B$171,$B172)),0)),"Close quantity capped","OK")))))))))</f>
        <v/>
      </c>
      <c r="W172" s="59" t="str">
        <f t="shared" si="37"/>
        <v/>
      </c>
      <c r="X172" s="60" t="str">
        <f t="shared" si="38"/>
        <v/>
      </c>
      <c r="Y172" s="50" t="str">
        <f t="shared" si="39"/>
        <v/>
      </c>
      <c r="Z172" s="50" t="str">
        <f t="shared" si="40"/>
        <v/>
      </c>
      <c r="AA172" s="50" t="str">
        <f t="shared" si="41"/>
        <v/>
      </c>
      <c r="AB172" s="50" t="str">
        <f t="shared" si="42"/>
        <v/>
      </c>
      <c r="AC172" s="50" t="str">
        <f>IF($A172="","",IF($F172="assignment",IF($AF172&gt;0,INDEX($AH$9:$AH$171,$AF172),0)*$AE172*$D172,IF($F172="buy_shares",$M172*$AL172,0)))</f>
        <v/>
      </c>
      <c r="AD172" s="50" t="str">
        <f>IF($A172="","",IF($F172="called_away",IF($AF172&gt;0,INDEX($AH$9:$AH$171,$AF172),0)*$AL172,IF($F172="sell_shares",$M172*$AL172,0)))</f>
        <v/>
      </c>
      <c r="AE172" s="51" t="str">
        <f>IF($A172="","",IF(OR($F172="sell_put",$F172="sell_call"),IF(AND($H172&gt;0,$I172&gt;0,$J172&gt;=0),$H172,0),IF(OR($F172="buy_to_close",$F172="expire",$F172="roll",$F172="assignment",$F172="called_away"),IF(AND($AF172&gt;0,$H172&gt;0,IF($F172="assignment",IF($AF172&gt;0,INDEX($AG$9:$AG$171,$AF172),"")="put",TRUE),IF($F172="called_away",IF($AF172&gt;0,INDEX($AG$9:$AG$171,$AF172),"")="call",TRUE)),MIN($H172,IF($AF172&gt;0,MAX(0,INDEX($AI$9:$AI$171,$AF172)-SUMIFS($AE$9:$AE$171,$G$9:$G$171,$G172,$B$9:$B$171,$B172)),0)),0),0)))</f>
        <v/>
      </c>
      <c r="AF172" t="str">
        <f>IF($A172="","",IFERROR(MATCH(LEN($B172)&amp;":"&amp;$B172&amp;$G172,$AY$9:$AY$171,0),0))</f>
        <v/>
      </c>
      <c r="AG172" t="str">
        <f>IF($A172="","",IF($F172="sell_put","put",IF($F172="sell_call","call",IF($F172="roll",IF($AF172&gt;0,IF($AF172&gt;0,INDEX($AG$9:$AG$171,$AF172),""),""),IF($AF172&gt;0,IF($AF172&gt;0,INDEX($AG$9:$AG$171,$AF172),""),"")))))</f>
        <v/>
      </c>
      <c r="AH172" t="str">
        <f>IF($A172="","",IF(OR($F172="sell_put",$F172="sell_call",$F172="roll"),$I172,IF($AF172&gt;0,IF($AF172&gt;0,INDEX($AH$9:$AH$171,$AF172),0),0)))</f>
        <v/>
      </c>
      <c r="AI172" s="51" t="str">
        <f t="shared" si="43"/>
        <v/>
      </c>
      <c r="AJ172" s="51" t="str">
        <f>IF($A172="","",IFERROR(LOOKUP(2,1/($B$9:$B$171=$B172),$AM$9:$AM171),0))</f>
        <v/>
      </c>
      <c r="AK172" t="str">
        <f>IF($A172="","",IFERROR(LOOKUP(2,1/($B$9:$B$171=$B172),$AN$9:$AN171),0))</f>
        <v/>
      </c>
      <c r="AL172" s="51" t="str">
        <f t="shared" si="44"/>
        <v/>
      </c>
      <c r="AM172" s="51" t="str">
        <f t="shared" si="45"/>
        <v/>
      </c>
      <c r="AN172" t="str">
        <f t="shared" si="46"/>
        <v/>
      </c>
      <c r="AO172" s="50" t="str">
        <f>IF($A172="","",IFERROR(LOOKUP(2,1/($B$9:$B$171=$B172),$AO$9:$AO171),0)+IF($F172="sell_put",$I172*$AE172*$D172,IF($F172="roll",IF($AG172="put",($I172-IF($AF172&gt;0,INDEX($AH$9:$AH$171,$AF172),0))*$AE172*$D172,0),IF(AND(OR($F172="buy_to_close",$F172="expire",$F172="roll",$F172="assignment",$F172="called_away"),$F172&lt;&gt;"roll",$AG172="put"),-IF($AF172&gt;0,INDEX($AH$9:$AH$171,$AF172),0)*$AE172*$D172,0))))</f>
        <v/>
      </c>
      <c r="AP172" s="51" t="str">
        <f>IF($A172="","",IFERROR(LOOKUP(2,1/($B$9:$B$171=$B172),$AP$9:$AP171),0)+IF($F172="sell_put",$AE172*$D172,IF(AND(OR($F172="buy_to_close",$F172="expire",$F172="roll",$F172="assignment",$F172="called_away"),$F172&lt;&gt;"roll",$AG172="put"),-$AE172*$D172,0)))</f>
        <v/>
      </c>
      <c r="AQ172" s="51" t="str">
        <f>IF($A172="","",IFERROR(LOOKUP(2,1/($B$9:$B$171=$B172),$AQ$9:$AQ171),0)+IF(OR($F172="sell_put",$F172="sell_call"),$AE172,0)-IF(AND(OR($F172="buy_to_close",$F172="expire",$F172="roll",$F172="assignment",$F172="called_away"),$F172&lt;&gt;"roll"),$AE172,0))</f>
        <v/>
      </c>
      <c r="AR172" t="str">
        <f t="shared" si="47"/>
        <v/>
      </c>
      <c r="AS172" s="50" t="str">
        <f t="shared" si="48"/>
        <v/>
      </c>
      <c r="AT172" s="50" t="str">
        <f>IF($A172="","",MAX(IF($T172=IFERROR(LOOKUP(2,1/($B$9:$B$171=$B172),$T$9:$T171),0),IFERROR(LOOKUP(2,1/($B$9:$B$171=$B172),$AT$9:$AT171),0),0),$AS172))</f>
        <v/>
      </c>
      <c r="AU172" t="str">
        <f t="shared" si="49"/>
        <v/>
      </c>
      <c r="AV172" s="51">
        <f>IF($AU172="",0,IF(AND(IFERROR(LOOKUP(2,1/($B$9:$B$171=$B172),$AR$9:$AR171),1),NOT(AND(OR($F172="dividend",$F172="fee"),IFERROR(LOOKUP(2,1/($B$9:$B$171=$B172),$T$9:$T171),0)&gt;0))),ROW(),0))</f>
        <v>0</v>
      </c>
      <c r="AW172">
        <f>IF($A172="",0,IF($AV172&gt;0,MAX($AW$9:$AW$171)+1,MAX($AW$9:$AW$171)))</f>
        <v>0</v>
      </c>
      <c r="AX172">
        <f>IF($AU172="",0,IF(AND($AR172,OR(NOT(IFERROR(LOOKUP(2,1/($B$9:$B$171=$B172),$AR$9:$AR171),1)),IFERROR(LOOKUP(2,1/($B$9:$B$171=$B172),$T$9:$T171),0)=0)),ROW(),0))</f>
        <v>0</v>
      </c>
      <c r="AY172" t="str">
        <f t="shared" si="50"/>
        <v/>
      </c>
    </row>
    <row r="173" spans="1:51" ht="15" x14ac:dyDescent="0.25">
      <c r="A173" s="41" t="str">
        <f>IF(Trades!$A173="","",Trades!O173)</f>
        <v/>
      </c>
      <c r="B173" s="41" t="str">
        <f>IF(Trades!$A173="","",Trades!B173)</f>
        <v/>
      </c>
      <c r="C173" s="41" t="str">
        <f>IF(Trades!$A173="","",Trades!C173)</f>
        <v/>
      </c>
      <c r="D173" s="42" t="str">
        <f>IF(Trades!$A173="","",IF(Trades!$L173&gt;0,Trades!$L173,Trades!$C$6))</f>
        <v/>
      </c>
      <c r="E173" s="43" t="str">
        <f>IF(Trades!$A173="","",Trades!A173)</f>
        <v/>
      </c>
      <c r="F173" s="41" t="str">
        <f>IF(Trades!$A173="","",IFERROR(INDEX(Trades!$V$2:$V$14,MATCH(Trades!$E173,Trades!$U$2:$U$14,0)),""))</f>
        <v/>
      </c>
      <c r="G173" s="41" t="str">
        <f>IF(Trades!$A173="","",Trades!N173)</f>
        <v/>
      </c>
      <c r="H173" s="42" t="str">
        <f>IF(Trades!$A173="","",Trades!F173)</f>
        <v/>
      </c>
      <c r="I173" s="44" t="str">
        <f>IF(Trades!$A173="","",Trades!G173)</f>
        <v/>
      </c>
      <c r="J173" s="44" t="str">
        <f>IF(Trades!$A173="","",Trades!I173)</f>
        <v/>
      </c>
      <c r="K173" s="44" t="str">
        <f>IF(Trades!$A173="","",Trades!Q173)</f>
        <v/>
      </c>
      <c r="L173" s="42" t="str">
        <f>IF(Trades!$A173="","",Trades!F173)</f>
        <v/>
      </c>
      <c r="M173" s="44" t="str">
        <f>IF(Trades!$A173="","",Trades!M173)</f>
        <v/>
      </c>
      <c r="N173" s="44" t="str">
        <f>IF(Trades!$A173="","",Trades!R173)</f>
        <v/>
      </c>
      <c r="O173" s="44" t="str">
        <f>IF(Trades!$A173="","",Trades!J173)</f>
        <v/>
      </c>
      <c r="P173" s="43" t="str">
        <f>IF(Trades!$A173="","",Trades!H173)</f>
        <v/>
      </c>
      <c r="Q173" s="41" t="str">
        <f>IF(Trades!$A173="","",Trades!P173)</f>
        <v/>
      </c>
      <c r="R173" s="45" t="str">
        <f t="shared" si="34"/>
        <v/>
      </c>
      <c r="S173" s="45" t="str">
        <f t="shared" si="35"/>
        <v/>
      </c>
      <c r="T173" s="46" t="str">
        <f>IF(OR($A173="",$B173=""),"",IF(AND(IFERROR(LOOKUP(2,1/($B$9:$B$172=$B173),$AR$9:$AR172),1),NOT(AND(OR($F173="dividend",$F173="fee"),IFERROR(LOOKUP(2,1/($B$9:$B$172=$B173),$T$9:$T172),0)&gt;0))),IFERROR(LOOKUP(2,1/($B$9:$B$172=$B173),$T$9:$T172),0)+1,IFERROR(LOOKUP(2,1/($B$9:$B$172=$B173),$T$9:$T172),0)))</f>
        <v/>
      </c>
      <c r="U173" s="47" t="str">
        <f t="shared" si="36"/>
        <v/>
      </c>
      <c r="V173" s="47" t="str">
        <f>IF($A173="","",IF(OR($B173="",$C173="",$D173="",$E173="",$F173=""),"Missing required field",IF(COUNTIFS($A$9:$A173,$A173,$B$9:$B173,$B173)&gt;1,"Duplicate event ID",IF(AND($E173&lt;&gt;IFERROR(LOOKUP(2,1/($B$9:$B$172=$B173),$E$9:$E172),0),IFERROR(LOOKUP(2,1/($B$9:$B$172=$B173),$E$9:$E172),0)&gt;$E173),"Date out of order",IF(AND(OR($F173="buy_to_close",$F173="expire",$F173="roll",$F173="assignment",$F173="called_away"),$AF173=0),"Unknown lot",IF(OR(AND($F173="assignment",$AF173&gt;0,IF($AF173&gt;0,INDEX($AG$9:$AG$172,$AF173),"")&lt;&gt;"put"),AND($F173="called_away",$AF173&gt;0,IF($AF173&gt;0,INDEX($AG$9:$AG$172,$AF173),"")&lt;&gt;"call")),"Wrong option leg",IF(OR(AND(OR($F173="sell_put",$F173="sell_call"),OR($H173&lt;=0,$I173&lt;=0,$J173&lt;0)),AND(OR($F173="buy_to_close",$F173="expire",$F173="assignment",$F173="called_away"),OR($H173&lt;=0,$J173&lt;0)),AND($F173="roll",OR($H173&lt;=0,$I173&lt;=0,$J173&lt;0,$K173&lt;0)),AND(OR($F173="buy_shares",$F173="sell_shares"),OR($L173&lt;=0,$M173&lt;0)),AND(OR($F173="dividend",$F173="fee"),$N173&lt;0)),"Invalid value",IF(AND(OR($F173="sell_shares",$F173="called_away"),$AL173&lt;IF($F173="called_away",$AE173*$D173,$L173)),"Insufficient shares (capped)",IF(AND(OR($F173="buy_to_close",$F173="expire",$F173="roll",$F173="assignment",$F173="called_away"),$AF173&gt;0,$H173&gt;IF($AF173&gt;0,MAX(0,INDEX($AI$9:$AI$172,$AF173)-SUMIFS($AE$9:$AE$172,$G$9:$G$172,$G173,$B$9:$B$172,$B173)),0)),"Close quantity capped","OK")))))))))</f>
        <v/>
      </c>
      <c r="W173" s="48" t="str">
        <f t="shared" si="37"/>
        <v/>
      </c>
      <c r="X173" s="49" t="str">
        <f t="shared" si="38"/>
        <v/>
      </c>
      <c r="Y173" s="50" t="str">
        <f t="shared" si="39"/>
        <v/>
      </c>
      <c r="Z173" s="50" t="str">
        <f t="shared" si="40"/>
        <v/>
      </c>
      <c r="AA173" s="50" t="str">
        <f t="shared" si="41"/>
        <v/>
      </c>
      <c r="AB173" s="50" t="str">
        <f t="shared" si="42"/>
        <v/>
      </c>
      <c r="AC173" s="50" t="str">
        <f>IF($A173="","",IF($F173="assignment",IF($AF173&gt;0,INDEX($AH$9:$AH$172,$AF173),0)*$AE173*$D173,IF($F173="buy_shares",$M173*$AL173,0)))</f>
        <v/>
      </c>
      <c r="AD173" s="50" t="str">
        <f>IF($A173="","",IF($F173="called_away",IF($AF173&gt;0,INDEX($AH$9:$AH$172,$AF173),0)*$AL173,IF($F173="sell_shares",$M173*$AL173,0)))</f>
        <v/>
      </c>
      <c r="AE173" s="51" t="str">
        <f>IF($A173="","",IF(OR($F173="sell_put",$F173="sell_call"),IF(AND($H173&gt;0,$I173&gt;0,$J173&gt;=0),$H173,0),IF(OR($F173="buy_to_close",$F173="expire",$F173="roll",$F173="assignment",$F173="called_away"),IF(AND($AF173&gt;0,$H173&gt;0,IF($F173="assignment",IF($AF173&gt;0,INDEX($AG$9:$AG$172,$AF173),"")="put",TRUE),IF($F173="called_away",IF($AF173&gt;0,INDEX($AG$9:$AG$172,$AF173),"")="call",TRUE)),MIN($H173,IF($AF173&gt;0,MAX(0,INDEX($AI$9:$AI$172,$AF173)-SUMIFS($AE$9:$AE$172,$G$9:$G$172,$G173,$B$9:$B$172,$B173)),0)),0),0)))</f>
        <v/>
      </c>
      <c r="AF173" t="str">
        <f>IF($A173="","",IFERROR(MATCH(LEN($B173)&amp;":"&amp;$B173&amp;$G173,$AY$9:$AY$172,0),0))</f>
        <v/>
      </c>
      <c r="AG173" t="str">
        <f>IF($A173="","",IF($F173="sell_put","put",IF($F173="sell_call","call",IF($F173="roll",IF($AF173&gt;0,IF($AF173&gt;0,INDEX($AG$9:$AG$172,$AF173),""),""),IF($AF173&gt;0,IF($AF173&gt;0,INDEX($AG$9:$AG$172,$AF173),""),"")))))</f>
        <v/>
      </c>
      <c r="AH173" t="str">
        <f>IF($A173="","",IF(OR($F173="sell_put",$F173="sell_call",$F173="roll"),$I173,IF($AF173&gt;0,IF($AF173&gt;0,INDEX($AH$9:$AH$172,$AF173),0),0)))</f>
        <v/>
      </c>
      <c r="AI173" s="51" t="str">
        <f t="shared" si="43"/>
        <v/>
      </c>
      <c r="AJ173" s="51" t="str">
        <f>IF($A173="","",IFERROR(LOOKUP(2,1/($B$9:$B$172=$B173),$AM$9:$AM172),0))</f>
        <v/>
      </c>
      <c r="AK173" t="str">
        <f>IF($A173="","",IFERROR(LOOKUP(2,1/($B$9:$B$172=$B173),$AN$9:$AN172),0))</f>
        <v/>
      </c>
      <c r="AL173" s="51" t="str">
        <f t="shared" si="44"/>
        <v/>
      </c>
      <c r="AM173" s="51" t="str">
        <f t="shared" si="45"/>
        <v/>
      </c>
      <c r="AN173" t="str">
        <f t="shared" si="46"/>
        <v/>
      </c>
      <c r="AO173" s="50" t="str">
        <f>IF($A173="","",IFERROR(LOOKUP(2,1/($B$9:$B$172=$B173),$AO$9:$AO172),0)+IF($F173="sell_put",$I173*$AE173*$D173,IF($F173="roll",IF($AG173="put",($I173-IF($AF173&gt;0,INDEX($AH$9:$AH$172,$AF173),0))*$AE173*$D173,0),IF(AND(OR($F173="buy_to_close",$F173="expire",$F173="roll",$F173="assignment",$F173="called_away"),$F173&lt;&gt;"roll",$AG173="put"),-IF($AF173&gt;0,INDEX($AH$9:$AH$172,$AF173),0)*$AE173*$D173,0))))</f>
        <v/>
      </c>
      <c r="AP173" s="51" t="str">
        <f>IF($A173="","",IFERROR(LOOKUP(2,1/($B$9:$B$172=$B173),$AP$9:$AP172),0)+IF($F173="sell_put",$AE173*$D173,IF(AND(OR($F173="buy_to_close",$F173="expire",$F173="roll",$F173="assignment",$F173="called_away"),$F173&lt;&gt;"roll",$AG173="put"),-$AE173*$D173,0)))</f>
        <v/>
      </c>
      <c r="AQ173" s="51" t="str">
        <f>IF($A173="","",IFERROR(LOOKUP(2,1/($B$9:$B$172=$B173),$AQ$9:$AQ172),0)+IF(OR($F173="sell_put",$F173="sell_call"),$AE173,0)-IF(AND(OR($F173="buy_to_close",$F173="expire",$F173="roll",$F173="assignment",$F173="called_away"),$F173&lt;&gt;"roll"),$AE173,0))</f>
        <v/>
      </c>
      <c r="AR173" t="str">
        <f t="shared" si="47"/>
        <v/>
      </c>
      <c r="AS173" s="50" t="str">
        <f t="shared" si="48"/>
        <v/>
      </c>
      <c r="AT173" s="50" t="str">
        <f>IF($A173="","",MAX(IF($T173=IFERROR(LOOKUP(2,1/($B$9:$B$172=$B173),$T$9:$T172),0),IFERROR(LOOKUP(2,1/($B$9:$B$172=$B173),$AT$9:$AT172),0),0),$AS173))</f>
        <v/>
      </c>
      <c r="AU173" t="str">
        <f t="shared" si="49"/>
        <v/>
      </c>
      <c r="AV173" s="51">
        <f>IF($AU173="",0,IF(AND(IFERROR(LOOKUP(2,1/($B$9:$B$172=$B173),$AR$9:$AR172),1),NOT(AND(OR($F173="dividend",$F173="fee"),IFERROR(LOOKUP(2,1/($B$9:$B$172=$B173),$T$9:$T172),0)&gt;0))),ROW(),0))</f>
        <v>0</v>
      </c>
      <c r="AW173">
        <f>IF($A173="",0,IF($AV173&gt;0,MAX($AW$9:$AW$172)+1,MAX($AW$9:$AW$172)))</f>
        <v>0</v>
      </c>
      <c r="AX173">
        <f>IF($AU173="",0,IF(AND($AR173,OR(NOT(IFERROR(LOOKUP(2,1/($B$9:$B$172=$B173),$AR$9:$AR172),1)),IFERROR(LOOKUP(2,1/($B$9:$B$172=$B173),$T$9:$T172),0)=0)),ROW(),0))</f>
        <v>0</v>
      </c>
      <c r="AY173" t="str">
        <f t="shared" si="50"/>
        <v/>
      </c>
    </row>
    <row r="174" spans="1:51" ht="15" x14ac:dyDescent="0.25">
      <c r="A174" s="52" t="str">
        <f>IF(Trades!$A174="","",Trades!O174)</f>
        <v/>
      </c>
      <c r="B174" s="52" t="str">
        <f>IF(Trades!$A174="","",Trades!B174)</f>
        <v/>
      </c>
      <c r="C174" s="52" t="str">
        <f>IF(Trades!$A174="","",Trades!C174)</f>
        <v/>
      </c>
      <c r="D174" s="53" t="str">
        <f>IF(Trades!$A174="","",IF(Trades!$L174&gt;0,Trades!$L174,Trades!$C$6))</f>
        <v/>
      </c>
      <c r="E174" s="54" t="str">
        <f>IF(Trades!$A174="","",Trades!A174)</f>
        <v/>
      </c>
      <c r="F174" s="52" t="str">
        <f>IF(Trades!$A174="","",IFERROR(INDEX(Trades!$V$2:$V$14,MATCH(Trades!$E174,Trades!$U$2:$U$14,0)),""))</f>
        <v/>
      </c>
      <c r="G174" s="52" t="str">
        <f>IF(Trades!$A174="","",Trades!N174)</f>
        <v/>
      </c>
      <c r="H174" s="53" t="str">
        <f>IF(Trades!$A174="","",Trades!F174)</f>
        <v/>
      </c>
      <c r="I174" s="55" t="str">
        <f>IF(Trades!$A174="","",Trades!G174)</f>
        <v/>
      </c>
      <c r="J174" s="55" t="str">
        <f>IF(Trades!$A174="","",Trades!I174)</f>
        <v/>
      </c>
      <c r="K174" s="55" t="str">
        <f>IF(Trades!$A174="","",Trades!Q174)</f>
        <v/>
      </c>
      <c r="L174" s="53" t="str">
        <f>IF(Trades!$A174="","",Trades!F174)</f>
        <v/>
      </c>
      <c r="M174" s="55" t="str">
        <f>IF(Trades!$A174="","",Trades!M174)</f>
        <v/>
      </c>
      <c r="N174" s="55" t="str">
        <f>IF(Trades!$A174="","",Trades!R174)</f>
        <v/>
      </c>
      <c r="O174" s="55" t="str">
        <f>IF(Trades!$A174="","",Trades!J174)</f>
        <v/>
      </c>
      <c r="P174" s="54" t="str">
        <f>IF(Trades!$A174="","",Trades!H174)</f>
        <v/>
      </c>
      <c r="Q174" s="52" t="str">
        <f>IF(Trades!$A174="","",Trades!P174)</f>
        <v/>
      </c>
      <c r="R174" s="56" t="str">
        <f t="shared" si="34"/>
        <v/>
      </c>
      <c r="S174" s="56" t="str">
        <f t="shared" si="35"/>
        <v/>
      </c>
      <c r="T174" s="57" t="str">
        <f>IF(OR($A174="",$B174=""),"",IF(AND(IFERROR(LOOKUP(2,1/($B$9:$B$173=$B174),$AR$9:$AR173),1),NOT(AND(OR($F174="dividend",$F174="fee"),IFERROR(LOOKUP(2,1/($B$9:$B$173=$B174),$T$9:$T173),0)&gt;0))),IFERROR(LOOKUP(2,1/($B$9:$B$173=$B174),$T$9:$T173),0)+1,IFERROR(LOOKUP(2,1/($B$9:$B$173=$B174),$T$9:$T173),0)))</f>
        <v/>
      </c>
      <c r="U174" s="58" t="str">
        <f t="shared" si="36"/>
        <v/>
      </c>
      <c r="V174" s="58" t="str">
        <f>IF($A174="","",IF(OR($B174="",$C174="",$D174="",$E174="",$F174=""),"Missing required field",IF(COUNTIFS($A$9:$A174,$A174,$B$9:$B174,$B174)&gt;1,"Duplicate event ID",IF(AND($E174&lt;&gt;IFERROR(LOOKUP(2,1/($B$9:$B$173=$B174),$E$9:$E173),0),IFERROR(LOOKUP(2,1/($B$9:$B$173=$B174),$E$9:$E173),0)&gt;$E174),"Date out of order",IF(AND(OR($F174="buy_to_close",$F174="expire",$F174="roll",$F174="assignment",$F174="called_away"),$AF174=0),"Unknown lot",IF(OR(AND($F174="assignment",$AF174&gt;0,IF($AF174&gt;0,INDEX($AG$9:$AG$173,$AF174),"")&lt;&gt;"put"),AND($F174="called_away",$AF174&gt;0,IF($AF174&gt;0,INDEX($AG$9:$AG$173,$AF174),"")&lt;&gt;"call")),"Wrong option leg",IF(OR(AND(OR($F174="sell_put",$F174="sell_call"),OR($H174&lt;=0,$I174&lt;=0,$J174&lt;0)),AND(OR($F174="buy_to_close",$F174="expire",$F174="assignment",$F174="called_away"),OR($H174&lt;=0,$J174&lt;0)),AND($F174="roll",OR($H174&lt;=0,$I174&lt;=0,$J174&lt;0,$K174&lt;0)),AND(OR($F174="buy_shares",$F174="sell_shares"),OR($L174&lt;=0,$M174&lt;0)),AND(OR($F174="dividend",$F174="fee"),$N174&lt;0)),"Invalid value",IF(AND(OR($F174="sell_shares",$F174="called_away"),$AL174&lt;IF($F174="called_away",$AE174*$D174,$L174)),"Insufficient shares (capped)",IF(AND(OR($F174="buy_to_close",$F174="expire",$F174="roll",$F174="assignment",$F174="called_away"),$AF174&gt;0,$H174&gt;IF($AF174&gt;0,MAX(0,INDEX($AI$9:$AI$173,$AF174)-SUMIFS($AE$9:$AE$173,$G$9:$G$173,$G174,$B$9:$B$173,$B174)),0)),"Close quantity capped","OK")))))))))</f>
        <v/>
      </c>
      <c r="W174" s="59" t="str">
        <f t="shared" si="37"/>
        <v/>
      </c>
      <c r="X174" s="60" t="str">
        <f t="shared" si="38"/>
        <v/>
      </c>
      <c r="Y174" s="50" t="str">
        <f t="shared" si="39"/>
        <v/>
      </c>
      <c r="Z174" s="50" t="str">
        <f t="shared" si="40"/>
        <v/>
      </c>
      <c r="AA174" s="50" t="str">
        <f t="shared" si="41"/>
        <v/>
      </c>
      <c r="AB174" s="50" t="str">
        <f t="shared" si="42"/>
        <v/>
      </c>
      <c r="AC174" s="50" t="str">
        <f>IF($A174="","",IF($F174="assignment",IF($AF174&gt;0,INDEX($AH$9:$AH$173,$AF174),0)*$AE174*$D174,IF($F174="buy_shares",$M174*$AL174,0)))</f>
        <v/>
      </c>
      <c r="AD174" s="50" t="str">
        <f>IF($A174="","",IF($F174="called_away",IF($AF174&gt;0,INDEX($AH$9:$AH$173,$AF174),0)*$AL174,IF($F174="sell_shares",$M174*$AL174,0)))</f>
        <v/>
      </c>
      <c r="AE174" s="51" t="str">
        <f>IF($A174="","",IF(OR($F174="sell_put",$F174="sell_call"),IF(AND($H174&gt;0,$I174&gt;0,$J174&gt;=0),$H174,0),IF(OR($F174="buy_to_close",$F174="expire",$F174="roll",$F174="assignment",$F174="called_away"),IF(AND($AF174&gt;0,$H174&gt;0,IF($F174="assignment",IF($AF174&gt;0,INDEX($AG$9:$AG$173,$AF174),"")="put",TRUE),IF($F174="called_away",IF($AF174&gt;0,INDEX($AG$9:$AG$173,$AF174),"")="call",TRUE)),MIN($H174,IF($AF174&gt;0,MAX(0,INDEX($AI$9:$AI$173,$AF174)-SUMIFS($AE$9:$AE$173,$G$9:$G$173,$G174,$B$9:$B$173,$B174)),0)),0),0)))</f>
        <v/>
      </c>
      <c r="AF174" t="str">
        <f>IF($A174="","",IFERROR(MATCH(LEN($B174)&amp;":"&amp;$B174&amp;$G174,$AY$9:$AY$173,0),0))</f>
        <v/>
      </c>
      <c r="AG174" t="str">
        <f>IF($A174="","",IF($F174="sell_put","put",IF($F174="sell_call","call",IF($F174="roll",IF($AF174&gt;0,IF($AF174&gt;0,INDEX($AG$9:$AG$173,$AF174),""),""),IF($AF174&gt;0,IF($AF174&gt;0,INDEX($AG$9:$AG$173,$AF174),""),"")))))</f>
        <v/>
      </c>
      <c r="AH174" t="str">
        <f>IF($A174="","",IF(OR($F174="sell_put",$F174="sell_call",$F174="roll"),$I174,IF($AF174&gt;0,IF($AF174&gt;0,INDEX($AH$9:$AH$173,$AF174),0),0)))</f>
        <v/>
      </c>
      <c r="AI174" s="51" t="str">
        <f t="shared" si="43"/>
        <v/>
      </c>
      <c r="AJ174" s="51" t="str">
        <f>IF($A174="","",IFERROR(LOOKUP(2,1/($B$9:$B$173=$B174),$AM$9:$AM173),0))</f>
        <v/>
      </c>
      <c r="AK174" t="str">
        <f>IF($A174="","",IFERROR(LOOKUP(2,1/($B$9:$B$173=$B174),$AN$9:$AN173),0))</f>
        <v/>
      </c>
      <c r="AL174" s="51" t="str">
        <f t="shared" si="44"/>
        <v/>
      </c>
      <c r="AM174" s="51" t="str">
        <f t="shared" si="45"/>
        <v/>
      </c>
      <c r="AN174" t="str">
        <f t="shared" si="46"/>
        <v/>
      </c>
      <c r="AO174" s="50" t="str">
        <f>IF($A174="","",IFERROR(LOOKUP(2,1/($B$9:$B$173=$B174),$AO$9:$AO173),0)+IF($F174="sell_put",$I174*$AE174*$D174,IF($F174="roll",IF($AG174="put",($I174-IF($AF174&gt;0,INDEX($AH$9:$AH$173,$AF174),0))*$AE174*$D174,0),IF(AND(OR($F174="buy_to_close",$F174="expire",$F174="roll",$F174="assignment",$F174="called_away"),$F174&lt;&gt;"roll",$AG174="put"),-IF($AF174&gt;0,INDEX($AH$9:$AH$173,$AF174),0)*$AE174*$D174,0))))</f>
        <v/>
      </c>
      <c r="AP174" s="51" t="str">
        <f>IF($A174="","",IFERROR(LOOKUP(2,1/($B$9:$B$173=$B174),$AP$9:$AP173),0)+IF($F174="sell_put",$AE174*$D174,IF(AND(OR($F174="buy_to_close",$F174="expire",$F174="roll",$F174="assignment",$F174="called_away"),$F174&lt;&gt;"roll",$AG174="put"),-$AE174*$D174,0)))</f>
        <v/>
      </c>
      <c r="AQ174" s="51" t="str">
        <f>IF($A174="","",IFERROR(LOOKUP(2,1/($B$9:$B$173=$B174),$AQ$9:$AQ173),0)+IF(OR($F174="sell_put",$F174="sell_call"),$AE174,0)-IF(AND(OR($F174="buy_to_close",$F174="expire",$F174="roll",$F174="assignment",$F174="called_away"),$F174&lt;&gt;"roll"),$AE174,0))</f>
        <v/>
      </c>
      <c r="AR174" t="str">
        <f t="shared" si="47"/>
        <v/>
      </c>
      <c r="AS174" s="50" t="str">
        <f t="shared" si="48"/>
        <v/>
      </c>
      <c r="AT174" s="50" t="str">
        <f>IF($A174="","",MAX(IF($T174=IFERROR(LOOKUP(2,1/($B$9:$B$173=$B174),$T$9:$T173),0),IFERROR(LOOKUP(2,1/($B$9:$B$173=$B174),$AT$9:$AT173),0),0),$AS174))</f>
        <v/>
      </c>
      <c r="AU174" t="str">
        <f t="shared" si="49"/>
        <v/>
      </c>
      <c r="AV174" s="51">
        <f>IF($AU174="",0,IF(AND(IFERROR(LOOKUP(2,1/($B$9:$B$173=$B174),$AR$9:$AR173),1),NOT(AND(OR($F174="dividend",$F174="fee"),IFERROR(LOOKUP(2,1/($B$9:$B$173=$B174),$T$9:$T173),0)&gt;0))),ROW(),0))</f>
        <v>0</v>
      </c>
      <c r="AW174">
        <f>IF($A174="",0,IF($AV174&gt;0,MAX($AW$9:$AW$173)+1,MAX($AW$9:$AW$173)))</f>
        <v>0</v>
      </c>
      <c r="AX174">
        <f>IF($AU174="",0,IF(AND($AR174,OR(NOT(IFERROR(LOOKUP(2,1/($B$9:$B$173=$B174),$AR$9:$AR173),1)),IFERROR(LOOKUP(2,1/($B$9:$B$173=$B174),$T$9:$T173),0)=0)),ROW(),0))</f>
        <v>0</v>
      </c>
      <c r="AY174" t="str">
        <f t="shared" si="50"/>
        <v/>
      </c>
    </row>
    <row r="175" spans="1:51" ht="15" x14ac:dyDescent="0.25">
      <c r="A175" s="41" t="str">
        <f>IF(Trades!$A175="","",Trades!O175)</f>
        <v/>
      </c>
      <c r="B175" s="41" t="str">
        <f>IF(Trades!$A175="","",Trades!B175)</f>
        <v/>
      </c>
      <c r="C175" s="41" t="str">
        <f>IF(Trades!$A175="","",Trades!C175)</f>
        <v/>
      </c>
      <c r="D175" s="42" t="str">
        <f>IF(Trades!$A175="","",IF(Trades!$L175&gt;0,Trades!$L175,Trades!$C$6))</f>
        <v/>
      </c>
      <c r="E175" s="43" t="str">
        <f>IF(Trades!$A175="","",Trades!A175)</f>
        <v/>
      </c>
      <c r="F175" s="41" t="str">
        <f>IF(Trades!$A175="","",IFERROR(INDEX(Trades!$V$2:$V$14,MATCH(Trades!$E175,Trades!$U$2:$U$14,0)),""))</f>
        <v/>
      </c>
      <c r="G175" s="41" t="str">
        <f>IF(Trades!$A175="","",Trades!N175)</f>
        <v/>
      </c>
      <c r="H175" s="42" t="str">
        <f>IF(Trades!$A175="","",Trades!F175)</f>
        <v/>
      </c>
      <c r="I175" s="44" t="str">
        <f>IF(Trades!$A175="","",Trades!G175)</f>
        <v/>
      </c>
      <c r="J175" s="44" t="str">
        <f>IF(Trades!$A175="","",Trades!I175)</f>
        <v/>
      </c>
      <c r="K175" s="44" t="str">
        <f>IF(Trades!$A175="","",Trades!Q175)</f>
        <v/>
      </c>
      <c r="L175" s="42" t="str">
        <f>IF(Trades!$A175="","",Trades!F175)</f>
        <v/>
      </c>
      <c r="M175" s="44" t="str">
        <f>IF(Trades!$A175="","",Trades!M175)</f>
        <v/>
      </c>
      <c r="N175" s="44" t="str">
        <f>IF(Trades!$A175="","",Trades!R175)</f>
        <v/>
      </c>
      <c r="O175" s="44" t="str">
        <f>IF(Trades!$A175="","",Trades!J175)</f>
        <v/>
      </c>
      <c r="P175" s="43" t="str">
        <f>IF(Trades!$A175="","",Trades!H175)</f>
        <v/>
      </c>
      <c r="Q175" s="41" t="str">
        <f>IF(Trades!$A175="","",Trades!P175)</f>
        <v/>
      </c>
      <c r="R175" s="45" t="str">
        <f t="shared" si="34"/>
        <v/>
      </c>
      <c r="S175" s="45" t="str">
        <f t="shared" si="35"/>
        <v/>
      </c>
      <c r="T175" s="46" t="str">
        <f>IF(OR($A175="",$B175=""),"",IF(AND(IFERROR(LOOKUP(2,1/($B$9:$B$174=$B175),$AR$9:$AR174),1),NOT(AND(OR($F175="dividend",$F175="fee"),IFERROR(LOOKUP(2,1/($B$9:$B$174=$B175),$T$9:$T174),0)&gt;0))),IFERROR(LOOKUP(2,1/($B$9:$B$174=$B175),$T$9:$T174),0)+1,IFERROR(LOOKUP(2,1/($B$9:$B$174=$B175),$T$9:$T174),0)))</f>
        <v/>
      </c>
      <c r="U175" s="47" t="str">
        <f t="shared" si="36"/>
        <v/>
      </c>
      <c r="V175" s="47" t="str">
        <f>IF($A175="","",IF(OR($B175="",$C175="",$D175="",$E175="",$F175=""),"Missing required field",IF(COUNTIFS($A$9:$A175,$A175,$B$9:$B175,$B175)&gt;1,"Duplicate event ID",IF(AND($E175&lt;&gt;IFERROR(LOOKUP(2,1/($B$9:$B$174=$B175),$E$9:$E174),0),IFERROR(LOOKUP(2,1/($B$9:$B$174=$B175),$E$9:$E174),0)&gt;$E175),"Date out of order",IF(AND(OR($F175="buy_to_close",$F175="expire",$F175="roll",$F175="assignment",$F175="called_away"),$AF175=0),"Unknown lot",IF(OR(AND($F175="assignment",$AF175&gt;0,IF($AF175&gt;0,INDEX($AG$9:$AG$174,$AF175),"")&lt;&gt;"put"),AND($F175="called_away",$AF175&gt;0,IF($AF175&gt;0,INDEX($AG$9:$AG$174,$AF175),"")&lt;&gt;"call")),"Wrong option leg",IF(OR(AND(OR($F175="sell_put",$F175="sell_call"),OR($H175&lt;=0,$I175&lt;=0,$J175&lt;0)),AND(OR($F175="buy_to_close",$F175="expire",$F175="assignment",$F175="called_away"),OR($H175&lt;=0,$J175&lt;0)),AND($F175="roll",OR($H175&lt;=0,$I175&lt;=0,$J175&lt;0,$K175&lt;0)),AND(OR($F175="buy_shares",$F175="sell_shares"),OR($L175&lt;=0,$M175&lt;0)),AND(OR($F175="dividend",$F175="fee"),$N175&lt;0)),"Invalid value",IF(AND(OR($F175="sell_shares",$F175="called_away"),$AL175&lt;IF($F175="called_away",$AE175*$D175,$L175)),"Insufficient shares (capped)",IF(AND(OR($F175="buy_to_close",$F175="expire",$F175="roll",$F175="assignment",$F175="called_away"),$AF175&gt;0,$H175&gt;IF($AF175&gt;0,MAX(0,INDEX($AI$9:$AI$174,$AF175)-SUMIFS($AE$9:$AE$174,$G$9:$G$174,$G175,$B$9:$B$174,$B175)),0)),"Close quantity capped","OK")))))))))</f>
        <v/>
      </c>
      <c r="W175" s="48" t="str">
        <f t="shared" si="37"/>
        <v/>
      </c>
      <c r="X175" s="49" t="str">
        <f t="shared" si="38"/>
        <v/>
      </c>
      <c r="Y175" s="50" t="str">
        <f t="shared" si="39"/>
        <v/>
      </c>
      <c r="Z175" s="50" t="str">
        <f t="shared" si="40"/>
        <v/>
      </c>
      <c r="AA175" s="50" t="str">
        <f t="shared" si="41"/>
        <v/>
      </c>
      <c r="AB175" s="50" t="str">
        <f t="shared" si="42"/>
        <v/>
      </c>
      <c r="AC175" s="50" t="str">
        <f>IF($A175="","",IF($F175="assignment",IF($AF175&gt;0,INDEX($AH$9:$AH$174,$AF175),0)*$AE175*$D175,IF($F175="buy_shares",$M175*$AL175,0)))</f>
        <v/>
      </c>
      <c r="AD175" s="50" t="str">
        <f>IF($A175="","",IF($F175="called_away",IF($AF175&gt;0,INDEX($AH$9:$AH$174,$AF175),0)*$AL175,IF($F175="sell_shares",$M175*$AL175,0)))</f>
        <v/>
      </c>
      <c r="AE175" s="51" t="str">
        <f>IF($A175="","",IF(OR($F175="sell_put",$F175="sell_call"),IF(AND($H175&gt;0,$I175&gt;0,$J175&gt;=0),$H175,0),IF(OR($F175="buy_to_close",$F175="expire",$F175="roll",$F175="assignment",$F175="called_away"),IF(AND($AF175&gt;0,$H175&gt;0,IF($F175="assignment",IF($AF175&gt;0,INDEX($AG$9:$AG$174,$AF175),"")="put",TRUE),IF($F175="called_away",IF($AF175&gt;0,INDEX($AG$9:$AG$174,$AF175),"")="call",TRUE)),MIN($H175,IF($AF175&gt;0,MAX(0,INDEX($AI$9:$AI$174,$AF175)-SUMIFS($AE$9:$AE$174,$G$9:$G$174,$G175,$B$9:$B$174,$B175)),0)),0),0)))</f>
        <v/>
      </c>
      <c r="AF175" t="str">
        <f>IF($A175="","",IFERROR(MATCH(LEN($B175)&amp;":"&amp;$B175&amp;$G175,$AY$9:$AY$174,0),0))</f>
        <v/>
      </c>
      <c r="AG175" t="str">
        <f>IF($A175="","",IF($F175="sell_put","put",IF($F175="sell_call","call",IF($F175="roll",IF($AF175&gt;0,IF($AF175&gt;0,INDEX($AG$9:$AG$174,$AF175),""),""),IF($AF175&gt;0,IF($AF175&gt;0,INDEX($AG$9:$AG$174,$AF175),""),"")))))</f>
        <v/>
      </c>
      <c r="AH175" t="str">
        <f>IF($A175="","",IF(OR($F175="sell_put",$F175="sell_call",$F175="roll"),$I175,IF($AF175&gt;0,IF($AF175&gt;0,INDEX($AH$9:$AH$174,$AF175),0),0)))</f>
        <v/>
      </c>
      <c r="AI175" s="51" t="str">
        <f t="shared" si="43"/>
        <v/>
      </c>
      <c r="AJ175" s="51" t="str">
        <f>IF($A175="","",IFERROR(LOOKUP(2,1/($B$9:$B$174=$B175),$AM$9:$AM174),0))</f>
        <v/>
      </c>
      <c r="AK175" t="str">
        <f>IF($A175="","",IFERROR(LOOKUP(2,1/($B$9:$B$174=$B175),$AN$9:$AN174),0))</f>
        <v/>
      </c>
      <c r="AL175" s="51" t="str">
        <f t="shared" si="44"/>
        <v/>
      </c>
      <c r="AM175" s="51" t="str">
        <f t="shared" si="45"/>
        <v/>
      </c>
      <c r="AN175" t="str">
        <f t="shared" si="46"/>
        <v/>
      </c>
      <c r="AO175" s="50" t="str">
        <f>IF($A175="","",IFERROR(LOOKUP(2,1/($B$9:$B$174=$B175),$AO$9:$AO174),0)+IF($F175="sell_put",$I175*$AE175*$D175,IF($F175="roll",IF($AG175="put",($I175-IF($AF175&gt;0,INDEX($AH$9:$AH$174,$AF175),0))*$AE175*$D175,0),IF(AND(OR($F175="buy_to_close",$F175="expire",$F175="roll",$F175="assignment",$F175="called_away"),$F175&lt;&gt;"roll",$AG175="put"),-IF($AF175&gt;0,INDEX($AH$9:$AH$174,$AF175),0)*$AE175*$D175,0))))</f>
        <v/>
      </c>
      <c r="AP175" s="51" t="str">
        <f>IF($A175="","",IFERROR(LOOKUP(2,1/($B$9:$B$174=$B175),$AP$9:$AP174),0)+IF($F175="sell_put",$AE175*$D175,IF(AND(OR($F175="buy_to_close",$F175="expire",$F175="roll",$F175="assignment",$F175="called_away"),$F175&lt;&gt;"roll",$AG175="put"),-$AE175*$D175,0)))</f>
        <v/>
      </c>
      <c r="AQ175" s="51" t="str">
        <f>IF($A175="","",IFERROR(LOOKUP(2,1/($B$9:$B$174=$B175),$AQ$9:$AQ174),0)+IF(OR($F175="sell_put",$F175="sell_call"),$AE175,0)-IF(AND(OR($F175="buy_to_close",$F175="expire",$F175="roll",$F175="assignment",$F175="called_away"),$F175&lt;&gt;"roll"),$AE175,0))</f>
        <v/>
      </c>
      <c r="AR175" t="str">
        <f t="shared" si="47"/>
        <v/>
      </c>
      <c r="AS175" s="50" t="str">
        <f t="shared" si="48"/>
        <v/>
      </c>
      <c r="AT175" s="50" t="str">
        <f>IF($A175="","",MAX(IF($T175=IFERROR(LOOKUP(2,1/($B$9:$B$174=$B175),$T$9:$T174),0),IFERROR(LOOKUP(2,1/($B$9:$B$174=$B175),$AT$9:$AT174),0),0),$AS175))</f>
        <v/>
      </c>
      <c r="AU175" t="str">
        <f t="shared" si="49"/>
        <v/>
      </c>
      <c r="AV175" s="51">
        <f>IF($AU175="",0,IF(AND(IFERROR(LOOKUP(2,1/($B$9:$B$174=$B175),$AR$9:$AR174),1),NOT(AND(OR($F175="dividend",$F175="fee"),IFERROR(LOOKUP(2,1/($B$9:$B$174=$B175),$T$9:$T174),0)&gt;0))),ROW(),0))</f>
        <v>0</v>
      </c>
      <c r="AW175">
        <f>IF($A175="",0,IF($AV175&gt;0,MAX($AW$9:$AW$174)+1,MAX($AW$9:$AW$174)))</f>
        <v>0</v>
      </c>
      <c r="AX175">
        <f>IF($AU175="",0,IF(AND($AR175,OR(NOT(IFERROR(LOOKUP(2,1/($B$9:$B$174=$B175),$AR$9:$AR174),1)),IFERROR(LOOKUP(2,1/($B$9:$B$174=$B175),$T$9:$T174),0)=0)),ROW(),0))</f>
        <v>0</v>
      </c>
      <c r="AY175" t="str">
        <f t="shared" si="50"/>
        <v/>
      </c>
    </row>
    <row r="176" spans="1:51" ht="15" x14ac:dyDescent="0.25">
      <c r="A176" s="52" t="str">
        <f>IF(Trades!$A176="","",Trades!O176)</f>
        <v/>
      </c>
      <c r="B176" s="52" t="str">
        <f>IF(Trades!$A176="","",Trades!B176)</f>
        <v/>
      </c>
      <c r="C176" s="52" t="str">
        <f>IF(Trades!$A176="","",Trades!C176)</f>
        <v/>
      </c>
      <c r="D176" s="53" t="str">
        <f>IF(Trades!$A176="","",IF(Trades!$L176&gt;0,Trades!$L176,Trades!$C$6))</f>
        <v/>
      </c>
      <c r="E176" s="54" t="str">
        <f>IF(Trades!$A176="","",Trades!A176)</f>
        <v/>
      </c>
      <c r="F176" s="52" t="str">
        <f>IF(Trades!$A176="","",IFERROR(INDEX(Trades!$V$2:$V$14,MATCH(Trades!$E176,Trades!$U$2:$U$14,0)),""))</f>
        <v/>
      </c>
      <c r="G176" s="52" t="str">
        <f>IF(Trades!$A176="","",Trades!N176)</f>
        <v/>
      </c>
      <c r="H176" s="53" t="str">
        <f>IF(Trades!$A176="","",Trades!F176)</f>
        <v/>
      </c>
      <c r="I176" s="55" t="str">
        <f>IF(Trades!$A176="","",Trades!G176)</f>
        <v/>
      </c>
      <c r="J176" s="55" t="str">
        <f>IF(Trades!$A176="","",Trades!I176)</f>
        <v/>
      </c>
      <c r="K176" s="55" t="str">
        <f>IF(Trades!$A176="","",Trades!Q176)</f>
        <v/>
      </c>
      <c r="L176" s="53" t="str">
        <f>IF(Trades!$A176="","",Trades!F176)</f>
        <v/>
      </c>
      <c r="M176" s="55" t="str">
        <f>IF(Trades!$A176="","",Trades!M176)</f>
        <v/>
      </c>
      <c r="N176" s="55" t="str">
        <f>IF(Trades!$A176="","",Trades!R176)</f>
        <v/>
      </c>
      <c r="O176" s="55" t="str">
        <f>IF(Trades!$A176="","",Trades!J176)</f>
        <v/>
      </c>
      <c r="P176" s="54" t="str">
        <f>IF(Trades!$A176="","",Trades!H176)</f>
        <v/>
      </c>
      <c r="Q176" s="52" t="str">
        <f>IF(Trades!$A176="","",Trades!P176)</f>
        <v/>
      </c>
      <c r="R176" s="56" t="str">
        <f t="shared" si="34"/>
        <v/>
      </c>
      <c r="S176" s="56" t="str">
        <f t="shared" si="35"/>
        <v/>
      </c>
      <c r="T176" s="57" t="str">
        <f>IF(OR($A176="",$B176=""),"",IF(AND(IFERROR(LOOKUP(2,1/($B$9:$B$175=$B176),$AR$9:$AR175),1),NOT(AND(OR($F176="dividend",$F176="fee"),IFERROR(LOOKUP(2,1/($B$9:$B$175=$B176),$T$9:$T175),0)&gt;0))),IFERROR(LOOKUP(2,1/($B$9:$B$175=$B176),$T$9:$T175),0)+1,IFERROR(LOOKUP(2,1/($B$9:$B$175=$B176),$T$9:$T175),0)))</f>
        <v/>
      </c>
      <c r="U176" s="58" t="str">
        <f t="shared" si="36"/>
        <v/>
      </c>
      <c r="V176" s="58" t="str">
        <f>IF($A176="","",IF(OR($B176="",$C176="",$D176="",$E176="",$F176=""),"Missing required field",IF(COUNTIFS($A$9:$A176,$A176,$B$9:$B176,$B176)&gt;1,"Duplicate event ID",IF(AND($E176&lt;&gt;IFERROR(LOOKUP(2,1/($B$9:$B$175=$B176),$E$9:$E175),0),IFERROR(LOOKUP(2,1/($B$9:$B$175=$B176),$E$9:$E175),0)&gt;$E176),"Date out of order",IF(AND(OR($F176="buy_to_close",$F176="expire",$F176="roll",$F176="assignment",$F176="called_away"),$AF176=0),"Unknown lot",IF(OR(AND($F176="assignment",$AF176&gt;0,IF($AF176&gt;0,INDEX($AG$9:$AG$175,$AF176),"")&lt;&gt;"put"),AND($F176="called_away",$AF176&gt;0,IF($AF176&gt;0,INDEX($AG$9:$AG$175,$AF176),"")&lt;&gt;"call")),"Wrong option leg",IF(OR(AND(OR($F176="sell_put",$F176="sell_call"),OR($H176&lt;=0,$I176&lt;=0,$J176&lt;0)),AND(OR($F176="buy_to_close",$F176="expire",$F176="assignment",$F176="called_away"),OR($H176&lt;=0,$J176&lt;0)),AND($F176="roll",OR($H176&lt;=0,$I176&lt;=0,$J176&lt;0,$K176&lt;0)),AND(OR($F176="buy_shares",$F176="sell_shares"),OR($L176&lt;=0,$M176&lt;0)),AND(OR($F176="dividend",$F176="fee"),$N176&lt;0)),"Invalid value",IF(AND(OR($F176="sell_shares",$F176="called_away"),$AL176&lt;IF($F176="called_away",$AE176*$D176,$L176)),"Insufficient shares (capped)",IF(AND(OR($F176="buy_to_close",$F176="expire",$F176="roll",$F176="assignment",$F176="called_away"),$AF176&gt;0,$H176&gt;IF($AF176&gt;0,MAX(0,INDEX($AI$9:$AI$175,$AF176)-SUMIFS($AE$9:$AE$175,$G$9:$G$175,$G176,$B$9:$B$175,$B176)),0)),"Close quantity capped","OK")))))))))</f>
        <v/>
      </c>
      <c r="W176" s="59" t="str">
        <f t="shared" si="37"/>
        <v/>
      </c>
      <c r="X176" s="60" t="str">
        <f t="shared" si="38"/>
        <v/>
      </c>
      <c r="Y176" s="50" t="str">
        <f t="shared" si="39"/>
        <v/>
      </c>
      <c r="Z176" s="50" t="str">
        <f t="shared" si="40"/>
        <v/>
      </c>
      <c r="AA176" s="50" t="str">
        <f t="shared" si="41"/>
        <v/>
      </c>
      <c r="AB176" s="50" t="str">
        <f t="shared" si="42"/>
        <v/>
      </c>
      <c r="AC176" s="50" t="str">
        <f>IF($A176="","",IF($F176="assignment",IF($AF176&gt;0,INDEX($AH$9:$AH$175,$AF176),0)*$AE176*$D176,IF($F176="buy_shares",$M176*$AL176,0)))</f>
        <v/>
      </c>
      <c r="AD176" s="50" t="str">
        <f>IF($A176="","",IF($F176="called_away",IF($AF176&gt;0,INDEX($AH$9:$AH$175,$AF176),0)*$AL176,IF($F176="sell_shares",$M176*$AL176,0)))</f>
        <v/>
      </c>
      <c r="AE176" s="51" t="str">
        <f>IF($A176="","",IF(OR($F176="sell_put",$F176="sell_call"),IF(AND($H176&gt;0,$I176&gt;0,$J176&gt;=0),$H176,0),IF(OR($F176="buy_to_close",$F176="expire",$F176="roll",$F176="assignment",$F176="called_away"),IF(AND($AF176&gt;0,$H176&gt;0,IF($F176="assignment",IF($AF176&gt;0,INDEX($AG$9:$AG$175,$AF176),"")="put",TRUE),IF($F176="called_away",IF($AF176&gt;0,INDEX($AG$9:$AG$175,$AF176),"")="call",TRUE)),MIN($H176,IF($AF176&gt;0,MAX(0,INDEX($AI$9:$AI$175,$AF176)-SUMIFS($AE$9:$AE$175,$G$9:$G$175,$G176,$B$9:$B$175,$B176)),0)),0),0)))</f>
        <v/>
      </c>
      <c r="AF176" t="str">
        <f>IF($A176="","",IFERROR(MATCH(LEN($B176)&amp;":"&amp;$B176&amp;$G176,$AY$9:$AY$175,0),0))</f>
        <v/>
      </c>
      <c r="AG176" t="str">
        <f>IF($A176="","",IF($F176="sell_put","put",IF($F176="sell_call","call",IF($F176="roll",IF($AF176&gt;0,IF($AF176&gt;0,INDEX($AG$9:$AG$175,$AF176),""),""),IF($AF176&gt;0,IF($AF176&gt;0,INDEX($AG$9:$AG$175,$AF176),""),"")))))</f>
        <v/>
      </c>
      <c r="AH176" t="str">
        <f>IF($A176="","",IF(OR($F176="sell_put",$F176="sell_call",$F176="roll"),$I176,IF($AF176&gt;0,IF($AF176&gt;0,INDEX($AH$9:$AH$175,$AF176),0),0)))</f>
        <v/>
      </c>
      <c r="AI176" s="51" t="str">
        <f t="shared" si="43"/>
        <v/>
      </c>
      <c r="AJ176" s="51" t="str">
        <f>IF($A176="","",IFERROR(LOOKUP(2,1/($B$9:$B$175=$B176),$AM$9:$AM175),0))</f>
        <v/>
      </c>
      <c r="AK176" t="str">
        <f>IF($A176="","",IFERROR(LOOKUP(2,1/($B$9:$B$175=$B176),$AN$9:$AN175),0))</f>
        <v/>
      </c>
      <c r="AL176" s="51" t="str">
        <f t="shared" si="44"/>
        <v/>
      </c>
      <c r="AM176" s="51" t="str">
        <f t="shared" si="45"/>
        <v/>
      </c>
      <c r="AN176" t="str">
        <f t="shared" si="46"/>
        <v/>
      </c>
      <c r="AO176" s="50" t="str">
        <f>IF($A176="","",IFERROR(LOOKUP(2,1/($B$9:$B$175=$B176),$AO$9:$AO175),0)+IF($F176="sell_put",$I176*$AE176*$D176,IF($F176="roll",IF($AG176="put",($I176-IF($AF176&gt;0,INDEX($AH$9:$AH$175,$AF176),0))*$AE176*$D176,0),IF(AND(OR($F176="buy_to_close",$F176="expire",$F176="roll",$F176="assignment",$F176="called_away"),$F176&lt;&gt;"roll",$AG176="put"),-IF($AF176&gt;0,INDEX($AH$9:$AH$175,$AF176),0)*$AE176*$D176,0))))</f>
        <v/>
      </c>
      <c r="AP176" s="51" t="str">
        <f>IF($A176="","",IFERROR(LOOKUP(2,1/($B$9:$B$175=$B176),$AP$9:$AP175),0)+IF($F176="sell_put",$AE176*$D176,IF(AND(OR($F176="buy_to_close",$F176="expire",$F176="roll",$F176="assignment",$F176="called_away"),$F176&lt;&gt;"roll",$AG176="put"),-$AE176*$D176,0)))</f>
        <v/>
      </c>
      <c r="AQ176" s="51" t="str">
        <f>IF($A176="","",IFERROR(LOOKUP(2,1/($B$9:$B$175=$B176),$AQ$9:$AQ175),0)+IF(OR($F176="sell_put",$F176="sell_call"),$AE176,0)-IF(AND(OR($F176="buy_to_close",$F176="expire",$F176="roll",$F176="assignment",$F176="called_away"),$F176&lt;&gt;"roll"),$AE176,0))</f>
        <v/>
      </c>
      <c r="AR176" t="str">
        <f t="shared" si="47"/>
        <v/>
      </c>
      <c r="AS176" s="50" t="str">
        <f t="shared" si="48"/>
        <v/>
      </c>
      <c r="AT176" s="50" t="str">
        <f>IF($A176="","",MAX(IF($T176=IFERROR(LOOKUP(2,1/($B$9:$B$175=$B176),$T$9:$T175),0),IFERROR(LOOKUP(2,1/($B$9:$B$175=$B176),$AT$9:$AT175),0),0),$AS176))</f>
        <v/>
      </c>
      <c r="AU176" t="str">
        <f t="shared" si="49"/>
        <v/>
      </c>
      <c r="AV176" s="51">
        <f>IF($AU176="",0,IF(AND(IFERROR(LOOKUP(2,1/($B$9:$B$175=$B176),$AR$9:$AR175),1),NOT(AND(OR($F176="dividend",$F176="fee"),IFERROR(LOOKUP(2,1/($B$9:$B$175=$B176),$T$9:$T175),0)&gt;0))),ROW(),0))</f>
        <v>0</v>
      </c>
      <c r="AW176">
        <f>IF($A176="",0,IF($AV176&gt;0,MAX($AW$9:$AW$175)+1,MAX($AW$9:$AW$175)))</f>
        <v>0</v>
      </c>
      <c r="AX176">
        <f>IF($AU176="",0,IF(AND($AR176,OR(NOT(IFERROR(LOOKUP(2,1/($B$9:$B$175=$B176),$AR$9:$AR175),1)),IFERROR(LOOKUP(2,1/($B$9:$B$175=$B176),$T$9:$T175),0)=0)),ROW(),0))</f>
        <v>0</v>
      </c>
      <c r="AY176" t="str">
        <f t="shared" si="50"/>
        <v/>
      </c>
    </row>
    <row r="177" spans="1:51" ht="15" x14ac:dyDescent="0.25">
      <c r="A177" s="41" t="str">
        <f>IF(Trades!$A177="","",Trades!O177)</f>
        <v/>
      </c>
      <c r="B177" s="41" t="str">
        <f>IF(Trades!$A177="","",Trades!B177)</f>
        <v/>
      </c>
      <c r="C177" s="41" t="str">
        <f>IF(Trades!$A177="","",Trades!C177)</f>
        <v/>
      </c>
      <c r="D177" s="42" t="str">
        <f>IF(Trades!$A177="","",IF(Trades!$L177&gt;0,Trades!$L177,Trades!$C$6))</f>
        <v/>
      </c>
      <c r="E177" s="43" t="str">
        <f>IF(Trades!$A177="","",Trades!A177)</f>
        <v/>
      </c>
      <c r="F177" s="41" t="str">
        <f>IF(Trades!$A177="","",IFERROR(INDEX(Trades!$V$2:$V$14,MATCH(Trades!$E177,Trades!$U$2:$U$14,0)),""))</f>
        <v/>
      </c>
      <c r="G177" s="41" t="str">
        <f>IF(Trades!$A177="","",Trades!N177)</f>
        <v/>
      </c>
      <c r="H177" s="42" t="str">
        <f>IF(Trades!$A177="","",Trades!F177)</f>
        <v/>
      </c>
      <c r="I177" s="44" t="str">
        <f>IF(Trades!$A177="","",Trades!G177)</f>
        <v/>
      </c>
      <c r="J177" s="44" t="str">
        <f>IF(Trades!$A177="","",Trades!I177)</f>
        <v/>
      </c>
      <c r="K177" s="44" t="str">
        <f>IF(Trades!$A177="","",Trades!Q177)</f>
        <v/>
      </c>
      <c r="L177" s="42" t="str">
        <f>IF(Trades!$A177="","",Trades!F177)</f>
        <v/>
      </c>
      <c r="M177" s="44" t="str">
        <f>IF(Trades!$A177="","",Trades!M177)</f>
        <v/>
      </c>
      <c r="N177" s="44" t="str">
        <f>IF(Trades!$A177="","",Trades!R177)</f>
        <v/>
      </c>
      <c r="O177" s="44" t="str">
        <f>IF(Trades!$A177="","",Trades!J177)</f>
        <v/>
      </c>
      <c r="P177" s="43" t="str">
        <f>IF(Trades!$A177="","",Trades!H177)</f>
        <v/>
      </c>
      <c r="Q177" s="41" t="str">
        <f>IF(Trades!$A177="","",Trades!P177)</f>
        <v/>
      </c>
      <c r="R177" s="45" t="str">
        <f t="shared" si="34"/>
        <v/>
      </c>
      <c r="S177" s="45" t="str">
        <f t="shared" si="35"/>
        <v/>
      </c>
      <c r="T177" s="46" t="str">
        <f>IF(OR($A177="",$B177=""),"",IF(AND(IFERROR(LOOKUP(2,1/($B$9:$B$176=$B177),$AR$9:$AR176),1),NOT(AND(OR($F177="dividend",$F177="fee"),IFERROR(LOOKUP(2,1/($B$9:$B$176=$B177),$T$9:$T176),0)&gt;0))),IFERROR(LOOKUP(2,1/($B$9:$B$176=$B177),$T$9:$T176),0)+1,IFERROR(LOOKUP(2,1/($B$9:$B$176=$B177),$T$9:$T176),0)))</f>
        <v/>
      </c>
      <c r="U177" s="47" t="str">
        <f t="shared" si="36"/>
        <v/>
      </c>
      <c r="V177" s="47" t="str">
        <f>IF($A177="","",IF(OR($B177="",$C177="",$D177="",$E177="",$F177=""),"Missing required field",IF(COUNTIFS($A$9:$A177,$A177,$B$9:$B177,$B177)&gt;1,"Duplicate event ID",IF(AND($E177&lt;&gt;IFERROR(LOOKUP(2,1/($B$9:$B$176=$B177),$E$9:$E176),0),IFERROR(LOOKUP(2,1/($B$9:$B$176=$B177),$E$9:$E176),0)&gt;$E177),"Date out of order",IF(AND(OR($F177="buy_to_close",$F177="expire",$F177="roll",$F177="assignment",$F177="called_away"),$AF177=0),"Unknown lot",IF(OR(AND($F177="assignment",$AF177&gt;0,IF($AF177&gt;0,INDEX($AG$9:$AG$176,$AF177),"")&lt;&gt;"put"),AND($F177="called_away",$AF177&gt;0,IF($AF177&gt;0,INDEX($AG$9:$AG$176,$AF177),"")&lt;&gt;"call")),"Wrong option leg",IF(OR(AND(OR($F177="sell_put",$F177="sell_call"),OR($H177&lt;=0,$I177&lt;=0,$J177&lt;0)),AND(OR($F177="buy_to_close",$F177="expire",$F177="assignment",$F177="called_away"),OR($H177&lt;=0,$J177&lt;0)),AND($F177="roll",OR($H177&lt;=0,$I177&lt;=0,$J177&lt;0,$K177&lt;0)),AND(OR($F177="buy_shares",$F177="sell_shares"),OR($L177&lt;=0,$M177&lt;0)),AND(OR($F177="dividend",$F177="fee"),$N177&lt;0)),"Invalid value",IF(AND(OR($F177="sell_shares",$F177="called_away"),$AL177&lt;IF($F177="called_away",$AE177*$D177,$L177)),"Insufficient shares (capped)",IF(AND(OR($F177="buy_to_close",$F177="expire",$F177="roll",$F177="assignment",$F177="called_away"),$AF177&gt;0,$H177&gt;IF($AF177&gt;0,MAX(0,INDEX($AI$9:$AI$176,$AF177)-SUMIFS($AE$9:$AE$176,$G$9:$G$176,$G177,$B$9:$B$176,$B177)),0)),"Close quantity capped","OK")))))))))</f>
        <v/>
      </c>
      <c r="W177" s="48" t="str">
        <f t="shared" si="37"/>
        <v/>
      </c>
      <c r="X177" s="49" t="str">
        <f t="shared" si="38"/>
        <v/>
      </c>
      <c r="Y177" s="50" t="str">
        <f t="shared" si="39"/>
        <v/>
      </c>
      <c r="Z177" s="50" t="str">
        <f t="shared" si="40"/>
        <v/>
      </c>
      <c r="AA177" s="50" t="str">
        <f t="shared" si="41"/>
        <v/>
      </c>
      <c r="AB177" s="50" t="str">
        <f t="shared" si="42"/>
        <v/>
      </c>
      <c r="AC177" s="50" t="str">
        <f>IF($A177="","",IF($F177="assignment",IF($AF177&gt;0,INDEX($AH$9:$AH$176,$AF177),0)*$AE177*$D177,IF($F177="buy_shares",$M177*$AL177,0)))</f>
        <v/>
      </c>
      <c r="AD177" s="50" t="str">
        <f>IF($A177="","",IF($F177="called_away",IF($AF177&gt;0,INDEX($AH$9:$AH$176,$AF177),0)*$AL177,IF($F177="sell_shares",$M177*$AL177,0)))</f>
        <v/>
      </c>
      <c r="AE177" s="51" t="str">
        <f>IF($A177="","",IF(OR($F177="sell_put",$F177="sell_call"),IF(AND($H177&gt;0,$I177&gt;0,$J177&gt;=0),$H177,0),IF(OR($F177="buy_to_close",$F177="expire",$F177="roll",$F177="assignment",$F177="called_away"),IF(AND($AF177&gt;0,$H177&gt;0,IF($F177="assignment",IF($AF177&gt;0,INDEX($AG$9:$AG$176,$AF177),"")="put",TRUE),IF($F177="called_away",IF($AF177&gt;0,INDEX($AG$9:$AG$176,$AF177),"")="call",TRUE)),MIN($H177,IF($AF177&gt;0,MAX(0,INDEX($AI$9:$AI$176,$AF177)-SUMIFS($AE$9:$AE$176,$G$9:$G$176,$G177,$B$9:$B$176,$B177)),0)),0),0)))</f>
        <v/>
      </c>
      <c r="AF177" t="str">
        <f>IF($A177="","",IFERROR(MATCH(LEN($B177)&amp;":"&amp;$B177&amp;$G177,$AY$9:$AY$176,0),0))</f>
        <v/>
      </c>
      <c r="AG177" t="str">
        <f>IF($A177="","",IF($F177="sell_put","put",IF($F177="sell_call","call",IF($F177="roll",IF($AF177&gt;0,IF($AF177&gt;0,INDEX($AG$9:$AG$176,$AF177),""),""),IF($AF177&gt;0,IF($AF177&gt;0,INDEX($AG$9:$AG$176,$AF177),""),"")))))</f>
        <v/>
      </c>
      <c r="AH177" t="str">
        <f>IF($A177="","",IF(OR($F177="sell_put",$F177="sell_call",$F177="roll"),$I177,IF($AF177&gt;0,IF($AF177&gt;0,INDEX($AH$9:$AH$176,$AF177),0),0)))</f>
        <v/>
      </c>
      <c r="AI177" s="51" t="str">
        <f t="shared" si="43"/>
        <v/>
      </c>
      <c r="AJ177" s="51" t="str">
        <f>IF($A177="","",IFERROR(LOOKUP(2,1/($B$9:$B$176=$B177),$AM$9:$AM176),0))</f>
        <v/>
      </c>
      <c r="AK177" t="str">
        <f>IF($A177="","",IFERROR(LOOKUP(2,1/($B$9:$B$176=$B177),$AN$9:$AN176),0))</f>
        <v/>
      </c>
      <c r="AL177" s="51" t="str">
        <f t="shared" si="44"/>
        <v/>
      </c>
      <c r="AM177" s="51" t="str">
        <f t="shared" si="45"/>
        <v/>
      </c>
      <c r="AN177" t="str">
        <f t="shared" si="46"/>
        <v/>
      </c>
      <c r="AO177" s="50" t="str">
        <f>IF($A177="","",IFERROR(LOOKUP(2,1/($B$9:$B$176=$B177),$AO$9:$AO176),0)+IF($F177="sell_put",$I177*$AE177*$D177,IF($F177="roll",IF($AG177="put",($I177-IF($AF177&gt;0,INDEX($AH$9:$AH$176,$AF177),0))*$AE177*$D177,0),IF(AND(OR($F177="buy_to_close",$F177="expire",$F177="roll",$F177="assignment",$F177="called_away"),$F177&lt;&gt;"roll",$AG177="put"),-IF($AF177&gt;0,INDEX($AH$9:$AH$176,$AF177),0)*$AE177*$D177,0))))</f>
        <v/>
      </c>
      <c r="AP177" s="51" t="str">
        <f>IF($A177="","",IFERROR(LOOKUP(2,1/($B$9:$B$176=$B177),$AP$9:$AP176),0)+IF($F177="sell_put",$AE177*$D177,IF(AND(OR($F177="buy_to_close",$F177="expire",$F177="roll",$F177="assignment",$F177="called_away"),$F177&lt;&gt;"roll",$AG177="put"),-$AE177*$D177,0)))</f>
        <v/>
      </c>
      <c r="AQ177" s="51" t="str">
        <f>IF($A177="","",IFERROR(LOOKUP(2,1/($B$9:$B$176=$B177),$AQ$9:$AQ176),0)+IF(OR($F177="sell_put",$F177="sell_call"),$AE177,0)-IF(AND(OR($F177="buy_to_close",$F177="expire",$F177="roll",$F177="assignment",$F177="called_away"),$F177&lt;&gt;"roll"),$AE177,0))</f>
        <v/>
      </c>
      <c r="AR177" t="str">
        <f t="shared" si="47"/>
        <v/>
      </c>
      <c r="AS177" s="50" t="str">
        <f t="shared" si="48"/>
        <v/>
      </c>
      <c r="AT177" s="50" t="str">
        <f>IF($A177="","",MAX(IF($T177=IFERROR(LOOKUP(2,1/($B$9:$B$176=$B177),$T$9:$T176),0),IFERROR(LOOKUP(2,1/($B$9:$B$176=$B177),$AT$9:$AT176),0),0),$AS177))</f>
        <v/>
      </c>
      <c r="AU177" t="str">
        <f t="shared" si="49"/>
        <v/>
      </c>
      <c r="AV177" s="51">
        <f>IF($AU177="",0,IF(AND(IFERROR(LOOKUP(2,1/($B$9:$B$176=$B177),$AR$9:$AR176),1),NOT(AND(OR($F177="dividend",$F177="fee"),IFERROR(LOOKUP(2,1/($B$9:$B$176=$B177),$T$9:$T176),0)&gt;0))),ROW(),0))</f>
        <v>0</v>
      </c>
      <c r="AW177">
        <f>IF($A177="",0,IF($AV177&gt;0,MAX($AW$9:$AW$176)+1,MAX($AW$9:$AW$176)))</f>
        <v>0</v>
      </c>
      <c r="AX177">
        <f>IF($AU177="",0,IF(AND($AR177,OR(NOT(IFERROR(LOOKUP(2,1/($B$9:$B$176=$B177),$AR$9:$AR176),1)),IFERROR(LOOKUP(2,1/($B$9:$B$176=$B177),$T$9:$T176),0)=0)),ROW(),0))</f>
        <v>0</v>
      </c>
      <c r="AY177" t="str">
        <f t="shared" si="50"/>
        <v/>
      </c>
    </row>
    <row r="178" spans="1:51" ht="15" x14ac:dyDescent="0.25">
      <c r="A178" s="52" t="str">
        <f>IF(Trades!$A178="","",Trades!O178)</f>
        <v/>
      </c>
      <c r="B178" s="52" t="str">
        <f>IF(Trades!$A178="","",Trades!B178)</f>
        <v/>
      </c>
      <c r="C178" s="52" t="str">
        <f>IF(Trades!$A178="","",Trades!C178)</f>
        <v/>
      </c>
      <c r="D178" s="53" t="str">
        <f>IF(Trades!$A178="","",IF(Trades!$L178&gt;0,Trades!$L178,Trades!$C$6))</f>
        <v/>
      </c>
      <c r="E178" s="54" t="str">
        <f>IF(Trades!$A178="","",Trades!A178)</f>
        <v/>
      </c>
      <c r="F178" s="52" t="str">
        <f>IF(Trades!$A178="","",IFERROR(INDEX(Trades!$V$2:$V$14,MATCH(Trades!$E178,Trades!$U$2:$U$14,0)),""))</f>
        <v/>
      </c>
      <c r="G178" s="52" t="str">
        <f>IF(Trades!$A178="","",Trades!N178)</f>
        <v/>
      </c>
      <c r="H178" s="53" t="str">
        <f>IF(Trades!$A178="","",Trades!F178)</f>
        <v/>
      </c>
      <c r="I178" s="55" t="str">
        <f>IF(Trades!$A178="","",Trades!G178)</f>
        <v/>
      </c>
      <c r="J178" s="55" t="str">
        <f>IF(Trades!$A178="","",Trades!I178)</f>
        <v/>
      </c>
      <c r="K178" s="55" t="str">
        <f>IF(Trades!$A178="","",Trades!Q178)</f>
        <v/>
      </c>
      <c r="L178" s="53" t="str">
        <f>IF(Trades!$A178="","",Trades!F178)</f>
        <v/>
      </c>
      <c r="M178" s="55" t="str">
        <f>IF(Trades!$A178="","",Trades!M178)</f>
        <v/>
      </c>
      <c r="N178" s="55" t="str">
        <f>IF(Trades!$A178="","",Trades!R178)</f>
        <v/>
      </c>
      <c r="O178" s="55" t="str">
        <f>IF(Trades!$A178="","",Trades!J178)</f>
        <v/>
      </c>
      <c r="P178" s="54" t="str">
        <f>IF(Trades!$A178="","",Trades!H178)</f>
        <v/>
      </c>
      <c r="Q178" s="52" t="str">
        <f>IF(Trades!$A178="","",Trades!P178)</f>
        <v/>
      </c>
      <c r="R178" s="56" t="str">
        <f t="shared" si="34"/>
        <v/>
      </c>
      <c r="S178" s="56" t="str">
        <f t="shared" si="35"/>
        <v/>
      </c>
      <c r="T178" s="57" t="str">
        <f>IF(OR($A178="",$B178=""),"",IF(AND(IFERROR(LOOKUP(2,1/($B$9:$B$177=$B178),$AR$9:$AR177),1),NOT(AND(OR($F178="dividend",$F178="fee"),IFERROR(LOOKUP(2,1/($B$9:$B$177=$B178),$T$9:$T177),0)&gt;0))),IFERROR(LOOKUP(2,1/($B$9:$B$177=$B178),$T$9:$T177),0)+1,IFERROR(LOOKUP(2,1/($B$9:$B$177=$B178),$T$9:$T177),0)))</f>
        <v/>
      </c>
      <c r="U178" s="58" t="str">
        <f t="shared" si="36"/>
        <v/>
      </c>
      <c r="V178" s="58" t="str">
        <f>IF($A178="","",IF(OR($B178="",$C178="",$D178="",$E178="",$F178=""),"Missing required field",IF(COUNTIFS($A$9:$A178,$A178,$B$9:$B178,$B178)&gt;1,"Duplicate event ID",IF(AND($E178&lt;&gt;IFERROR(LOOKUP(2,1/($B$9:$B$177=$B178),$E$9:$E177),0),IFERROR(LOOKUP(2,1/($B$9:$B$177=$B178),$E$9:$E177),0)&gt;$E178),"Date out of order",IF(AND(OR($F178="buy_to_close",$F178="expire",$F178="roll",$F178="assignment",$F178="called_away"),$AF178=0),"Unknown lot",IF(OR(AND($F178="assignment",$AF178&gt;0,IF($AF178&gt;0,INDEX($AG$9:$AG$177,$AF178),"")&lt;&gt;"put"),AND($F178="called_away",$AF178&gt;0,IF($AF178&gt;0,INDEX($AG$9:$AG$177,$AF178),"")&lt;&gt;"call")),"Wrong option leg",IF(OR(AND(OR($F178="sell_put",$F178="sell_call"),OR($H178&lt;=0,$I178&lt;=0,$J178&lt;0)),AND(OR($F178="buy_to_close",$F178="expire",$F178="assignment",$F178="called_away"),OR($H178&lt;=0,$J178&lt;0)),AND($F178="roll",OR($H178&lt;=0,$I178&lt;=0,$J178&lt;0,$K178&lt;0)),AND(OR($F178="buy_shares",$F178="sell_shares"),OR($L178&lt;=0,$M178&lt;0)),AND(OR($F178="dividend",$F178="fee"),$N178&lt;0)),"Invalid value",IF(AND(OR($F178="sell_shares",$F178="called_away"),$AL178&lt;IF($F178="called_away",$AE178*$D178,$L178)),"Insufficient shares (capped)",IF(AND(OR($F178="buy_to_close",$F178="expire",$F178="roll",$F178="assignment",$F178="called_away"),$AF178&gt;0,$H178&gt;IF($AF178&gt;0,MAX(0,INDEX($AI$9:$AI$177,$AF178)-SUMIFS($AE$9:$AE$177,$G$9:$G$177,$G178,$B$9:$B$177,$B178)),0)),"Close quantity capped","OK")))))))))</f>
        <v/>
      </c>
      <c r="W178" s="59" t="str">
        <f t="shared" si="37"/>
        <v/>
      </c>
      <c r="X178" s="60" t="str">
        <f t="shared" si="38"/>
        <v/>
      </c>
      <c r="Y178" s="50" t="str">
        <f t="shared" si="39"/>
        <v/>
      </c>
      <c r="Z178" s="50" t="str">
        <f t="shared" si="40"/>
        <v/>
      </c>
      <c r="AA178" s="50" t="str">
        <f t="shared" si="41"/>
        <v/>
      </c>
      <c r="AB178" s="50" t="str">
        <f t="shared" si="42"/>
        <v/>
      </c>
      <c r="AC178" s="50" t="str">
        <f>IF($A178="","",IF($F178="assignment",IF($AF178&gt;0,INDEX($AH$9:$AH$177,$AF178),0)*$AE178*$D178,IF($F178="buy_shares",$M178*$AL178,0)))</f>
        <v/>
      </c>
      <c r="AD178" s="50" t="str">
        <f>IF($A178="","",IF($F178="called_away",IF($AF178&gt;0,INDEX($AH$9:$AH$177,$AF178),0)*$AL178,IF($F178="sell_shares",$M178*$AL178,0)))</f>
        <v/>
      </c>
      <c r="AE178" s="51" t="str">
        <f>IF($A178="","",IF(OR($F178="sell_put",$F178="sell_call"),IF(AND($H178&gt;0,$I178&gt;0,$J178&gt;=0),$H178,0),IF(OR($F178="buy_to_close",$F178="expire",$F178="roll",$F178="assignment",$F178="called_away"),IF(AND($AF178&gt;0,$H178&gt;0,IF($F178="assignment",IF($AF178&gt;0,INDEX($AG$9:$AG$177,$AF178),"")="put",TRUE),IF($F178="called_away",IF($AF178&gt;0,INDEX($AG$9:$AG$177,$AF178),"")="call",TRUE)),MIN($H178,IF($AF178&gt;0,MAX(0,INDEX($AI$9:$AI$177,$AF178)-SUMIFS($AE$9:$AE$177,$G$9:$G$177,$G178,$B$9:$B$177,$B178)),0)),0),0)))</f>
        <v/>
      </c>
      <c r="AF178" t="str">
        <f>IF($A178="","",IFERROR(MATCH(LEN($B178)&amp;":"&amp;$B178&amp;$G178,$AY$9:$AY$177,0),0))</f>
        <v/>
      </c>
      <c r="AG178" t="str">
        <f>IF($A178="","",IF($F178="sell_put","put",IF($F178="sell_call","call",IF($F178="roll",IF($AF178&gt;0,IF($AF178&gt;0,INDEX($AG$9:$AG$177,$AF178),""),""),IF($AF178&gt;0,IF($AF178&gt;0,INDEX($AG$9:$AG$177,$AF178),""),"")))))</f>
        <v/>
      </c>
      <c r="AH178" t="str">
        <f>IF($A178="","",IF(OR($F178="sell_put",$F178="sell_call",$F178="roll"),$I178,IF($AF178&gt;0,IF($AF178&gt;0,INDEX($AH$9:$AH$177,$AF178),0),0)))</f>
        <v/>
      </c>
      <c r="AI178" s="51" t="str">
        <f t="shared" si="43"/>
        <v/>
      </c>
      <c r="AJ178" s="51" t="str">
        <f>IF($A178="","",IFERROR(LOOKUP(2,1/($B$9:$B$177=$B178),$AM$9:$AM177),0))</f>
        <v/>
      </c>
      <c r="AK178" t="str">
        <f>IF($A178="","",IFERROR(LOOKUP(2,1/($B$9:$B$177=$B178),$AN$9:$AN177),0))</f>
        <v/>
      </c>
      <c r="AL178" s="51" t="str">
        <f t="shared" si="44"/>
        <v/>
      </c>
      <c r="AM178" s="51" t="str">
        <f t="shared" si="45"/>
        <v/>
      </c>
      <c r="AN178" t="str">
        <f t="shared" si="46"/>
        <v/>
      </c>
      <c r="AO178" s="50" t="str">
        <f>IF($A178="","",IFERROR(LOOKUP(2,1/($B$9:$B$177=$B178),$AO$9:$AO177),0)+IF($F178="sell_put",$I178*$AE178*$D178,IF($F178="roll",IF($AG178="put",($I178-IF($AF178&gt;0,INDEX($AH$9:$AH$177,$AF178),0))*$AE178*$D178,0),IF(AND(OR($F178="buy_to_close",$F178="expire",$F178="roll",$F178="assignment",$F178="called_away"),$F178&lt;&gt;"roll",$AG178="put"),-IF($AF178&gt;0,INDEX($AH$9:$AH$177,$AF178),0)*$AE178*$D178,0))))</f>
        <v/>
      </c>
      <c r="AP178" s="51" t="str">
        <f>IF($A178="","",IFERROR(LOOKUP(2,1/($B$9:$B$177=$B178),$AP$9:$AP177),0)+IF($F178="sell_put",$AE178*$D178,IF(AND(OR($F178="buy_to_close",$F178="expire",$F178="roll",$F178="assignment",$F178="called_away"),$F178&lt;&gt;"roll",$AG178="put"),-$AE178*$D178,0)))</f>
        <v/>
      </c>
      <c r="AQ178" s="51" t="str">
        <f>IF($A178="","",IFERROR(LOOKUP(2,1/($B$9:$B$177=$B178),$AQ$9:$AQ177),0)+IF(OR($F178="sell_put",$F178="sell_call"),$AE178,0)-IF(AND(OR($F178="buy_to_close",$F178="expire",$F178="roll",$F178="assignment",$F178="called_away"),$F178&lt;&gt;"roll"),$AE178,0))</f>
        <v/>
      </c>
      <c r="AR178" t="str">
        <f t="shared" si="47"/>
        <v/>
      </c>
      <c r="AS178" s="50" t="str">
        <f t="shared" si="48"/>
        <v/>
      </c>
      <c r="AT178" s="50" t="str">
        <f>IF($A178="","",MAX(IF($T178=IFERROR(LOOKUP(2,1/($B$9:$B$177=$B178),$T$9:$T177),0),IFERROR(LOOKUP(2,1/($B$9:$B$177=$B178),$AT$9:$AT177),0),0),$AS178))</f>
        <v/>
      </c>
      <c r="AU178" t="str">
        <f t="shared" si="49"/>
        <v/>
      </c>
      <c r="AV178" s="51">
        <f>IF($AU178="",0,IF(AND(IFERROR(LOOKUP(2,1/($B$9:$B$177=$B178),$AR$9:$AR177),1),NOT(AND(OR($F178="dividend",$F178="fee"),IFERROR(LOOKUP(2,1/($B$9:$B$177=$B178),$T$9:$T177),0)&gt;0))),ROW(),0))</f>
        <v>0</v>
      </c>
      <c r="AW178">
        <f>IF($A178="",0,IF($AV178&gt;0,MAX($AW$9:$AW$177)+1,MAX($AW$9:$AW$177)))</f>
        <v>0</v>
      </c>
      <c r="AX178">
        <f>IF($AU178="",0,IF(AND($AR178,OR(NOT(IFERROR(LOOKUP(2,1/($B$9:$B$177=$B178),$AR$9:$AR177),1)),IFERROR(LOOKUP(2,1/($B$9:$B$177=$B178),$T$9:$T177),0)=0)),ROW(),0))</f>
        <v>0</v>
      </c>
      <c r="AY178" t="str">
        <f t="shared" si="50"/>
        <v/>
      </c>
    </row>
    <row r="179" spans="1:51" ht="15" x14ac:dyDescent="0.25">
      <c r="A179" s="41" t="str">
        <f>IF(Trades!$A179="","",Trades!O179)</f>
        <v/>
      </c>
      <c r="B179" s="41" t="str">
        <f>IF(Trades!$A179="","",Trades!B179)</f>
        <v/>
      </c>
      <c r="C179" s="41" t="str">
        <f>IF(Trades!$A179="","",Trades!C179)</f>
        <v/>
      </c>
      <c r="D179" s="42" t="str">
        <f>IF(Trades!$A179="","",IF(Trades!$L179&gt;0,Trades!$L179,Trades!$C$6))</f>
        <v/>
      </c>
      <c r="E179" s="43" t="str">
        <f>IF(Trades!$A179="","",Trades!A179)</f>
        <v/>
      </c>
      <c r="F179" s="41" t="str">
        <f>IF(Trades!$A179="","",IFERROR(INDEX(Trades!$V$2:$V$14,MATCH(Trades!$E179,Trades!$U$2:$U$14,0)),""))</f>
        <v/>
      </c>
      <c r="G179" s="41" t="str">
        <f>IF(Trades!$A179="","",Trades!N179)</f>
        <v/>
      </c>
      <c r="H179" s="42" t="str">
        <f>IF(Trades!$A179="","",Trades!F179)</f>
        <v/>
      </c>
      <c r="I179" s="44" t="str">
        <f>IF(Trades!$A179="","",Trades!G179)</f>
        <v/>
      </c>
      <c r="J179" s="44" t="str">
        <f>IF(Trades!$A179="","",Trades!I179)</f>
        <v/>
      </c>
      <c r="K179" s="44" t="str">
        <f>IF(Trades!$A179="","",Trades!Q179)</f>
        <v/>
      </c>
      <c r="L179" s="42" t="str">
        <f>IF(Trades!$A179="","",Trades!F179)</f>
        <v/>
      </c>
      <c r="M179" s="44" t="str">
        <f>IF(Trades!$A179="","",Trades!M179)</f>
        <v/>
      </c>
      <c r="N179" s="44" t="str">
        <f>IF(Trades!$A179="","",Trades!R179)</f>
        <v/>
      </c>
      <c r="O179" s="44" t="str">
        <f>IF(Trades!$A179="","",Trades!J179)</f>
        <v/>
      </c>
      <c r="P179" s="43" t="str">
        <f>IF(Trades!$A179="","",Trades!H179)</f>
        <v/>
      </c>
      <c r="Q179" s="41" t="str">
        <f>IF(Trades!$A179="","",Trades!P179)</f>
        <v/>
      </c>
      <c r="R179" s="45" t="str">
        <f t="shared" si="34"/>
        <v/>
      </c>
      <c r="S179" s="45" t="str">
        <f t="shared" si="35"/>
        <v/>
      </c>
      <c r="T179" s="46" t="str">
        <f>IF(OR($A179="",$B179=""),"",IF(AND(IFERROR(LOOKUP(2,1/($B$9:$B$178=$B179),$AR$9:$AR178),1),NOT(AND(OR($F179="dividend",$F179="fee"),IFERROR(LOOKUP(2,1/($B$9:$B$178=$B179),$T$9:$T178),0)&gt;0))),IFERROR(LOOKUP(2,1/($B$9:$B$178=$B179),$T$9:$T178),0)+1,IFERROR(LOOKUP(2,1/($B$9:$B$178=$B179),$T$9:$T178),0)))</f>
        <v/>
      </c>
      <c r="U179" s="47" t="str">
        <f t="shared" si="36"/>
        <v/>
      </c>
      <c r="V179" s="47" t="str">
        <f>IF($A179="","",IF(OR($B179="",$C179="",$D179="",$E179="",$F179=""),"Missing required field",IF(COUNTIFS($A$9:$A179,$A179,$B$9:$B179,$B179)&gt;1,"Duplicate event ID",IF(AND($E179&lt;&gt;IFERROR(LOOKUP(2,1/($B$9:$B$178=$B179),$E$9:$E178),0),IFERROR(LOOKUP(2,1/($B$9:$B$178=$B179),$E$9:$E178),0)&gt;$E179),"Date out of order",IF(AND(OR($F179="buy_to_close",$F179="expire",$F179="roll",$F179="assignment",$F179="called_away"),$AF179=0),"Unknown lot",IF(OR(AND($F179="assignment",$AF179&gt;0,IF($AF179&gt;0,INDEX($AG$9:$AG$178,$AF179),"")&lt;&gt;"put"),AND($F179="called_away",$AF179&gt;0,IF($AF179&gt;0,INDEX($AG$9:$AG$178,$AF179),"")&lt;&gt;"call")),"Wrong option leg",IF(OR(AND(OR($F179="sell_put",$F179="sell_call"),OR($H179&lt;=0,$I179&lt;=0,$J179&lt;0)),AND(OR($F179="buy_to_close",$F179="expire",$F179="assignment",$F179="called_away"),OR($H179&lt;=0,$J179&lt;0)),AND($F179="roll",OR($H179&lt;=0,$I179&lt;=0,$J179&lt;0,$K179&lt;0)),AND(OR($F179="buy_shares",$F179="sell_shares"),OR($L179&lt;=0,$M179&lt;0)),AND(OR($F179="dividend",$F179="fee"),$N179&lt;0)),"Invalid value",IF(AND(OR($F179="sell_shares",$F179="called_away"),$AL179&lt;IF($F179="called_away",$AE179*$D179,$L179)),"Insufficient shares (capped)",IF(AND(OR($F179="buy_to_close",$F179="expire",$F179="roll",$F179="assignment",$F179="called_away"),$AF179&gt;0,$H179&gt;IF($AF179&gt;0,MAX(0,INDEX($AI$9:$AI$178,$AF179)-SUMIFS($AE$9:$AE$178,$G$9:$G$178,$G179,$B$9:$B$178,$B179)),0)),"Close quantity capped","OK")))))))))</f>
        <v/>
      </c>
      <c r="W179" s="48" t="str">
        <f t="shared" si="37"/>
        <v/>
      </c>
      <c r="X179" s="49" t="str">
        <f t="shared" si="38"/>
        <v/>
      </c>
      <c r="Y179" s="50" t="str">
        <f t="shared" si="39"/>
        <v/>
      </c>
      <c r="Z179" s="50" t="str">
        <f t="shared" si="40"/>
        <v/>
      </c>
      <c r="AA179" s="50" t="str">
        <f t="shared" si="41"/>
        <v/>
      </c>
      <c r="AB179" s="50" t="str">
        <f t="shared" si="42"/>
        <v/>
      </c>
      <c r="AC179" s="50" t="str">
        <f>IF($A179="","",IF($F179="assignment",IF($AF179&gt;0,INDEX($AH$9:$AH$178,$AF179),0)*$AE179*$D179,IF($F179="buy_shares",$M179*$AL179,0)))</f>
        <v/>
      </c>
      <c r="AD179" s="50" t="str">
        <f>IF($A179="","",IF($F179="called_away",IF($AF179&gt;0,INDEX($AH$9:$AH$178,$AF179),0)*$AL179,IF($F179="sell_shares",$M179*$AL179,0)))</f>
        <v/>
      </c>
      <c r="AE179" s="51" t="str">
        <f>IF($A179="","",IF(OR($F179="sell_put",$F179="sell_call"),IF(AND($H179&gt;0,$I179&gt;0,$J179&gt;=0),$H179,0),IF(OR($F179="buy_to_close",$F179="expire",$F179="roll",$F179="assignment",$F179="called_away"),IF(AND($AF179&gt;0,$H179&gt;0,IF($F179="assignment",IF($AF179&gt;0,INDEX($AG$9:$AG$178,$AF179),"")="put",TRUE),IF($F179="called_away",IF($AF179&gt;0,INDEX($AG$9:$AG$178,$AF179),"")="call",TRUE)),MIN($H179,IF($AF179&gt;0,MAX(0,INDEX($AI$9:$AI$178,$AF179)-SUMIFS($AE$9:$AE$178,$G$9:$G$178,$G179,$B$9:$B$178,$B179)),0)),0),0)))</f>
        <v/>
      </c>
      <c r="AF179" t="str">
        <f>IF($A179="","",IFERROR(MATCH(LEN($B179)&amp;":"&amp;$B179&amp;$G179,$AY$9:$AY$178,0),0))</f>
        <v/>
      </c>
      <c r="AG179" t="str">
        <f>IF($A179="","",IF($F179="sell_put","put",IF($F179="sell_call","call",IF($F179="roll",IF($AF179&gt;0,IF($AF179&gt;0,INDEX($AG$9:$AG$178,$AF179),""),""),IF($AF179&gt;0,IF($AF179&gt;0,INDEX($AG$9:$AG$178,$AF179),""),"")))))</f>
        <v/>
      </c>
      <c r="AH179" t="str">
        <f>IF($A179="","",IF(OR($F179="sell_put",$F179="sell_call",$F179="roll"),$I179,IF($AF179&gt;0,IF($AF179&gt;0,INDEX($AH$9:$AH$178,$AF179),0),0)))</f>
        <v/>
      </c>
      <c r="AI179" s="51" t="str">
        <f t="shared" si="43"/>
        <v/>
      </c>
      <c r="AJ179" s="51" t="str">
        <f>IF($A179="","",IFERROR(LOOKUP(2,1/($B$9:$B$178=$B179),$AM$9:$AM178),0))</f>
        <v/>
      </c>
      <c r="AK179" t="str">
        <f>IF($A179="","",IFERROR(LOOKUP(2,1/($B$9:$B$178=$B179),$AN$9:$AN178),0))</f>
        <v/>
      </c>
      <c r="AL179" s="51" t="str">
        <f t="shared" si="44"/>
        <v/>
      </c>
      <c r="AM179" s="51" t="str">
        <f t="shared" si="45"/>
        <v/>
      </c>
      <c r="AN179" t="str">
        <f t="shared" si="46"/>
        <v/>
      </c>
      <c r="AO179" s="50" t="str">
        <f>IF($A179="","",IFERROR(LOOKUP(2,1/($B$9:$B$178=$B179),$AO$9:$AO178),0)+IF($F179="sell_put",$I179*$AE179*$D179,IF($F179="roll",IF($AG179="put",($I179-IF($AF179&gt;0,INDEX($AH$9:$AH$178,$AF179),0))*$AE179*$D179,0),IF(AND(OR($F179="buy_to_close",$F179="expire",$F179="roll",$F179="assignment",$F179="called_away"),$F179&lt;&gt;"roll",$AG179="put"),-IF($AF179&gt;0,INDEX($AH$9:$AH$178,$AF179),0)*$AE179*$D179,0))))</f>
        <v/>
      </c>
      <c r="AP179" s="51" t="str">
        <f>IF($A179="","",IFERROR(LOOKUP(2,1/($B$9:$B$178=$B179),$AP$9:$AP178),0)+IF($F179="sell_put",$AE179*$D179,IF(AND(OR($F179="buy_to_close",$F179="expire",$F179="roll",$F179="assignment",$F179="called_away"),$F179&lt;&gt;"roll",$AG179="put"),-$AE179*$D179,0)))</f>
        <v/>
      </c>
      <c r="AQ179" s="51" t="str">
        <f>IF($A179="","",IFERROR(LOOKUP(2,1/($B$9:$B$178=$B179),$AQ$9:$AQ178),0)+IF(OR($F179="sell_put",$F179="sell_call"),$AE179,0)-IF(AND(OR($F179="buy_to_close",$F179="expire",$F179="roll",$F179="assignment",$F179="called_away"),$F179&lt;&gt;"roll"),$AE179,0))</f>
        <v/>
      </c>
      <c r="AR179" t="str">
        <f t="shared" si="47"/>
        <v/>
      </c>
      <c r="AS179" s="50" t="str">
        <f t="shared" si="48"/>
        <v/>
      </c>
      <c r="AT179" s="50" t="str">
        <f>IF($A179="","",MAX(IF($T179=IFERROR(LOOKUP(2,1/($B$9:$B$178=$B179),$T$9:$T178),0),IFERROR(LOOKUP(2,1/($B$9:$B$178=$B179),$AT$9:$AT178),0),0),$AS179))</f>
        <v/>
      </c>
      <c r="AU179" t="str">
        <f t="shared" si="49"/>
        <v/>
      </c>
      <c r="AV179" s="51">
        <f>IF($AU179="",0,IF(AND(IFERROR(LOOKUP(2,1/($B$9:$B$178=$B179),$AR$9:$AR178),1),NOT(AND(OR($F179="dividend",$F179="fee"),IFERROR(LOOKUP(2,1/($B$9:$B$178=$B179),$T$9:$T178),0)&gt;0))),ROW(),0))</f>
        <v>0</v>
      </c>
      <c r="AW179">
        <f>IF($A179="",0,IF($AV179&gt;0,MAX($AW$9:$AW$178)+1,MAX($AW$9:$AW$178)))</f>
        <v>0</v>
      </c>
      <c r="AX179">
        <f>IF($AU179="",0,IF(AND($AR179,OR(NOT(IFERROR(LOOKUP(2,1/($B$9:$B$178=$B179),$AR$9:$AR178),1)),IFERROR(LOOKUP(2,1/($B$9:$B$178=$B179),$T$9:$T178),0)=0)),ROW(),0))</f>
        <v>0</v>
      </c>
      <c r="AY179" t="str">
        <f t="shared" si="50"/>
        <v/>
      </c>
    </row>
    <row r="180" spans="1:51" ht="15" x14ac:dyDescent="0.25">
      <c r="A180" s="52" t="str">
        <f>IF(Trades!$A180="","",Trades!O180)</f>
        <v/>
      </c>
      <c r="B180" s="52" t="str">
        <f>IF(Trades!$A180="","",Trades!B180)</f>
        <v/>
      </c>
      <c r="C180" s="52" t="str">
        <f>IF(Trades!$A180="","",Trades!C180)</f>
        <v/>
      </c>
      <c r="D180" s="53" t="str">
        <f>IF(Trades!$A180="","",IF(Trades!$L180&gt;0,Trades!$L180,Trades!$C$6))</f>
        <v/>
      </c>
      <c r="E180" s="54" t="str">
        <f>IF(Trades!$A180="","",Trades!A180)</f>
        <v/>
      </c>
      <c r="F180" s="52" t="str">
        <f>IF(Trades!$A180="","",IFERROR(INDEX(Trades!$V$2:$V$14,MATCH(Trades!$E180,Trades!$U$2:$U$14,0)),""))</f>
        <v/>
      </c>
      <c r="G180" s="52" t="str">
        <f>IF(Trades!$A180="","",Trades!N180)</f>
        <v/>
      </c>
      <c r="H180" s="53" t="str">
        <f>IF(Trades!$A180="","",Trades!F180)</f>
        <v/>
      </c>
      <c r="I180" s="55" t="str">
        <f>IF(Trades!$A180="","",Trades!G180)</f>
        <v/>
      </c>
      <c r="J180" s="55" t="str">
        <f>IF(Trades!$A180="","",Trades!I180)</f>
        <v/>
      </c>
      <c r="K180" s="55" t="str">
        <f>IF(Trades!$A180="","",Trades!Q180)</f>
        <v/>
      </c>
      <c r="L180" s="53" t="str">
        <f>IF(Trades!$A180="","",Trades!F180)</f>
        <v/>
      </c>
      <c r="M180" s="55" t="str">
        <f>IF(Trades!$A180="","",Trades!M180)</f>
        <v/>
      </c>
      <c r="N180" s="55" t="str">
        <f>IF(Trades!$A180="","",Trades!R180)</f>
        <v/>
      </c>
      <c r="O180" s="55" t="str">
        <f>IF(Trades!$A180="","",Trades!J180)</f>
        <v/>
      </c>
      <c r="P180" s="54" t="str">
        <f>IF(Trades!$A180="","",Trades!H180)</f>
        <v/>
      </c>
      <c r="Q180" s="52" t="str">
        <f>IF(Trades!$A180="","",Trades!P180)</f>
        <v/>
      </c>
      <c r="R180" s="56" t="str">
        <f t="shared" si="34"/>
        <v/>
      </c>
      <c r="S180" s="56" t="str">
        <f t="shared" si="35"/>
        <v/>
      </c>
      <c r="T180" s="57" t="str">
        <f>IF(OR($A180="",$B180=""),"",IF(AND(IFERROR(LOOKUP(2,1/($B$9:$B$179=$B180),$AR$9:$AR179),1),NOT(AND(OR($F180="dividend",$F180="fee"),IFERROR(LOOKUP(2,1/($B$9:$B$179=$B180),$T$9:$T179),0)&gt;0))),IFERROR(LOOKUP(2,1/($B$9:$B$179=$B180),$T$9:$T179),0)+1,IFERROR(LOOKUP(2,1/($B$9:$B$179=$B180),$T$9:$T179),0)))</f>
        <v/>
      </c>
      <c r="U180" s="58" t="str">
        <f t="shared" si="36"/>
        <v/>
      </c>
      <c r="V180" s="58" t="str">
        <f>IF($A180="","",IF(OR($B180="",$C180="",$D180="",$E180="",$F180=""),"Missing required field",IF(COUNTIFS($A$9:$A180,$A180,$B$9:$B180,$B180)&gt;1,"Duplicate event ID",IF(AND($E180&lt;&gt;IFERROR(LOOKUP(2,1/($B$9:$B$179=$B180),$E$9:$E179),0),IFERROR(LOOKUP(2,1/($B$9:$B$179=$B180),$E$9:$E179),0)&gt;$E180),"Date out of order",IF(AND(OR($F180="buy_to_close",$F180="expire",$F180="roll",$F180="assignment",$F180="called_away"),$AF180=0),"Unknown lot",IF(OR(AND($F180="assignment",$AF180&gt;0,IF($AF180&gt;0,INDEX($AG$9:$AG$179,$AF180),"")&lt;&gt;"put"),AND($F180="called_away",$AF180&gt;0,IF($AF180&gt;0,INDEX($AG$9:$AG$179,$AF180),"")&lt;&gt;"call")),"Wrong option leg",IF(OR(AND(OR($F180="sell_put",$F180="sell_call"),OR($H180&lt;=0,$I180&lt;=0,$J180&lt;0)),AND(OR($F180="buy_to_close",$F180="expire",$F180="assignment",$F180="called_away"),OR($H180&lt;=0,$J180&lt;0)),AND($F180="roll",OR($H180&lt;=0,$I180&lt;=0,$J180&lt;0,$K180&lt;0)),AND(OR($F180="buy_shares",$F180="sell_shares"),OR($L180&lt;=0,$M180&lt;0)),AND(OR($F180="dividend",$F180="fee"),$N180&lt;0)),"Invalid value",IF(AND(OR($F180="sell_shares",$F180="called_away"),$AL180&lt;IF($F180="called_away",$AE180*$D180,$L180)),"Insufficient shares (capped)",IF(AND(OR($F180="buy_to_close",$F180="expire",$F180="roll",$F180="assignment",$F180="called_away"),$AF180&gt;0,$H180&gt;IF($AF180&gt;0,MAX(0,INDEX($AI$9:$AI$179,$AF180)-SUMIFS($AE$9:$AE$179,$G$9:$G$179,$G180,$B$9:$B$179,$B180)),0)),"Close quantity capped","OK")))))))))</f>
        <v/>
      </c>
      <c r="W180" s="59" t="str">
        <f t="shared" si="37"/>
        <v/>
      </c>
      <c r="X180" s="60" t="str">
        <f t="shared" si="38"/>
        <v/>
      </c>
      <c r="Y180" s="50" t="str">
        <f t="shared" si="39"/>
        <v/>
      </c>
      <c r="Z180" s="50" t="str">
        <f t="shared" si="40"/>
        <v/>
      </c>
      <c r="AA180" s="50" t="str">
        <f t="shared" si="41"/>
        <v/>
      </c>
      <c r="AB180" s="50" t="str">
        <f t="shared" si="42"/>
        <v/>
      </c>
      <c r="AC180" s="50" t="str">
        <f>IF($A180="","",IF($F180="assignment",IF($AF180&gt;0,INDEX($AH$9:$AH$179,$AF180),0)*$AE180*$D180,IF($F180="buy_shares",$M180*$AL180,0)))</f>
        <v/>
      </c>
      <c r="AD180" s="50" t="str">
        <f>IF($A180="","",IF($F180="called_away",IF($AF180&gt;0,INDEX($AH$9:$AH$179,$AF180),0)*$AL180,IF($F180="sell_shares",$M180*$AL180,0)))</f>
        <v/>
      </c>
      <c r="AE180" s="51" t="str">
        <f>IF($A180="","",IF(OR($F180="sell_put",$F180="sell_call"),IF(AND($H180&gt;0,$I180&gt;0,$J180&gt;=0),$H180,0),IF(OR($F180="buy_to_close",$F180="expire",$F180="roll",$F180="assignment",$F180="called_away"),IF(AND($AF180&gt;0,$H180&gt;0,IF($F180="assignment",IF($AF180&gt;0,INDEX($AG$9:$AG$179,$AF180),"")="put",TRUE),IF($F180="called_away",IF($AF180&gt;0,INDEX($AG$9:$AG$179,$AF180),"")="call",TRUE)),MIN($H180,IF($AF180&gt;0,MAX(0,INDEX($AI$9:$AI$179,$AF180)-SUMIFS($AE$9:$AE$179,$G$9:$G$179,$G180,$B$9:$B$179,$B180)),0)),0),0)))</f>
        <v/>
      </c>
      <c r="AF180" t="str">
        <f>IF($A180="","",IFERROR(MATCH(LEN($B180)&amp;":"&amp;$B180&amp;$G180,$AY$9:$AY$179,0),0))</f>
        <v/>
      </c>
      <c r="AG180" t="str">
        <f>IF($A180="","",IF($F180="sell_put","put",IF($F180="sell_call","call",IF($F180="roll",IF($AF180&gt;0,IF($AF180&gt;0,INDEX($AG$9:$AG$179,$AF180),""),""),IF($AF180&gt;0,IF($AF180&gt;0,INDEX($AG$9:$AG$179,$AF180),""),"")))))</f>
        <v/>
      </c>
      <c r="AH180" t="str">
        <f>IF($A180="","",IF(OR($F180="sell_put",$F180="sell_call",$F180="roll"),$I180,IF($AF180&gt;0,IF($AF180&gt;0,INDEX($AH$9:$AH$179,$AF180),0),0)))</f>
        <v/>
      </c>
      <c r="AI180" s="51" t="str">
        <f t="shared" si="43"/>
        <v/>
      </c>
      <c r="AJ180" s="51" t="str">
        <f>IF($A180="","",IFERROR(LOOKUP(2,1/($B$9:$B$179=$B180),$AM$9:$AM179),0))</f>
        <v/>
      </c>
      <c r="AK180" t="str">
        <f>IF($A180="","",IFERROR(LOOKUP(2,1/($B$9:$B$179=$B180),$AN$9:$AN179),0))</f>
        <v/>
      </c>
      <c r="AL180" s="51" t="str">
        <f t="shared" si="44"/>
        <v/>
      </c>
      <c r="AM180" s="51" t="str">
        <f t="shared" si="45"/>
        <v/>
      </c>
      <c r="AN180" t="str">
        <f t="shared" si="46"/>
        <v/>
      </c>
      <c r="AO180" s="50" t="str">
        <f>IF($A180="","",IFERROR(LOOKUP(2,1/($B$9:$B$179=$B180),$AO$9:$AO179),0)+IF($F180="sell_put",$I180*$AE180*$D180,IF($F180="roll",IF($AG180="put",($I180-IF($AF180&gt;0,INDEX($AH$9:$AH$179,$AF180),0))*$AE180*$D180,0),IF(AND(OR($F180="buy_to_close",$F180="expire",$F180="roll",$F180="assignment",$F180="called_away"),$F180&lt;&gt;"roll",$AG180="put"),-IF($AF180&gt;0,INDEX($AH$9:$AH$179,$AF180),0)*$AE180*$D180,0))))</f>
        <v/>
      </c>
      <c r="AP180" s="51" t="str">
        <f>IF($A180="","",IFERROR(LOOKUP(2,1/($B$9:$B$179=$B180),$AP$9:$AP179),0)+IF($F180="sell_put",$AE180*$D180,IF(AND(OR($F180="buy_to_close",$F180="expire",$F180="roll",$F180="assignment",$F180="called_away"),$F180&lt;&gt;"roll",$AG180="put"),-$AE180*$D180,0)))</f>
        <v/>
      </c>
      <c r="AQ180" s="51" t="str">
        <f>IF($A180="","",IFERROR(LOOKUP(2,1/($B$9:$B$179=$B180),$AQ$9:$AQ179),0)+IF(OR($F180="sell_put",$F180="sell_call"),$AE180,0)-IF(AND(OR($F180="buy_to_close",$F180="expire",$F180="roll",$F180="assignment",$F180="called_away"),$F180&lt;&gt;"roll"),$AE180,0))</f>
        <v/>
      </c>
      <c r="AR180" t="str">
        <f t="shared" si="47"/>
        <v/>
      </c>
      <c r="AS180" s="50" t="str">
        <f t="shared" si="48"/>
        <v/>
      </c>
      <c r="AT180" s="50" t="str">
        <f>IF($A180="","",MAX(IF($T180=IFERROR(LOOKUP(2,1/($B$9:$B$179=$B180),$T$9:$T179),0),IFERROR(LOOKUP(2,1/($B$9:$B$179=$B180),$AT$9:$AT179),0),0),$AS180))</f>
        <v/>
      </c>
      <c r="AU180" t="str">
        <f t="shared" si="49"/>
        <v/>
      </c>
      <c r="AV180" s="51">
        <f>IF($AU180="",0,IF(AND(IFERROR(LOOKUP(2,1/($B$9:$B$179=$B180),$AR$9:$AR179),1),NOT(AND(OR($F180="dividend",$F180="fee"),IFERROR(LOOKUP(2,1/($B$9:$B$179=$B180),$T$9:$T179),0)&gt;0))),ROW(),0))</f>
        <v>0</v>
      </c>
      <c r="AW180">
        <f>IF($A180="",0,IF($AV180&gt;0,MAX($AW$9:$AW$179)+1,MAX($AW$9:$AW$179)))</f>
        <v>0</v>
      </c>
      <c r="AX180">
        <f>IF($AU180="",0,IF(AND($AR180,OR(NOT(IFERROR(LOOKUP(2,1/($B$9:$B$179=$B180),$AR$9:$AR179),1)),IFERROR(LOOKUP(2,1/($B$9:$B$179=$B180),$T$9:$T179),0)=0)),ROW(),0))</f>
        <v>0</v>
      </c>
      <c r="AY180" t="str">
        <f t="shared" si="50"/>
        <v/>
      </c>
    </row>
    <row r="181" spans="1:51" ht="15" x14ac:dyDescent="0.25">
      <c r="A181" s="41" t="str">
        <f>IF(Trades!$A181="","",Trades!O181)</f>
        <v/>
      </c>
      <c r="B181" s="41" t="str">
        <f>IF(Trades!$A181="","",Trades!B181)</f>
        <v/>
      </c>
      <c r="C181" s="41" t="str">
        <f>IF(Trades!$A181="","",Trades!C181)</f>
        <v/>
      </c>
      <c r="D181" s="42" t="str">
        <f>IF(Trades!$A181="","",IF(Trades!$L181&gt;0,Trades!$L181,Trades!$C$6))</f>
        <v/>
      </c>
      <c r="E181" s="43" t="str">
        <f>IF(Trades!$A181="","",Trades!A181)</f>
        <v/>
      </c>
      <c r="F181" s="41" t="str">
        <f>IF(Trades!$A181="","",IFERROR(INDEX(Trades!$V$2:$V$14,MATCH(Trades!$E181,Trades!$U$2:$U$14,0)),""))</f>
        <v/>
      </c>
      <c r="G181" s="41" t="str">
        <f>IF(Trades!$A181="","",Trades!N181)</f>
        <v/>
      </c>
      <c r="H181" s="42" t="str">
        <f>IF(Trades!$A181="","",Trades!F181)</f>
        <v/>
      </c>
      <c r="I181" s="44" t="str">
        <f>IF(Trades!$A181="","",Trades!G181)</f>
        <v/>
      </c>
      <c r="J181" s="44" t="str">
        <f>IF(Trades!$A181="","",Trades!I181)</f>
        <v/>
      </c>
      <c r="K181" s="44" t="str">
        <f>IF(Trades!$A181="","",Trades!Q181)</f>
        <v/>
      </c>
      <c r="L181" s="42" t="str">
        <f>IF(Trades!$A181="","",Trades!F181)</f>
        <v/>
      </c>
      <c r="M181" s="44" t="str">
        <f>IF(Trades!$A181="","",Trades!M181)</f>
        <v/>
      </c>
      <c r="N181" s="44" t="str">
        <f>IF(Trades!$A181="","",Trades!R181)</f>
        <v/>
      </c>
      <c r="O181" s="44" t="str">
        <f>IF(Trades!$A181="","",Trades!J181)</f>
        <v/>
      </c>
      <c r="P181" s="43" t="str">
        <f>IF(Trades!$A181="","",Trades!H181)</f>
        <v/>
      </c>
      <c r="Q181" s="41" t="str">
        <f>IF(Trades!$A181="","",Trades!P181)</f>
        <v/>
      </c>
      <c r="R181" s="45" t="str">
        <f t="shared" si="34"/>
        <v/>
      </c>
      <c r="S181" s="45" t="str">
        <f t="shared" si="35"/>
        <v/>
      </c>
      <c r="T181" s="46" t="str">
        <f>IF(OR($A181="",$B181=""),"",IF(AND(IFERROR(LOOKUP(2,1/($B$9:$B$180=$B181),$AR$9:$AR180),1),NOT(AND(OR($F181="dividend",$F181="fee"),IFERROR(LOOKUP(2,1/($B$9:$B$180=$B181),$T$9:$T180),0)&gt;0))),IFERROR(LOOKUP(2,1/($B$9:$B$180=$B181),$T$9:$T180),0)+1,IFERROR(LOOKUP(2,1/($B$9:$B$180=$B181),$T$9:$T180),0)))</f>
        <v/>
      </c>
      <c r="U181" s="47" t="str">
        <f t="shared" si="36"/>
        <v/>
      </c>
      <c r="V181" s="47" t="str">
        <f>IF($A181="","",IF(OR($B181="",$C181="",$D181="",$E181="",$F181=""),"Missing required field",IF(COUNTIFS($A$9:$A181,$A181,$B$9:$B181,$B181)&gt;1,"Duplicate event ID",IF(AND($E181&lt;&gt;IFERROR(LOOKUP(2,1/($B$9:$B$180=$B181),$E$9:$E180),0),IFERROR(LOOKUP(2,1/($B$9:$B$180=$B181),$E$9:$E180),0)&gt;$E181),"Date out of order",IF(AND(OR($F181="buy_to_close",$F181="expire",$F181="roll",$F181="assignment",$F181="called_away"),$AF181=0),"Unknown lot",IF(OR(AND($F181="assignment",$AF181&gt;0,IF($AF181&gt;0,INDEX($AG$9:$AG$180,$AF181),"")&lt;&gt;"put"),AND($F181="called_away",$AF181&gt;0,IF($AF181&gt;0,INDEX($AG$9:$AG$180,$AF181),"")&lt;&gt;"call")),"Wrong option leg",IF(OR(AND(OR($F181="sell_put",$F181="sell_call"),OR($H181&lt;=0,$I181&lt;=0,$J181&lt;0)),AND(OR($F181="buy_to_close",$F181="expire",$F181="assignment",$F181="called_away"),OR($H181&lt;=0,$J181&lt;0)),AND($F181="roll",OR($H181&lt;=0,$I181&lt;=0,$J181&lt;0,$K181&lt;0)),AND(OR($F181="buy_shares",$F181="sell_shares"),OR($L181&lt;=0,$M181&lt;0)),AND(OR($F181="dividend",$F181="fee"),$N181&lt;0)),"Invalid value",IF(AND(OR($F181="sell_shares",$F181="called_away"),$AL181&lt;IF($F181="called_away",$AE181*$D181,$L181)),"Insufficient shares (capped)",IF(AND(OR($F181="buy_to_close",$F181="expire",$F181="roll",$F181="assignment",$F181="called_away"),$AF181&gt;0,$H181&gt;IF($AF181&gt;0,MAX(0,INDEX($AI$9:$AI$180,$AF181)-SUMIFS($AE$9:$AE$180,$G$9:$G$180,$G181,$B$9:$B$180,$B181)),0)),"Close quantity capped","OK")))))))))</f>
        <v/>
      </c>
      <c r="W181" s="48" t="str">
        <f t="shared" si="37"/>
        <v/>
      </c>
      <c r="X181" s="49" t="str">
        <f t="shared" si="38"/>
        <v/>
      </c>
      <c r="Y181" s="50" t="str">
        <f t="shared" si="39"/>
        <v/>
      </c>
      <c r="Z181" s="50" t="str">
        <f t="shared" si="40"/>
        <v/>
      </c>
      <c r="AA181" s="50" t="str">
        <f t="shared" si="41"/>
        <v/>
      </c>
      <c r="AB181" s="50" t="str">
        <f t="shared" si="42"/>
        <v/>
      </c>
      <c r="AC181" s="50" t="str">
        <f>IF($A181="","",IF($F181="assignment",IF($AF181&gt;0,INDEX($AH$9:$AH$180,$AF181),0)*$AE181*$D181,IF($F181="buy_shares",$M181*$AL181,0)))</f>
        <v/>
      </c>
      <c r="AD181" s="50" t="str">
        <f>IF($A181="","",IF($F181="called_away",IF($AF181&gt;0,INDEX($AH$9:$AH$180,$AF181),0)*$AL181,IF($F181="sell_shares",$M181*$AL181,0)))</f>
        <v/>
      </c>
      <c r="AE181" s="51" t="str">
        <f>IF($A181="","",IF(OR($F181="sell_put",$F181="sell_call"),IF(AND($H181&gt;0,$I181&gt;0,$J181&gt;=0),$H181,0),IF(OR($F181="buy_to_close",$F181="expire",$F181="roll",$F181="assignment",$F181="called_away"),IF(AND($AF181&gt;0,$H181&gt;0,IF($F181="assignment",IF($AF181&gt;0,INDEX($AG$9:$AG$180,$AF181),"")="put",TRUE),IF($F181="called_away",IF($AF181&gt;0,INDEX($AG$9:$AG$180,$AF181),"")="call",TRUE)),MIN($H181,IF($AF181&gt;0,MAX(0,INDEX($AI$9:$AI$180,$AF181)-SUMIFS($AE$9:$AE$180,$G$9:$G$180,$G181,$B$9:$B$180,$B181)),0)),0),0)))</f>
        <v/>
      </c>
      <c r="AF181" t="str">
        <f>IF($A181="","",IFERROR(MATCH(LEN($B181)&amp;":"&amp;$B181&amp;$G181,$AY$9:$AY$180,0),0))</f>
        <v/>
      </c>
      <c r="AG181" t="str">
        <f>IF($A181="","",IF($F181="sell_put","put",IF($F181="sell_call","call",IF($F181="roll",IF($AF181&gt;0,IF($AF181&gt;0,INDEX($AG$9:$AG$180,$AF181),""),""),IF($AF181&gt;0,IF($AF181&gt;0,INDEX($AG$9:$AG$180,$AF181),""),"")))))</f>
        <v/>
      </c>
      <c r="AH181" t="str">
        <f>IF($A181="","",IF(OR($F181="sell_put",$F181="sell_call",$F181="roll"),$I181,IF($AF181&gt;0,IF($AF181&gt;0,INDEX($AH$9:$AH$180,$AF181),0),0)))</f>
        <v/>
      </c>
      <c r="AI181" s="51" t="str">
        <f t="shared" si="43"/>
        <v/>
      </c>
      <c r="AJ181" s="51" t="str">
        <f>IF($A181="","",IFERROR(LOOKUP(2,1/($B$9:$B$180=$B181),$AM$9:$AM180),0))</f>
        <v/>
      </c>
      <c r="AK181" t="str">
        <f>IF($A181="","",IFERROR(LOOKUP(2,1/($B$9:$B$180=$B181),$AN$9:$AN180),0))</f>
        <v/>
      </c>
      <c r="AL181" s="51" t="str">
        <f t="shared" si="44"/>
        <v/>
      </c>
      <c r="AM181" s="51" t="str">
        <f t="shared" si="45"/>
        <v/>
      </c>
      <c r="AN181" t="str">
        <f t="shared" si="46"/>
        <v/>
      </c>
      <c r="AO181" s="50" t="str">
        <f>IF($A181="","",IFERROR(LOOKUP(2,1/($B$9:$B$180=$B181),$AO$9:$AO180),0)+IF($F181="sell_put",$I181*$AE181*$D181,IF($F181="roll",IF($AG181="put",($I181-IF($AF181&gt;0,INDEX($AH$9:$AH$180,$AF181),0))*$AE181*$D181,0),IF(AND(OR($F181="buy_to_close",$F181="expire",$F181="roll",$F181="assignment",$F181="called_away"),$F181&lt;&gt;"roll",$AG181="put"),-IF($AF181&gt;0,INDEX($AH$9:$AH$180,$AF181),0)*$AE181*$D181,0))))</f>
        <v/>
      </c>
      <c r="AP181" s="51" t="str">
        <f>IF($A181="","",IFERROR(LOOKUP(2,1/($B$9:$B$180=$B181),$AP$9:$AP180),0)+IF($F181="sell_put",$AE181*$D181,IF(AND(OR($F181="buy_to_close",$F181="expire",$F181="roll",$F181="assignment",$F181="called_away"),$F181&lt;&gt;"roll",$AG181="put"),-$AE181*$D181,0)))</f>
        <v/>
      </c>
      <c r="AQ181" s="51" t="str">
        <f>IF($A181="","",IFERROR(LOOKUP(2,1/($B$9:$B$180=$B181),$AQ$9:$AQ180),0)+IF(OR($F181="sell_put",$F181="sell_call"),$AE181,0)-IF(AND(OR($F181="buy_to_close",$F181="expire",$F181="roll",$F181="assignment",$F181="called_away"),$F181&lt;&gt;"roll"),$AE181,0))</f>
        <v/>
      </c>
      <c r="AR181" t="str">
        <f t="shared" si="47"/>
        <v/>
      </c>
      <c r="AS181" s="50" t="str">
        <f t="shared" si="48"/>
        <v/>
      </c>
      <c r="AT181" s="50" t="str">
        <f>IF($A181="","",MAX(IF($T181=IFERROR(LOOKUP(2,1/($B$9:$B$180=$B181),$T$9:$T180),0),IFERROR(LOOKUP(2,1/($B$9:$B$180=$B181),$AT$9:$AT180),0),0),$AS181))</f>
        <v/>
      </c>
      <c r="AU181" t="str">
        <f t="shared" si="49"/>
        <v/>
      </c>
      <c r="AV181" s="51">
        <f>IF($AU181="",0,IF(AND(IFERROR(LOOKUP(2,1/($B$9:$B$180=$B181),$AR$9:$AR180),1),NOT(AND(OR($F181="dividend",$F181="fee"),IFERROR(LOOKUP(2,1/($B$9:$B$180=$B181),$T$9:$T180),0)&gt;0))),ROW(),0))</f>
        <v>0</v>
      </c>
      <c r="AW181">
        <f>IF($A181="",0,IF($AV181&gt;0,MAX($AW$9:$AW$180)+1,MAX($AW$9:$AW$180)))</f>
        <v>0</v>
      </c>
      <c r="AX181">
        <f>IF($AU181="",0,IF(AND($AR181,OR(NOT(IFERROR(LOOKUP(2,1/($B$9:$B$180=$B181),$AR$9:$AR180),1)),IFERROR(LOOKUP(2,1/($B$9:$B$180=$B181),$T$9:$T180),0)=0)),ROW(),0))</f>
        <v>0</v>
      </c>
      <c r="AY181" t="str">
        <f t="shared" si="50"/>
        <v/>
      </c>
    </row>
    <row r="182" spans="1:51" ht="15" x14ac:dyDescent="0.25">
      <c r="A182" s="52" t="str">
        <f>IF(Trades!$A182="","",Trades!O182)</f>
        <v/>
      </c>
      <c r="B182" s="52" t="str">
        <f>IF(Trades!$A182="","",Trades!B182)</f>
        <v/>
      </c>
      <c r="C182" s="52" t="str">
        <f>IF(Trades!$A182="","",Trades!C182)</f>
        <v/>
      </c>
      <c r="D182" s="53" t="str">
        <f>IF(Trades!$A182="","",IF(Trades!$L182&gt;0,Trades!$L182,Trades!$C$6))</f>
        <v/>
      </c>
      <c r="E182" s="54" t="str">
        <f>IF(Trades!$A182="","",Trades!A182)</f>
        <v/>
      </c>
      <c r="F182" s="52" t="str">
        <f>IF(Trades!$A182="","",IFERROR(INDEX(Trades!$V$2:$V$14,MATCH(Trades!$E182,Trades!$U$2:$U$14,0)),""))</f>
        <v/>
      </c>
      <c r="G182" s="52" t="str">
        <f>IF(Trades!$A182="","",Trades!N182)</f>
        <v/>
      </c>
      <c r="H182" s="53" t="str">
        <f>IF(Trades!$A182="","",Trades!F182)</f>
        <v/>
      </c>
      <c r="I182" s="55" t="str">
        <f>IF(Trades!$A182="","",Trades!G182)</f>
        <v/>
      </c>
      <c r="J182" s="55" t="str">
        <f>IF(Trades!$A182="","",Trades!I182)</f>
        <v/>
      </c>
      <c r="K182" s="55" t="str">
        <f>IF(Trades!$A182="","",Trades!Q182)</f>
        <v/>
      </c>
      <c r="L182" s="53" t="str">
        <f>IF(Trades!$A182="","",Trades!F182)</f>
        <v/>
      </c>
      <c r="M182" s="55" t="str">
        <f>IF(Trades!$A182="","",Trades!M182)</f>
        <v/>
      </c>
      <c r="N182" s="55" t="str">
        <f>IF(Trades!$A182="","",Trades!R182)</f>
        <v/>
      </c>
      <c r="O182" s="55" t="str">
        <f>IF(Trades!$A182="","",Trades!J182)</f>
        <v/>
      </c>
      <c r="P182" s="54" t="str">
        <f>IF(Trades!$A182="","",Trades!H182)</f>
        <v/>
      </c>
      <c r="Q182" s="52" t="str">
        <f>IF(Trades!$A182="","",Trades!P182)</f>
        <v/>
      </c>
      <c r="R182" s="56" t="str">
        <f t="shared" si="34"/>
        <v/>
      </c>
      <c r="S182" s="56" t="str">
        <f t="shared" si="35"/>
        <v/>
      </c>
      <c r="T182" s="57" t="str">
        <f>IF(OR($A182="",$B182=""),"",IF(AND(IFERROR(LOOKUP(2,1/($B$9:$B$181=$B182),$AR$9:$AR181),1),NOT(AND(OR($F182="dividend",$F182="fee"),IFERROR(LOOKUP(2,1/($B$9:$B$181=$B182),$T$9:$T181),0)&gt;0))),IFERROR(LOOKUP(2,1/($B$9:$B$181=$B182),$T$9:$T181),0)+1,IFERROR(LOOKUP(2,1/($B$9:$B$181=$B182),$T$9:$T181),0)))</f>
        <v/>
      </c>
      <c r="U182" s="58" t="str">
        <f t="shared" si="36"/>
        <v/>
      </c>
      <c r="V182" s="58" t="str">
        <f>IF($A182="","",IF(OR($B182="",$C182="",$D182="",$E182="",$F182=""),"Missing required field",IF(COUNTIFS($A$9:$A182,$A182,$B$9:$B182,$B182)&gt;1,"Duplicate event ID",IF(AND($E182&lt;&gt;IFERROR(LOOKUP(2,1/($B$9:$B$181=$B182),$E$9:$E181),0),IFERROR(LOOKUP(2,1/($B$9:$B$181=$B182),$E$9:$E181),0)&gt;$E182),"Date out of order",IF(AND(OR($F182="buy_to_close",$F182="expire",$F182="roll",$F182="assignment",$F182="called_away"),$AF182=0),"Unknown lot",IF(OR(AND($F182="assignment",$AF182&gt;0,IF($AF182&gt;0,INDEX($AG$9:$AG$181,$AF182),"")&lt;&gt;"put"),AND($F182="called_away",$AF182&gt;0,IF($AF182&gt;0,INDEX($AG$9:$AG$181,$AF182),"")&lt;&gt;"call")),"Wrong option leg",IF(OR(AND(OR($F182="sell_put",$F182="sell_call"),OR($H182&lt;=0,$I182&lt;=0,$J182&lt;0)),AND(OR($F182="buy_to_close",$F182="expire",$F182="assignment",$F182="called_away"),OR($H182&lt;=0,$J182&lt;0)),AND($F182="roll",OR($H182&lt;=0,$I182&lt;=0,$J182&lt;0,$K182&lt;0)),AND(OR($F182="buy_shares",$F182="sell_shares"),OR($L182&lt;=0,$M182&lt;0)),AND(OR($F182="dividend",$F182="fee"),$N182&lt;0)),"Invalid value",IF(AND(OR($F182="sell_shares",$F182="called_away"),$AL182&lt;IF($F182="called_away",$AE182*$D182,$L182)),"Insufficient shares (capped)",IF(AND(OR($F182="buy_to_close",$F182="expire",$F182="roll",$F182="assignment",$F182="called_away"),$AF182&gt;0,$H182&gt;IF($AF182&gt;0,MAX(0,INDEX($AI$9:$AI$181,$AF182)-SUMIFS($AE$9:$AE$181,$G$9:$G$181,$G182,$B$9:$B$181,$B182)),0)),"Close quantity capped","OK")))))))))</f>
        <v/>
      </c>
      <c r="W182" s="59" t="str">
        <f t="shared" si="37"/>
        <v/>
      </c>
      <c r="X182" s="60" t="str">
        <f t="shared" si="38"/>
        <v/>
      </c>
      <c r="Y182" s="50" t="str">
        <f t="shared" si="39"/>
        <v/>
      </c>
      <c r="Z182" s="50" t="str">
        <f t="shared" si="40"/>
        <v/>
      </c>
      <c r="AA182" s="50" t="str">
        <f t="shared" si="41"/>
        <v/>
      </c>
      <c r="AB182" s="50" t="str">
        <f t="shared" si="42"/>
        <v/>
      </c>
      <c r="AC182" s="50" t="str">
        <f>IF($A182="","",IF($F182="assignment",IF($AF182&gt;0,INDEX($AH$9:$AH$181,$AF182),0)*$AE182*$D182,IF($F182="buy_shares",$M182*$AL182,0)))</f>
        <v/>
      </c>
      <c r="AD182" s="50" t="str">
        <f>IF($A182="","",IF($F182="called_away",IF($AF182&gt;0,INDEX($AH$9:$AH$181,$AF182),0)*$AL182,IF($F182="sell_shares",$M182*$AL182,0)))</f>
        <v/>
      </c>
      <c r="AE182" s="51" t="str">
        <f>IF($A182="","",IF(OR($F182="sell_put",$F182="sell_call"),IF(AND($H182&gt;0,$I182&gt;0,$J182&gt;=0),$H182,0),IF(OR($F182="buy_to_close",$F182="expire",$F182="roll",$F182="assignment",$F182="called_away"),IF(AND($AF182&gt;0,$H182&gt;0,IF($F182="assignment",IF($AF182&gt;0,INDEX($AG$9:$AG$181,$AF182),"")="put",TRUE),IF($F182="called_away",IF($AF182&gt;0,INDEX($AG$9:$AG$181,$AF182),"")="call",TRUE)),MIN($H182,IF($AF182&gt;0,MAX(0,INDEX($AI$9:$AI$181,$AF182)-SUMIFS($AE$9:$AE$181,$G$9:$G$181,$G182,$B$9:$B$181,$B182)),0)),0),0)))</f>
        <v/>
      </c>
      <c r="AF182" t="str">
        <f>IF($A182="","",IFERROR(MATCH(LEN($B182)&amp;":"&amp;$B182&amp;$G182,$AY$9:$AY$181,0),0))</f>
        <v/>
      </c>
      <c r="AG182" t="str">
        <f>IF($A182="","",IF($F182="sell_put","put",IF($F182="sell_call","call",IF($F182="roll",IF($AF182&gt;0,IF($AF182&gt;0,INDEX($AG$9:$AG$181,$AF182),""),""),IF($AF182&gt;0,IF($AF182&gt;0,INDEX($AG$9:$AG$181,$AF182),""),"")))))</f>
        <v/>
      </c>
      <c r="AH182" t="str">
        <f>IF($A182="","",IF(OR($F182="sell_put",$F182="sell_call",$F182="roll"),$I182,IF($AF182&gt;0,IF($AF182&gt;0,INDEX($AH$9:$AH$181,$AF182),0),0)))</f>
        <v/>
      </c>
      <c r="AI182" s="51" t="str">
        <f t="shared" si="43"/>
        <v/>
      </c>
      <c r="AJ182" s="51" t="str">
        <f>IF($A182="","",IFERROR(LOOKUP(2,1/($B$9:$B$181=$B182),$AM$9:$AM181),0))</f>
        <v/>
      </c>
      <c r="AK182" t="str">
        <f>IF($A182="","",IFERROR(LOOKUP(2,1/($B$9:$B$181=$B182),$AN$9:$AN181),0))</f>
        <v/>
      </c>
      <c r="AL182" s="51" t="str">
        <f t="shared" si="44"/>
        <v/>
      </c>
      <c r="AM182" s="51" t="str">
        <f t="shared" si="45"/>
        <v/>
      </c>
      <c r="AN182" t="str">
        <f t="shared" si="46"/>
        <v/>
      </c>
      <c r="AO182" s="50" t="str">
        <f>IF($A182="","",IFERROR(LOOKUP(2,1/($B$9:$B$181=$B182),$AO$9:$AO181),0)+IF($F182="sell_put",$I182*$AE182*$D182,IF($F182="roll",IF($AG182="put",($I182-IF($AF182&gt;0,INDEX($AH$9:$AH$181,$AF182),0))*$AE182*$D182,0),IF(AND(OR($F182="buy_to_close",$F182="expire",$F182="roll",$F182="assignment",$F182="called_away"),$F182&lt;&gt;"roll",$AG182="put"),-IF($AF182&gt;0,INDEX($AH$9:$AH$181,$AF182),0)*$AE182*$D182,0))))</f>
        <v/>
      </c>
      <c r="AP182" s="51" t="str">
        <f>IF($A182="","",IFERROR(LOOKUP(2,1/($B$9:$B$181=$B182),$AP$9:$AP181),0)+IF($F182="sell_put",$AE182*$D182,IF(AND(OR($F182="buy_to_close",$F182="expire",$F182="roll",$F182="assignment",$F182="called_away"),$F182&lt;&gt;"roll",$AG182="put"),-$AE182*$D182,0)))</f>
        <v/>
      </c>
      <c r="AQ182" s="51" t="str">
        <f>IF($A182="","",IFERROR(LOOKUP(2,1/($B$9:$B$181=$B182),$AQ$9:$AQ181),0)+IF(OR($F182="sell_put",$F182="sell_call"),$AE182,0)-IF(AND(OR($F182="buy_to_close",$F182="expire",$F182="roll",$F182="assignment",$F182="called_away"),$F182&lt;&gt;"roll"),$AE182,0))</f>
        <v/>
      </c>
      <c r="AR182" t="str">
        <f t="shared" si="47"/>
        <v/>
      </c>
      <c r="AS182" s="50" t="str">
        <f t="shared" si="48"/>
        <v/>
      </c>
      <c r="AT182" s="50" t="str">
        <f>IF($A182="","",MAX(IF($T182=IFERROR(LOOKUP(2,1/($B$9:$B$181=$B182),$T$9:$T181),0),IFERROR(LOOKUP(2,1/($B$9:$B$181=$B182),$AT$9:$AT181),0),0),$AS182))</f>
        <v/>
      </c>
      <c r="AU182" t="str">
        <f t="shared" si="49"/>
        <v/>
      </c>
      <c r="AV182" s="51">
        <f>IF($AU182="",0,IF(AND(IFERROR(LOOKUP(2,1/($B$9:$B$181=$B182),$AR$9:$AR181),1),NOT(AND(OR($F182="dividend",$F182="fee"),IFERROR(LOOKUP(2,1/($B$9:$B$181=$B182),$T$9:$T181),0)&gt;0))),ROW(),0))</f>
        <v>0</v>
      </c>
      <c r="AW182">
        <f>IF($A182="",0,IF($AV182&gt;0,MAX($AW$9:$AW$181)+1,MAX($AW$9:$AW$181)))</f>
        <v>0</v>
      </c>
      <c r="AX182">
        <f>IF($AU182="",0,IF(AND($AR182,OR(NOT(IFERROR(LOOKUP(2,1/($B$9:$B$181=$B182),$AR$9:$AR181),1)),IFERROR(LOOKUP(2,1/($B$9:$B$181=$B182),$T$9:$T181),0)=0)),ROW(),0))</f>
        <v>0</v>
      </c>
      <c r="AY182" t="str">
        <f t="shared" si="50"/>
        <v/>
      </c>
    </row>
    <row r="183" spans="1:51" ht="15" x14ac:dyDescent="0.25">
      <c r="A183" s="41" t="str">
        <f>IF(Trades!$A183="","",Trades!O183)</f>
        <v/>
      </c>
      <c r="B183" s="41" t="str">
        <f>IF(Trades!$A183="","",Trades!B183)</f>
        <v/>
      </c>
      <c r="C183" s="41" t="str">
        <f>IF(Trades!$A183="","",Trades!C183)</f>
        <v/>
      </c>
      <c r="D183" s="42" t="str">
        <f>IF(Trades!$A183="","",IF(Trades!$L183&gt;0,Trades!$L183,Trades!$C$6))</f>
        <v/>
      </c>
      <c r="E183" s="43" t="str">
        <f>IF(Trades!$A183="","",Trades!A183)</f>
        <v/>
      </c>
      <c r="F183" s="41" t="str">
        <f>IF(Trades!$A183="","",IFERROR(INDEX(Trades!$V$2:$V$14,MATCH(Trades!$E183,Trades!$U$2:$U$14,0)),""))</f>
        <v/>
      </c>
      <c r="G183" s="41" t="str">
        <f>IF(Trades!$A183="","",Trades!N183)</f>
        <v/>
      </c>
      <c r="H183" s="42" t="str">
        <f>IF(Trades!$A183="","",Trades!F183)</f>
        <v/>
      </c>
      <c r="I183" s="44" t="str">
        <f>IF(Trades!$A183="","",Trades!G183)</f>
        <v/>
      </c>
      <c r="J183" s="44" t="str">
        <f>IF(Trades!$A183="","",Trades!I183)</f>
        <v/>
      </c>
      <c r="K183" s="44" t="str">
        <f>IF(Trades!$A183="","",Trades!Q183)</f>
        <v/>
      </c>
      <c r="L183" s="42" t="str">
        <f>IF(Trades!$A183="","",Trades!F183)</f>
        <v/>
      </c>
      <c r="M183" s="44" t="str">
        <f>IF(Trades!$A183="","",Trades!M183)</f>
        <v/>
      </c>
      <c r="N183" s="44" t="str">
        <f>IF(Trades!$A183="","",Trades!R183)</f>
        <v/>
      </c>
      <c r="O183" s="44" t="str">
        <f>IF(Trades!$A183="","",Trades!J183)</f>
        <v/>
      </c>
      <c r="P183" s="43" t="str">
        <f>IF(Trades!$A183="","",Trades!H183)</f>
        <v/>
      </c>
      <c r="Q183" s="41" t="str">
        <f>IF(Trades!$A183="","",Trades!P183)</f>
        <v/>
      </c>
      <c r="R183" s="45" t="str">
        <f t="shared" si="34"/>
        <v/>
      </c>
      <c r="S183" s="45" t="str">
        <f t="shared" si="35"/>
        <v/>
      </c>
      <c r="T183" s="46" t="str">
        <f>IF(OR($A183="",$B183=""),"",IF(AND(IFERROR(LOOKUP(2,1/($B$9:$B$182=$B183),$AR$9:$AR182),1),NOT(AND(OR($F183="dividend",$F183="fee"),IFERROR(LOOKUP(2,1/($B$9:$B$182=$B183),$T$9:$T182),0)&gt;0))),IFERROR(LOOKUP(2,1/($B$9:$B$182=$B183),$T$9:$T182),0)+1,IFERROR(LOOKUP(2,1/($B$9:$B$182=$B183),$T$9:$T182),0)))</f>
        <v/>
      </c>
      <c r="U183" s="47" t="str">
        <f t="shared" si="36"/>
        <v/>
      </c>
      <c r="V183" s="47" t="str">
        <f>IF($A183="","",IF(OR($B183="",$C183="",$D183="",$E183="",$F183=""),"Missing required field",IF(COUNTIFS($A$9:$A183,$A183,$B$9:$B183,$B183)&gt;1,"Duplicate event ID",IF(AND($E183&lt;&gt;IFERROR(LOOKUP(2,1/($B$9:$B$182=$B183),$E$9:$E182),0),IFERROR(LOOKUP(2,1/($B$9:$B$182=$B183),$E$9:$E182),0)&gt;$E183),"Date out of order",IF(AND(OR($F183="buy_to_close",$F183="expire",$F183="roll",$F183="assignment",$F183="called_away"),$AF183=0),"Unknown lot",IF(OR(AND($F183="assignment",$AF183&gt;0,IF($AF183&gt;0,INDEX($AG$9:$AG$182,$AF183),"")&lt;&gt;"put"),AND($F183="called_away",$AF183&gt;0,IF($AF183&gt;0,INDEX($AG$9:$AG$182,$AF183),"")&lt;&gt;"call")),"Wrong option leg",IF(OR(AND(OR($F183="sell_put",$F183="sell_call"),OR($H183&lt;=0,$I183&lt;=0,$J183&lt;0)),AND(OR($F183="buy_to_close",$F183="expire",$F183="assignment",$F183="called_away"),OR($H183&lt;=0,$J183&lt;0)),AND($F183="roll",OR($H183&lt;=0,$I183&lt;=0,$J183&lt;0,$K183&lt;0)),AND(OR($F183="buy_shares",$F183="sell_shares"),OR($L183&lt;=0,$M183&lt;0)),AND(OR($F183="dividend",$F183="fee"),$N183&lt;0)),"Invalid value",IF(AND(OR($F183="sell_shares",$F183="called_away"),$AL183&lt;IF($F183="called_away",$AE183*$D183,$L183)),"Insufficient shares (capped)",IF(AND(OR($F183="buy_to_close",$F183="expire",$F183="roll",$F183="assignment",$F183="called_away"),$AF183&gt;0,$H183&gt;IF($AF183&gt;0,MAX(0,INDEX($AI$9:$AI$182,$AF183)-SUMIFS($AE$9:$AE$182,$G$9:$G$182,$G183,$B$9:$B$182,$B183)),0)),"Close quantity capped","OK")))))))))</f>
        <v/>
      </c>
      <c r="W183" s="48" t="str">
        <f t="shared" si="37"/>
        <v/>
      </c>
      <c r="X183" s="49" t="str">
        <f t="shared" si="38"/>
        <v/>
      </c>
      <c r="Y183" s="50" t="str">
        <f t="shared" si="39"/>
        <v/>
      </c>
      <c r="Z183" s="50" t="str">
        <f t="shared" si="40"/>
        <v/>
      </c>
      <c r="AA183" s="50" t="str">
        <f t="shared" si="41"/>
        <v/>
      </c>
      <c r="AB183" s="50" t="str">
        <f t="shared" si="42"/>
        <v/>
      </c>
      <c r="AC183" s="50" t="str">
        <f>IF($A183="","",IF($F183="assignment",IF($AF183&gt;0,INDEX($AH$9:$AH$182,$AF183),0)*$AE183*$D183,IF($F183="buy_shares",$M183*$AL183,0)))</f>
        <v/>
      </c>
      <c r="AD183" s="50" t="str">
        <f>IF($A183="","",IF($F183="called_away",IF($AF183&gt;0,INDEX($AH$9:$AH$182,$AF183),0)*$AL183,IF($F183="sell_shares",$M183*$AL183,0)))</f>
        <v/>
      </c>
      <c r="AE183" s="51" t="str">
        <f>IF($A183="","",IF(OR($F183="sell_put",$F183="sell_call"),IF(AND($H183&gt;0,$I183&gt;0,$J183&gt;=0),$H183,0),IF(OR($F183="buy_to_close",$F183="expire",$F183="roll",$F183="assignment",$F183="called_away"),IF(AND($AF183&gt;0,$H183&gt;0,IF($F183="assignment",IF($AF183&gt;0,INDEX($AG$9:$AG$182,$AF183),"")="put",TRUE),IF($F183="called_away",IF($AF183&gt;0,INDEX($AG$9:$AG$182,$AF183),"")="call",TRUE)),MIN($H183,IF($AF183&gt;0,MAX(0,INDEX($AI$9:$AI$182,$AF183)-SUMIFS($AE$9:$AE$182,$G$9:$G$182,$G183,$B$9:$B$182,$B183)),0)),0),0)))</f>
        <v/>
      </c>
      <c r="AF183" t="str">
        <f>IF($A183="","",IFERROR(MATCH(LEN($B183)&amp;":"&amp;$B183&amp;$G183,$AY$9:$AY$182,0),0))</f>
        <v/>
      </c>
      <c r="AG183" t="str">
        <f>IF($A183="","",IF($F183="sell_put","put",IF($F183="sell_call","call",IF($F183="roll",IF($AF183&gt;0,IF($AF183&gt;0,INDEX($AG$9:$AG$182,$AF183),""),""),IF($AF183&gt;0,IF($AF183&gt;0,INDEX($AG$9:$AG$182,$AF183),""),"")))))</f>
        <v/>
      </c>
      <c r="AH183" t="str">
        <f>IF($A183="","",IF(OR($F183="sell_put",$F183="sell_call",$F183="roll"),$I183,IF($AF183&gt;0,IF($AF183&gt;0,INDEX($AH$9:$AH$182,$AF183),0),0)))</f>
        <v/>
      </c>
      <c r="AI183" s="51" t="str">
        <f t="shared" si="43"/>
        <v/>
      </c>
      <c r="AJ183" s="51" t="str">
        <f>IF($A183="","",IFERROR(LOOKUP(2,1/($B$9:$B$182=$B183),$AM$9:$AM182),0))</f>
        <v/>
      </c>
      <c r="AK183" t="str">
        <f>IF($A183="","",IFERROR(LOOKUP(2,1/($B$9:$B$182=$B183),$AN$9:$AN182),0))</f>
        <v/>
      </c>
      <c r="AL183" s="51" t="str">
        <f t="shared" si="44"/>
        <v/>
      </c>
      <c r="AM183" s="51" t="str">
        <f t="shared" si="45"/>
        <v/>
      </c>
      <c r="AN183" t="str">
        <f t="shared" si="46"/>
        <v/>
      </c>
      <c r="AO183" s="50" t="str">
        <f>IF($A183="","",IFERROR(LOOKUP(2,1/($B$9:$B$182=$B183),$AO$9:$AO182),0)+IF($F183="sell_put",$I183*$AE183*$D183,IF($F183="roll",IF($AG183="put",($I183-IF($AF183&gt;0,INDEX($AH$9:$AH$182,$AF183),0))*$AE183*$D183,0),IF(AND(OR($F183="buy_to_close",$F183="expire",$F183="roll",$F183="assignment",$F183="called_away"),$F183&lt;&gt;"roll",$AG183="put"),-IF($AF183&gt;0,INDEX($AH$9:$AH$182,$AF183),0)*$AE183*$D183,0))))</f>
        <v/>
      </c>
      <c r="AP183" s="51" t="str">
        <f>IF($A183="","",IFERROR(LOOKUP(2,1/($B$9:$B$182=$B183),$AP$9:$AP182),0)+IF($F183="sell_put",$AE183*$D183,IF(AND(OR($F183="buy_to_close",$F183="expire",$F183="roll",$F183="assignment",$F183="called_away"),$F183&lt;&gt;"roll",$AG183="put"),-$AE183*$D183,0)))</f>
        <v/>
      </c>
      <c r="AQ183" s="51" t="str">
        <f>IF($A183="","",IFERROR(LOOKUP(2,1/($B$9:$B$182=$B183),$AQ$9:$AQ182),0)+IF(OR($F183="sell_put",$F183="sell_call"),$AE183,0)-IF(AND(OR($F183="buy_to_close",$F183="expire",$F183="roll",$F183="assignment",$F183="called_away"),$F183&lt;&gt;"roll"),$AE183,0))</f>
        <v/>
      </c>
      <c r="AR183" t="str">
        <f t="shared" si="47"/>
        <v/>
      </c>
      <c r="AS183" s="50" t="str">
        <f t="shared" si="48"/>
        <v/>
      </c>
      <c r="AT183" s="50" t="str">
        <f>IF($A183="","",MAX(IF($T183=IFERROR(LOOKUP(2,1/($B$9:$B$182=$B183),$T$9:$T182),0),IFERROR(LOOKUP(2,1/($B$9:$B$182=$B183),$AT$9:$AT182),0),0),$AS183))</f>
        <v/>
      </c>
      <c r="AU183" t="str">
        <f t="shared" si="49"/>
        <v/>
      </c>
      <c r="AV183" s="51">
        <f>IF($AU183="",0,IF(AND(IFERROR(LOOKUP(2,1/($B$9:$B$182=$B183),$AR$9:$AR182),1),NOT(AND(OR($F183="dividend",$F183="fee"),IFERROR(LOOKUP(2,1/($B$9:$B$182=$B183),$T$9:$T182),0)&gt;0))),ROW(),0))</f>
        <v>0</v>
      </c>
      <c r="AW183">
        <f>IF($A183="",0,IF($AV183&gt;0,MAX($AW$9:$AW$182)+1,MAX($AW$9:$AW$182)))</f>
        <v>0</v>
      </c>
      <c r="AX183">
        <f>IF($AU183="",0,IF(AND($AR183,OR(NOT(IFERROR(LOOKUP(2,1/($B$9:$B$182=$B183),$AR$9:$AR182),1)),IFERROR(LOOKUP(2,1/($B$9:$B$182=$B183),$T$9:$T182),0)=0)),ROW(),0))</f>
        <v>0</v>
      </c>
      <c r="AY183" t="str">
        <f t="shared" si="50"/>
        <v/>
      </c>
    </row>
    <row r="184" spans="1:51" ht="15" x14ac:dyDescent="0.25">
      <c r="A184" s="52" t="str">
        <f>IF(Trades!$A184="","",Trades!O184)</f>
        <v/>
      </c>
      <c r="B184" s="52" t="str">
        <f>IF(Trades!$A184="","",Trades!B184)</f>
        <v/>
      </c>
      <c r="C184" s="52" t="str">
        <f>IF(Trades!$A184="","",Trades!C184)</f>
        <v/>
      </c>
      <c r="D184" s="53" t="str">
        <f>IF(Trades!$A184="","",IF(Trades!$L184&gt;0,Trades!$L184,Trades!$C$6))</f>
        <v/>
      </c>
      <c r="E184" s="54" t="str">
        <f>IF(Trades!$A184="","",Trades!A184)</f>
        <v/>
      </c>
      <c r="F184" s="52" t="str">
        <f>IF(Trades!$A184="","",IFERROR(INDEX(Trades!$V$2:$V$14,MATCH(Trades!$E184,Trades!$U$2:$U$14,0)),""))</f>
        <v/>
      </c>
      <c r="G184" s="52" t="str">
        <f>IF(Trades!$A184="","",Trades!N184)</f>
        <v/>
      </c>
      <c r="H184" s="53" t="str">
        <f>IF(Trades!$A184="","",Trades!F184)</f>
        <v/>
      </c>
      <c r="I184" s="55" t="str">
        <f>IF(Trades!$A184="","",Trades!G184)</f>
        <v/>
      </c>
      <c r="J184" s="55" t="str">
        <f>IF(Trades!$A184="","",Trades!I184)</f>
        <v/>
      </c>
      <c r="K184" s="55" t="str">
        <f>IF(Trades!$A184="","",Trades!Q184)</f>
        <v/>
      </c>
      <c r="L184" s="53" t="str">
        <f>IF(Trades!$A184="","",Trades!F184)</f>
        <v/>
      </c>
      <c r="M184" s="55" t="str">
        <f>IF(Trades!$A184="","",Trades!M184)</f>
        <v/>
      </c>
      <c r="N184" s="55" t="str">
        <f>IF(Trades!$A184="","",Trades!R184)</f>
        <v/>
      </c>
      <c r="O184" s="55" t="str">
        <f>IF(Trades!$A184="","",Trades!J184)</f>
        <v/>
      </c>
      <c r="P184" s="54" t="str">
        <f>IF(Trades!$A184="","",Trades!H184)</f>
        <v/>
      </c>
      <c r="Q184" s="52" t="str">
        <f>IF(Trades!$A184="","",Trades!P184)</f>
        <v/>
      </c>
      <c r="R184" s="56" t="str">
        <f t="shared" si="34"/>
        <v/>
      </c>
      <c r="S184" s="56" t="str">
        <f t="shared" si="35"/>
        <v/>
      </c>
      <c r="T184" s="57" t="str">
        <f>IF(OR($A184="",$B184=""),"",IF(AND(IFERROR(LOOKUP(2,1/($B$9:$B$183=$B184),$AR$9:$AR183),1),NOT(AND(OR($F184="dividend",$F184="fee"),IFERROR(LOOKUP(2,1/($B$9:$B$183=$B184),$T$9:$T183),0)&gt;0))),IFERROR(LOOKUP(2,1/($B$9:$B$183=$B184),$T$9:$T183),0)+1,IFERROR(LOOKUP(2,1/($B$9:$B$183=$B184),$T$9:$T183),0)))</f>
        <v/>
      </c>
      <c r="U184" s="58" t="str">
        <f t="shared" si="36"/>
        <v/>
      </c>
      <c r="V184" s="58" t="str">
        <f>IF($A184="","",IF(OR($B184="",$C184="",$D184="",$E184="",$F184=""),"Missing required field",IF(COUNTIFS($A$9:$A184,$A184,$B$9:$B184,$B184)&gt;1,"Duplicate event ID",IF(AND($E184&lt;&gt;IFERROR(LOOKUP(2,1/($B$9:$B$183=$B184),$E$9:$E183),0),IFERROR(LOOKUP(2,1/($B$9:$B$183=$B184),$E$9:$E183),0)&gt;$E184),"Date out of order",IF(AND(OR($F184="buy_to_close",$F184="expire",$F184="roll",$F184="assignment",$F184="called_away"),$AF184=0),"Unknown lot",IF(OR(AND($F184="assignment",$AF184&gt;0,IF($AF184&gt;0,INDEX($AG$9:$AG$183,$AF184),"")&lt;&gt;"put"),AND($F184="called_away",$AF184&gt;0,IF($AF184&gt;0,INDEX($AG$9:$AG$183,$AF184),"")&lt;&gt;"call")),"Wrong option leg",IF(OR(AND(OR($F184="sell_put",$F184="sell_call"),OR($H184&lt;=0,$I184&lt;=0,$J184&lt;0)),AND(OR($F184="buy_to_close",$F184="expire",$F184="assignment",$F184="called_away"),OR($H184&lt;=0,$J184&lt;0)),AND($F184="roll",OR($H184&lt;=0,$I184&lt;=0,$J184&lt;0,$K184&lt;0)),AND(OR($F184="buy_shares",$F184="sell_shares"),OR($L184&lt;=0,$M184&lt;0)),AND(OR($F184="dividend",$F184="fee"),$N184&lt;0)),"Invalid value",IF(AND(OR($F184="sell_shares",$F184="called_away"),$AL184&lt;IF($F184="called_away",$AE184*$D184,$L184)),"Insufficient shares (capped)",IF(AND(OR($F184="buy_to_close",$F184="expire",$F184="roll",$F184="assignment",$F184="called_away"),$AF184&gt;0,$H184&gt;IF($AF184&gt;0,MAX(0,INDEX($AI$9:$AI$183,$AF184)-SUMIFS($AE$9:$AE$183,$G$9:$G$183,$G184,$B$9:$B$183,$B184)),0)),"Close quantity capped","OK")))))))))</f>
        <v/>
      </c>
      <c r="W184" s="59" t="str">
        <f t="shared" si="37"/>
        <v/>
      </c>
      <c r="X184" s="60" t="str">
        <f t="shared" si="38"/>
        <v/>
      </c>
      <c r="Y184" s="50" t="str">
        <f t="shared" si="39"/>
        <v/>
      </c>
      <c r="Z184" s="50" t="str">
        <f t="shared" si="40"/>
        <v/>
      </c>
      <c r="AA184" s="50" t="str">
        <f t="shared" si="41"/>
        <v/>
      </c>
      <c r="AB184" s="50" t="str">
        <f t="shared" si="42"/>
        <v/>
      </c>
      <c r="AC184" s="50" t="str">
        <f>IF($A184="","",IF($F184="assignment",IF($AF184&gt;0,INDEX($AH$9:$AH$183,$AF184),0)*$AE184*$D184,IF($F184="buy_shares",$M184*$AL184,0)))</f>
        <v/>
      </c>
      <c r="AD184" s="50" t="str">
        <f>IF($A184="","",IF($F184="called_away",IF($AF184&gt;0,INDEX($AH$9:$AH$183,$AF184),0)*$AL184,IF($F184="sell_shares",$M184*$AL184,0)))</f>
        <v/>
      </c>
      <c r="AE184" s="51" t="str">
        <f>IF($A184="","",IF(OR($F184="sell_put",$F184="sell_call"),IF(AND($H184&gt;0,$I184&gt;0,$J184&gt;=0),$H184,0),IF(OR($F184="buy_to_close",$F184="expire",$F184="roll",$F184="assignment",$F184="called_away"),IF(AND($AF184&gt;0,$H184&gt;0,IF($F184="assignment",IF($AF184&gt;0,INDEX($AG$9:$AG$183,$AF184),"")="put",TRUE),IF($F184="called_away",IF($AF184&gt;0,INDEX($AG$9:$AG$183,$AF184),"")="call",TRUE)),MIN($H184,IF($AF184&gt;0,MAX(0,INDEX($AI$9:$AI$183,$AF184)-SUMIFS($AE$9:$AE$183,$G$9:$G$183,$G184,$B$9:$B$183,$B184)),0)),0),0)))</f>
        <v/>
      </c>
      <c r="AF184" t="str">
        <f>IF($A184="","",IFERROR(MATCH(LEN($B184)&amp;":"&amp;$B184&amp;$G184,$AY$9:$AY$183,0),0))</f>
        <v/>
      </c>
      <c r="AG184" t="str">
        <f>IF($A184="","",IF($F184="sell_put","put",IF($F184="sell_call","call",IF($F184="roll",IF($AF184&gt;0,IF($AF184&gt;0,INDEX($AG$9:$AG$183,$AF184),""),""),IF($AF184&gt;0,IF($AF184&gt;0,INDEX($AG$9:$AG$183,$AF184),""),"")))))</f>
        <v/>
      </c>
      <c r="AH184" t="str">
        <f>IF($A184="","",IF(OR($F184="sell_put",$F184="sell_call",$F184="roll"),$I184,IF($AF184&gt;0,IF($AF184&gt;0,INDEX($AH$9:$AH$183,$AF184),0),0)))</f>
        <v/>
      </c>
      <c r="AI184" s="51" t="str">
        <f t="shared" si="43"/>
        <v/>
      </c>
      <c r="AJ184" s="51" t="str">
        <f>IF($A184="","",IFERROR(LOOKUP(2,1/($B$9:$B$183=$B184),$AM$9:$AM183),0))</f>
        <v/>
      </c>
      <c r="AK184" t="str">
        <f>IF($A184="","",IFERROR(LOOKUP(2,1/($B$9:$B$183=$B184),$AN$9:$AN183),0))</f>
        <v/>
      </c>
      <c r="AL184" s="51" t="str">
        <f t="shared" si="44"/>
        <v/>
      </c>
      <c r="AM184" s="51" t="str">
        <f t="shared" si="45"/>
        <v/>
      </c>
      <c r="AN184" t="str">
        <f t="shared" si="46"/>
        <v/>
      </c>
      <c r="AO184" s="50" t="str">
        <f>IF($A184="","",IFERROR(LOOKUP(2,1/($B$9:$B$183=$B184),$AO$9:$AO183),0)+IF($F184="sell_put",$I184*$AE184*$D184,IF($F184="roll",IF($AG184="put",($I184-IF($AF184&gt;0,INDEX($AH$9:$AH$183,$AF184),0))*$AE184*$D184,0),IF(AND(OR($F184="buy_to_close",$F184="expire",$F184="roll",$F184="assignment",$F184="called_away"),$F184&lt;&gt;"roll",$AG184="put"),-IF($AF184&gt;0,INDEX($AH$9:$AH$183,$AF184),0)*$AE184*$D184,0))))</f>
        <v/>
      </c>
      <c r="AP184" s="51" t="str">
        <f>IF($A184="","",IFERROR(LOOKUP(2,1/($B$9:$B$183=$B184),$AP$9:$AP183),0)+IF($F184="sell_put",$AE184*$D184,IF(AND(OR($F184="buy_to_close",$F184="expire",$F184="roll",$F184="assignment",$F184="called_away"),$F184&lt;&gt;"roll",$AG184="put"),-$AE184*$D184,0)))</f>
        <v/>
      </c>
      <c r="AQ184" s="51" t="str">
        <f>IF($A184="","",IFERROR(LOOKUP(2,1/($B$9:$B$183=$B184),$AQ$9:$AQ183),0)+IF(OR($F184="sell_put",$F184="sell_call"),$AE184,0)-IF(AND(OR($F184="buy_to_close",$F184="expire",$F184="roll",$F184="assignment",$F184="called_away"),$F184&lt;&gt;"roll"),$AE184,0))</f>
        <v/>
      </c>
      <c r="AR184" t="str">
        <f t="shared" si="47"/>
        <v/>
      </c>
      <c r="AS184" s="50" t="str">
        <f t="shared" si="48"/>
        <v/>
      </c>
      <c r="AT184" s="50" t="str">
        <f>IF($A184="","",MAX(IF($T184=IFERROR(LOOKUP(2,1/($B$9:$B$183=$B184),$T$9:$T183),0),IFERROR(LOOKUP(2,1/($B$9:$B$183=$B184),$AT$9:$AT183),0),0),$AS184))</f>
        <v/>
      </c>
      <c r="AU184" t="str">
        <f t="shared" si="49"/>
        <v/>
      </c>
      <c r="AV184" s="51">
        <f>IF($AU184="",0,IF(AND(IFERROR(LOOKUP(2,1/($B$9:$B$183=$B184),$AR$9:$AR183),1),NOT(AND(OR($F184="dividend",$F184="fee"),IFERROR(LOOKUP(2,1/($B$9:$B$183=$B184),$T$9:$T183),0)&gt;0))),ROW(),0))</f>
        <v>0</v>
      </c>
      <c r="AW184">
        <f>IF($A184="",0,IF($AV184&gt;0,MAX($AW$9:$AW$183)+1,MAX($AW$9:$AW$183)))</f>
        <v>0</v>
      </c>
      <c r="AX184">
        <f>IF($AU184="",0,IF(AND($AR184,OR(NOT(IFERROR(LOOKUP(2,1/($B$9:$B$183=$B184),$AR$9:$AR183),1)),IFERROR(LOOKUP(2,1/($B$9:$B$183=$B184),$T$9:$T183),0)=0)),ROW(),0))</f>
        <v>0</v>
      </c>
      <c r="AY184" t="str">
        <f t="shared" si="50"/>
        <v/>
      </c>
    </row>
    <row r="185" spans="1:51" ht="15" x14ac:dyDescent="0.25">
      <c r="A185" s="41" t="str">
        <f>IF(Trades!$A185="","",Trades!O185)</f>
        <v/>
      </c>
      <c r="B185" s="41" t="str">
        <f>IF(Trades!$A185="","",Trades!B185)</f>
        <v/>
      </c>
      <c r="C185" s="41" t="str">
        <f>IF(Trades!$A185="","",Trades!C185)</f>
        <v/>
      </c>
      <c r="D185" s="42" t="str">
        <f>IF(Trades!$A185="","",IF(Trades!$L185&gt;0,Trades!$L185,Trades!$C$6))</f>
        <v/>
      </c>
      <c r="E185" s="43" t="str">
        <f>IF(Trades!$A185="","",Trades!A185)</f>
        <v/>
      </c>
      <c r="F185" s="41" t="str">
        <f>IF(Trades!$A185="","",IFERROR(INDEX(Trades!$V$2:$V$14,MATCH(Trades!$E185,Trades!$U$2:$U$14,0)),""))</f>
        <v/>
      </c>
      <c r="G185" s="41" t="str">
        <f>IF(Trades!$A185="","",Trades!N185)</f>
        <v/>
      </c>
      <c r="H185" s="42" t="str">
        <f>IF(Trades!$A185="","",Trades!F185)</f>
        <v/>
      </c>
      <c r="I185" s="44" t="str">
        <f>IF(Trades!$A185="","",Trades!G185)</f>
        <v/>
      </c>
      <c r="J185" s="44" t="str">
        <f>IF(Trades!$A185="","",Trades!I185)</f>
        <v/>
      </c>
      <c r="K185" s="44" t="str">
        <f>IF(Trades!$A185="","",Trades!Q185)</f>
        <v/>
      </c>
      <c r="L185" s="42" t="str">
        <f>IF(Trades!$A185="","",Trades!F185)</f>
        <v/>
      </c>
      <c r="M185" s="44" t="str">
        <f>IF(Trades!$A185="","",Trades!M185)</f>
        <v/>
      </c>
      <c r="N185" s="44" t="str">
        <f>IF(Trades!$A185="","",Trades!R185)</f>
        <v/>
      </c>
      <c r="O185" s="44" t="str">
        <f>IF(Trades!$A185="","",Trades!J185)</f>
        <v/>
      </c>
      <c r="P185" s="43" t="str">
        <f>IF(Trades!$A185="","",Trades!H185)</f>
        <v/>
      </c>
      <c r="Q185" s="41" t="str">
        <f>IF(Trades!$A185="","",Trades!P185)</f>
        <v/>
      </c>
      <c r="R185" s="45" t="str">
        <f t="shared" si="34"/>
        <v/>
      </c>
      <c r="S185" s="45" t="str">
        <f t="shared" si="35"/>
        <v/>
      </c>
      <c r="T185" s="46" t="str">
        <f>IF(OR($A185="",$B185=""),"",IF(AND(IFERROR(LOOKUP(2,1/($B$9:$B$184=$B185),$AR$9:$AR184),1),NOT(AND(OR($F185="dividend",$F185="fee"),IFERROR(LOOKUP(2,1/($B$9:$B$184=$B185),$T$9:$T184),0)&gt;0))),IFERROR(LOOKUP(2,1/($B$9:$B$184=$B185),$T$9:$T184),0)+1,IFERROR(LOOKUP(2,1/($B$9:$B$184=$B185),$T$9:$T184),0)))</f>
        <v/>
      </c>
      <c r="U185" s="47" t="str">
        <f t="shared" si="36"/>
        <v/>
      </c>
      <c r="V185" s="47" t="str">
        <f>IF($A185="","",IF(OR($B185="",$C185="",$D185="",$E185="",$F185=""),"Missing required field",IF(COUNTIFS($A$9:$A185,$A185,$B$9:$B185,$B185)&gt;1,"Duplicate event ID",IF(AND($E185&lt;&gt;IFERROR(LOOKUP(2,1/($B$9:$B$184=$B185),$E$9:$E184),0),IFERROR(LOOKUP(2,1/($B$9:$B$184=$B185),$E$9:$E184),0)&gt;$E185),"Date out of order",IF(AND(OR($F185="buy_to_close",$F185="expire",$F185="roll",$F185="assignment",$F185="called_away"),$AF185=0),"Unknown lot",IF(OR(AND($F185="assignment",$AF185&gt;0,IF($AF185&gt;0,INDEX($AG$9:$AG$184,$AF185),"")&lt;&gt;"put"),AND($F185="called_away",$AF185&gt;0,IF($AF185&gt;0,INDEX($AG$9:$AG$184,$AF185),"")&lt;&gt;"call")),"Wrong option leg",IF(OR(AND(OR($F185="sell_put",$F185="sell_call"),OR($H185&lt;=0,$I185&lt;=0,$J185&lt;0)),AND(OR($F185="buy_to_close",$F185="expire",$F185="assignment",$F185="called_away"),OR($H185&lt;=0,$J185&lt;0)),AND($F185="roll",OR($H185&lt;=0,$I185&lt;=0,$J185&lt;0,$K185&lt;0)),AND(OR($F185="buy_shares",$F185="sell_shares"),OR($L185&lt;=0,$M185&lt;0)),AND(OR($F185="dividend",$F185="fee"),$N185&lt;0)),"Invalid value",IF(AND(OR($F185="sell_shares",$F185="called_away"),$AL185&lt;IF($F185="called_away",$AE185*$D185,$L185)),"Insufficient shares (capped)",IF(AND(OR($F185="buy_to_close",$F185="expire",$F185="roll",$F185="assignment",$F185="called_away"),$AF185&gt;0,$H185&gt;IF($AF185&gt;0,MAX(0,INDEX($AI$9:$AI$184,$AF185)-SUMIFS($AE$9:$AE$184,$G$9:$G$184,$G185,$B$9:$B$184,$B185)),0)),"Close quantity capped","OK")))))))))</f>
        <v/>
      </c>
      <c r="W185" s="48" t="str">
        <f t="shared" si="37"/>
        <v/>
      </c>
      <c r="X185" s="49" t="str">
        <f t="shared" si="38"/>
        <v/>
      </c>
      <c r="Y185" s="50" t="str">
        <f t="shared" si="39"/>
        <v/>
      </c>
      <c r="Z185" s="50" t="str">
        <f t="shared" si="40"/>
        <v/>
      </c>
      <c r="AA185" s="50" t="str">
        <f t="shared" si="41"/>
        <v/>
      </c>
      <c r="AB185" s="50" t="str">
        <f t="shared" si="42"/>
        <v/>
      </c>
      <c r="AC185" s="50" t="str">
        <f>IF($A185="","",IF($F185="assignment",IF($AF185&gt;0,INDEX($AH$9:$AH$184,$AF185),0)*$AE185*$D185,IF($F185="buy_shares",$M185*$AL185,0)))</f>
        <v/>
      </c>
      <c r="AD185" s="50" t="str">
        <f>IF($A185="","",IF($F185="called_away",IF($AF185&gt;0,INDEX($AH$9:$AH$184,$AF185),0)*$AL185,IF($F185="sell_shares",$M185*$AL185,0)))</f>
        <v/>
      </c>
      <c r="AE185" s="51" t="str">
        <f>IF($A185="","",IF(OR($F185="sell_put",$F185="sell_call"),IF(AND($H185&gt;0,$I185&gt;0,$J185&gt;=0),$H185,0),IF(OR($F185="buy_to_close",$F185="expire",$F185="roll",$F185="assignment",$F185="called_away"),IF(AND($AF185&gt;0,$H185&gt;0,IF($F185="assignment",IF($AF185&gt;0,INDEX($AG$9:$AG$184,$AF185),"")="put",TRUE),IF($F185="called_away",IF($AF185&gt;0,INDEX($AG$9:$AG$184,$AF185),"")="call",TRUE)),MIN($H185,IF($AF185&gt;0,MAX(0,INDEX($AI$9:$AI$184,$AF185)-SUMIFS($AE$9:$AE$184,$G$9:$G$184,$G185,$B$9:$B$184,$B185)),0)),0),0)))</f>
        <v/>
      </c>
      <c r="AF185" t="str">
        <f>IF($A185="","",IFERROR(MATCH(LEN($B185)&amp;":"&amp;$B185&amp;$G185,$AY$9:$AY$184,0),0))</f>
        <v/>
      </c>
      <c r="AG185" t="str">
        <f>IF($A185="","",IF($F185="sell_put","put",IF($F185="sell_call","call",IF($F185="roll",IF($AF185&gt;0,IF($AF185&gt;0,INDEX($AG$9:$AG$184,$AF185),""),""),IF($AF185&gt;0,IF($AF185&gt;0,INDEX($AG$9:$AG$184,$AF185),""),"")))))</f>
        <v/>
      </c>
      <c r="AH185" t="str">
        <f>IF($A185="","",IF(OR($F185="sell_put",$F185="sell_call",$F185="roll"),$I185,IF($AF185&gt;0,IF($AF185&gt;0,INDEX($AH$9:$AH$184,$AF185),0),0)))</f>
        <v/>
      </c>
      <c r="AI185" s="51" t="str">
        <f t="shared" si="43"/>
        <v/>
      </c>
      <c r="AJ185" s="51" t="str">
        <f>IF($A185="","",IFERROR(LOOKUP(2,1/($B$9:$B$184=$B185),$AM$9:$AM184),0))</f>
        <v/>
      </c>
      <c r="AK185" t="str">
        <f>IF($A185="","",IFERROR(LOOKUP(2,1/($B$9:$B$184=$B185),$AN$9:$AN184),0))</f>
        <v/>
      </c>
      <c r="AL185" s="51" t="str">
        <f t="shared" si="44"/>
        <v/>
      </c>
      <c r="AM185" s="51" t="str">
        <f t="shared" si="45"/>
        <v/>
      </c>
      <c r="AN185" t="str">
        <f t="shared" si="46"/>
        <v/>
      </c>
      <c r="AO185" s="50" t="str">
        <f>IF($A185="","",IFERROR(LOOKUP(2,1/($B$9:$B$184=$B185),$AO$9:$AO184),0)+IF($F185="sell_put",$I185*$AE185*$D185,IF($F185="roll",IF($AG185="put",($I185-IF($AF185&gt;0,INDEX($AH$9:$AH$184,$AF185),0))*$AE185*$D185,0),IF(AND(OR($F185="buy_to_close",$F185="expire",$F185="roll",$F185="assignment",$F185="called_away"),$F185&lt;&gt;"roll",$AG185="put"),-IF($AF185&gt;0,INDEX($AH$9:$AH$184,$AF185),0)*$AE185*$D185,0))))</f>
        <v/>
      </c>
      <c r="AP185" s="51" t="str">
        <f>IF($A185="","",IFERROR(LOOKUP(2,1/($B$9:$B$184=$B185),$AP$9:$AP184),0)+IF($F185="sell_put",$AE185*$D185,IF(AND(OR($F185="buy_to_close",$F185="expire",$F185="roll",$F185="assignment",$F185="called_away"),$F185&lt;&gt;"roll",$AG185="put"),-$AE185*$D185,0)))</f>
        <v/>
      </c>
      <c r="AQ185" s="51" t="str">
        <f>IF($A185="","",IFERROR(LOOKUP(2,1/($B$9:$B$184=$B185),$AQ$9:$AQ184),0)+IF(OR($F185="sell_put",$F185="sell_call"),$AE185,0)-IF(AND(OR($F185="buy_to_close",$F185="expire",$F185="roll",$F185="assignment",$F185="called_away"),$F185&lt;&gt;"roll"),$AE185,0))</f>
        <v/>
      </c>
      <c r="AR185" t="str">
        <f t="shared" si="47"/>
        <v/>
      </c>
      <c r="AS185" s="50" t="str">
        <f t="shared" si="48"/>
        <v/>
      </c>
      <c r="AT185" s="50" t="str">
        <f>IF($A185="","",MAX(IF($T185=IFERROR(LOOKUP(2,1/($B$9:$B$184=$B185),$T$9:$T184),0),IFERROR(LOOKUP(2,1/($B$9:$B$184=$B185),$AT$9:$AT184),0),0),$AS185))</f>
        <v/>
      </c>
      <c r="AU185" t="str">
        <f t="shared" si="49"/>
        <v/>
      </c>
      <c r="AV185" s="51">
        <f>IF($AU185="",0,IF(AND(IFERROR(LOOKUP(2,1/($B$9:$B$184=$B185),$AR$9:$AR184),1),NOT(AND(OR($F185="dividend",$F185="fee"),IFERROR(LOOKUP(2,1/($B$9:$B$184=$B185),$T$9:$T184),0)&gt;0))),ROW(),0))</f>
        <v>0</v>
      </c>
      <c r="AW185">
        <f>IF($A185="",0,IF($AV185&gt;0,MAX($AW$9:$AW$184)+1,MAX($AW$9:$AW$184)))</f>
        <v>0</v>
      </c>
      <c r="AX185">
        <f>IF($AU185="",0,IF(AND($AR185,OR(NOT(IFERROR(LOOKUP(2,1/($B$9:$B$184=$B185),$AR$9:$AR184),1)),IFERROR(LOOKUP(2,1/($B$9:$B$184=$B185),$T$9:$T184),0)=0)),ROW(),0))</f>
        <v>0</v>
      </c>
      <c r="AY185" t="str">
        <f t="shared" si="50"/>
        <v/>
      </c>
    </row>
    <row r="186" spans="1:51" ht="15" x14ac:dyDescent="0.25">
      <c r="A186" s="52" t="str">
        <f>IF(Trades!$A186="","",Trades!O186)</f>
        <v/>
      </c>
      <c r="B186" s="52" t="str">
        <f>IF(Trades!$A186="","",Trades!B186)</f>
        <v/>
      </c>
      <c r="C186" s="52" t="str">
        <f>IF(Trades!$A186="","",Trades!C186)</f>
        <v/>
      </c>
      <c r="D186" s="53" t="str">
        <f>IF(Trades!$A186="","",IF(Trades!$L186&gt;0,Trades!$L186,Trades!$C$6))</f>
        <v/>
      </c>
      <c r="E186" s="54" t="str">
        <f>IF(Trades!$A186="","",Trades!A186)</f>
        <v/>
      </c>
      <c r="F186" s="52" t="str">
        <f>IF(Trades!$A186="","",IFERROR(INDEX(Trades!$V$2:$V$14,MATCH(Trades!$E186,Trades!$U$2:$U$14,0)),""))</f>
        <v/>
      </c>
      <c r="G186" s="52" t="str">
        <f>IF(Trades!$A186="","",Trades!N186)</f>
        <v/>
      </c>
      <c r="H186" s="53" t="str">
        <f>IF(Trades!$A186="","",Trades!F186)</f>
        <v/>
      </c>
      <c r="I186" s="55" t="str">
        <f>IF(Trades!$A186="","",Trades!G186)</f>
        <v/>
      </c>
      <c r="J186" s="55" t="str">
        <f>IF(Trades!$A186="","",Trades!I186)</f>
        <v/>
      </c>
      <c r="K186" s="55" t="str">
        <f>IF(Trades!$A186="","",Trades!Q186)</f>
        <v/>
      </c>
      <c r="L186" s="53" t="str">
        <f>IF(Trades!$A186="","",Trades!F186)</f>
        <v/>
      </c>
      <c r="M186" s="55" t="str">
        <f>IF(Trades!$A186="","",Trades!M186)</f>
        <v/>
      </c>
      <c r="N186" s="55" t="str">
        <f>IF(Trades!$A186="","",Trades!R186)</f>
        <v/>
      </c>
      <c r="O186" s="55" t="str">
        <f>IF(Trades!$A186="","",Trades!J186)</f>
        <v/>
      </c>
      <c r="P186" s="54" t="str">
        <f>IF(Trades!$A186="","",Trades!H186)</f>
        <v/>
      </c>
      <c r="Q186" s="52" t="str">
        <f>IF(Trades!$A186="","",Trades!P186)</f>
        <v/>
      </c>
      <c r="R186" s="56" t="str">
        <f t="shared" si="34"/>
        <v/>
      </c>
      <c r="S186" s="56" t="str">
        <f t="shared" si="35"/>
        <v/>
      </c>
      <c r="T186" s="57" t="str">
        <f>IF(OR($A186="",$B186=""),"",IF(AND(IFERROR(LOOKUP(2,1/($B$9:$B$185=$B186),$AR$9:$AR185),1),NOT(AND(OR($F186="dividend",$F186="fee"),IFERROR(LOOKUP(2,1/($B$9:$B$185=$B186),$T$9:$T185),0)&gt;0))),IFERROR(LOOKUP(2,1/($B$9:$B$185=$B186),$T$9:$T185),0)+1,IFERROR(LOOKUP(2,1/($B$9:$B$185=$B186),$T$9:$T185),0)))</f>
        <v/>
      </c>
      <c r="U186" s="58" t="str">
        <f t="shared" si="36"/>
        <v/>
      </c>
      <c r="V186" s="58" t="str">
        <f>IF($A186="","",IF(OR($B186="",$C186="",$D186="",$E186="",$F186=""),"Missing required field",IF(COUNTIFS($A$9:$A186,$A186,$B$9:$B186,$B186)&gt;1,"Duplicate event ID",IF(AND($E186&lt;&gt;IFERROR(LOOKUP(2,1/($B$9:$B$185=$B186),$E$9:$E185),0),IFERROR(LOOKUP(2,1/($B$9:$B$185=$B186),$E$9:$E185),0)&gt;$E186),"Date out of order",IF(AND(OR($F186="buy_to_close",$F186="expire",$F186="roll",$F186="assignment",$F186="called_away"),$AF186=0),"Unknown lot",IF(OR(AND($F186="assignment",$AF186&gt;0,IF($AF186&gt;0,INDEX($AG$9:$AG$185,$AF186),"")&lt;&gt;"put"),AND($F186="called_away",$AF186&gt;0,IF($AF186&gt;0,INDEX($AG$9:$AG$185,$AF186),"")&lt;&gt;"call")),"Wrong option leg",IF(OR(AND(OR($F186="sell_put",$F186="sell_call"),OR($H186&lt;=0,$I186&lt;=0,$J186&lt;0)),AND(OR($F186="buy_to_close",$F186="expire",$F186="assignment",$F186="called_away"),OR($H186&lt;=0,$J186&lt;0)),AND($F186="roll",OR($H186&lt;=0,$I186&lt;=0,$J186&lt;0,$K186&lt;0)),AND(OR($F186="buy_shares",$F186="sell_shares"),OR($L186&lt;=0,$M186&lt;0)),AND(OR($F186="dividend",$F186="fee"),$N186&lt;0)),"Invalid value",IF(AND(OR($F186="sell_shares",$F186="called_away"),$AL186&lt;IF($F186="called_away",$AE186*$D186,$L186)),"Insufficient shares (capped)",IF(AND(OR($F186="buy_to_close",$F186="expire",$F186="roll",$F186="assignment",$F186="called_away"),$AF186&gt;0,$H186&gt;IF($AF186&gt;0,MAX(0,INDEX($AI$9:$AI$185,$AF186)-SUMIFS($AE$9:$AE$185,$G$9:$G$185,$G186,$B$9:$B$185,$B186)),0)),"Close quantity capped","OK")))))))))</f>
        <v/>
      </c>
      <c r="W186" s="59" t="str">
        <f t="shared" si="37"/>
        <v/>
      </c>
      <c r="X186" s="60" t="str">
        <f t="shared" si="38"/>
        <v/>
      </c>
      <c r="Y186" s="50" t="str">
        <f t="shared" si="39"/>
        <v/>
      </c>
      <c r="Z186" s="50" t="str">
        <f t="shared" si="40"/>
        <v/>
      </c>
      <c r="AA186" s="50" t="str">
        <f t="shared" si="41"/>
        <v/>
      </c>
      <c r="AB186" s="50" t="str">
        <f t="shared" si="42"/>
        <v/>
      </c>
      <c r="AC186" s="50" t="str">
        <f>IF($A186="","",IF($F186="assignment",IF($AF186&gt;0,INDEX($AH$9:$AH$185,$AF186),0)*$AE186*$D186,IF($F186="buy_shares",$M186*$AL186,0)))</f>
        <v/>
      </c>
      <c r="AD186" s="50" t="str">
        <f>IF($A186="","",IF($F186="called_away",IF($AF186&gt;0,INDEX($AH$9:$AH$185,$AF186),0)*$AL186,IF($F186="sell_shares",$M186*$AL186,0)))</f>
        <v/>
      </c>
      <c r="AE186" s="51" t="str">
        <f>IF($A186="","",IF(OR($F186="sell_put",$F186="sell_call"),IF(AND($H186&gt;0,$I186&gt;0,$J186&gt;=0),$H186,0),IF(OR($F186="buy_to_close",$F186="expire",$F186="roll",$F186="assignment",$F186="called_away"),IF(AND($AF186&gt;0,$H186&gt;0,IF($F186="assignment",IF($AF186&gt;0,INDEX($AG$9:$AG$185,$AF186),"")="put",TRUE),IF($F186="called_away",IF($AF186&gt;0,INDEX($AG$9:$AG$185,$AF186),"")="call",TRUE)),MIN($H186,IF($AF186&gt;0,MAX(0,INDEX($AI$9:$AI$185,$AF186)-SUMIFS($AE$9:$AE$185,$G$9:$G$185,$G186,$B$9:$B$185,$B186)),0)),0),0)))</f>
        <v/>
      </c>
      <c r="AF186" t="str">
        <f>IF($A186="","",IFERROR(MATCH(LEN($B186)&amp;":"&amp;$B186&amp;$G186,$AY$9:$AY$185,0),0))</f>
        <v/>
      </c>
      <c r="AG186" t="str">
        <f>IF($A186="","",IF($F186="sell_put","put",IF($F186="sell_call","call",IF($F186="roll",IF($AF186&gt;0,IF($AF186&gt;0,INDEX($AG$9:$AG$185,$AF186),""),""),IF($AF186&gt;0,IF($AF186&gt;0,INDEX($AG$9:$AG$185,$AF186),""),"")))))</f>
        <v/>
      </c>
      <c r="AH186" t="str">
        <f>IF($A186="","",IF(OR($F186="sell_put",$F186="sell_call",$F186="roll"),$I186,IF($AF186&gt;0,IF($AF186&gt;0,INDEX($AH$9:$AH$185,$AF186),0),0)))</f>
        <v/>
      </c>
      <c r="AI186" s="51" t="str">
        <f t="shared" si="43"/>
        <v/>
      </c>
      <c r="AJ186" s="51" t="str">
        <f>IF($A186="","",IFERROR(LOOKUP(2,1/($B$9:$B$185=$B186),$AM$9:$AM185),0))</f>
        <v/>
      </c>
      <c r="AK186" t="str">
        <f>IF($A186="","",IFERROR(LOOKUP(2,1/($B$9:$B$185=$B186),$AN$9:$AN185),0))</f>
        <v/>
      </c>
      <c r="AL186" s="51" t="str">
        <f t="shared" si="44"/>
        <v/>
      </c>
      <c r="AM186" s="51" t="str">
        <f t="shared" si="45"/>
        <v/>
      </c>
      <c r="AN186" t="str">
        <f t="shared" si="46"/>
        <v/>
      </c>
      <c r="AO186" s="50" t="str">
        <f>IF($A186="","",IFERROR(LOOKUP(2,1/($B$9:$B$185=$B186),$AO$9:$AO185),0)+IF($F186="sell_put",$I186*$AE186*$D186,IF($F186="roll",IF($AG186="put",($I186-IF($AF186&gt;0,INDEX($AH$9:$AH$185,$AF186),0))*$AE186*$D186,0),IF(AND(OR($F186="buy_to_close",$F186="expire",$F186="roll",$F186="assignment",$F186="called_away"),$F186&lt;&gt;"roll",$AG186="put"),-IF($AF186&gt;0,INDEX($AH$9:$AH$185,$AF186),0)*$AE186*$D186,0))))</f>
        <v/>
      </c>
      <c r="AP186" s="51" t="str">
        <f>IF($A186="","",IFERROR(LOOKUP(2,1/($B$9:$B$185=$B186),$AP$9:$AP185),0)+IF($F186="sell_put",$AE186*$D186,IF(AND(OR($F186="buy_to_close",$F186="expire",$F186="roll",$F186="assignment",$F186="called_away"),$F186&lt;&gt;"roll",$AG186="put"),-$AE186*$D186,0)))</f>
        <v/>
      </c>
      <c r="AQ186" s="51" t="str">
        <f>IF($A186="","",IFERROR(LOOKUP(2,1/($B$9:$B$185=$B186),$AQ$9:$AQ185),0)+IF(OR($F186="sell_put",$F186="sell_call"),$AE186,0)-IF(AND(OR($F186="buy_to_close",$F186="expire",$F186="roll",$F186="assignment",$F186="called_away"),$F186&lt;&gt;"roll"),$AE186,0))</f>
        <v/>
      </c>
      <c r="AR186" t="str">
        <f t="shared" si="47"/>
        <v/>
      </c>
      <c r="AS186" s="50" t="str">
        <f t="shared" si="48"/>
        <v/>
      </c>
      <c r="AT186" s="50" t="str">
        <f>IF($A186="","",MAX(IF($T186=IFERROR(LOOKUP(2,1/($B$9:$B$185=$B186),$T$9:$T185),0),IFERROR(LOOKUP(2,1/($B$9:$B$185=$B186),$AT$9:$AT185),0),0),$AS186))</f>
        <v/>
      </c>
      <c r="AU186" t="str">
        <f t="shared" si="49"/>
        <v/>
      </c>
      <c r="AV186" s="51">
        <f>IF($AU186="",0,IF(AND(IFERROR(LOOKUP(2,1/($B$9:$B$185=$B186),$AR$9:$AR185),1),NOT(AND(OR($F186="dividend",$F186="fee"),IFERROR(LOOKUP(2,1/($B$9:$B$185=$B186),$T$9:$T185),0)&gt;0))),ROW(),0))</f>
        <v>0</v>
      </c>
      <c r="AW186">
        <f>IF($A186="",0,IF($AV186&gt;0,MAX($AW$9:$AW$185)+1,MAX($AW$9:$AW$185)))</f>
        <v>0</v>
      </c>
      <c r="AX186">
        <f>IF($AU186="",0,IF(AND($AR186,OR(NOT(IFERROR(LOOKUP(2,1/($B$9:$B$185=$B186),$AR$9:$AR185),1)),IFERROR(LOOKUP(2,1/($B$9:$B$185=$B186),$T$9:$T185),0)=0)),ROW(),0))</f>
        <v>0</v>
      </c>
      <c r="AY186" t="str">
        <f t="shared" si="50"/>
        <v/>
      </c>
    </row>
    <row r="187" spans="1:51" ht="15" x14ac:dyDescent="0.25">
      <c r="A187" s="41" t="str">
        <f>IF(Trades!$A187="","",Trades!O187)</f>
        <v/>
      </c>
      <c r="B187" s="41" t="str">
        <f>IF(Trades!$A187="","",Trades!B187)</f>
        <v/>
      </c>
      <c r="C187" s="41" t="str">
        <f>IF(Trades!$A187="","",Trades!C187)</f>
        <v/>
      </c>
      <c r="D187" s="42" t="str">
        <f>IF(Trades!$A187="","",IF(Trades!$L187&gt;0,Trades!$L187,Trades!$C$6))</f>
        <v/>
      </c>
      <c r="E187" s="43" t="str">
        <f>IF(Trades!$A187="","",Trades!A187)</f>
        <v/>
      </c>
      <c r="F187" s="41" t="str">
        <f>IF(Trades!$A187="","",IFERROR(INDEX(Trades!$V$2:$V$14,MATCH(Trades!$E187,Trades!$U$2:$U$14,0)),""))</f>
        <v/>
      </c>
      <c r="G187" s="41" t="str">
        <f>IF(Trades!$A187="","",Trades!N187)</f>
        <v/>
      </c>
      <c r="H187" s="42" t="str">
        <f>IF(Trades!$A187="","",Trades!F187)</f>
        <v/>
      </c>
      <c r="I187" s="44" t="str">
        <f>IF(Trades!$A187="","",Trades!G187)</f>
        <v/>
      </c>
      <c r="J187" s="44" t="str">
        <f>IF(Trades!$A187="","",Trades!I187)</f>
        <v/>
      </c>
      <c r="K187" s="44" t="str">
        <f>IF(Trades!$A187="","",Trades!Q187)</f>
        <v/>
      </c>
      <c r="L187" s="42" t="str">
        <f>IF(Trades!$A187="","",Trades!F187)</f>
        <v/>
      </c>
      <c r="M187" s="44" t="str">
        <f>IF(Trades!$A187="","",Trades!M187)</f>
        <v/>
      </c>
      <c r="N187" s="44" t="str">
        <f>IF(Trades!$A187="","",Trades!R187)</f>
        <v/>
      </c>
      <c r="O187" s="44" t="str">
        <f>IF(Trades!$A187="","",Trades!J187)</f>
        <v/>
      </c>
      <c r="P187" s="43" t="str">
        <f>IF(Trades!$A187="","",Trades!H187)</f>
        <v/>
      </c>
      <c r="Q187" s="41" t="str">
        <f>IF(Trades!$A187="","",Trades!P187)</f>
        <v/>
      </c>
      <c r="R187" s="45" t="str">
        <f t="shared" si="34"/>
        <v/>
      </c>
      <c r="S187" s="45" t="str">
        <f t="shared" si="35"/>
        <v/>
      </c>
      <c r="T187" s="46" t="str">
        <f>IF(OR($A187="",$B187=""),"",IF(AND(IFERROR(LOOKUP(2,1/($B$9:$B$186=$B187),$AR$9:$AR186),1),NOT(AND(OR($F187="dividend",$F187="fee"),IFERROR(LOOKUP(2,1/($B$9:$B$186=$B187),$T$9:$T186),0)&gt;0))),IFERROR(LOOKUP(2,1/($B$9:$B$186=$B187),$T$9:$T186),0)+1,IFERROR(LOOKUP(2,1/($B$9:$B$186=$B187),$T$9:$T186),0)))</f>
        <v/>
      </c>
      <c r="U187" s="47" t="str">
        <f t="shared" si="36"/>
        <v/>
      </c>
      <c r="V187" s="47" t="str">
        <f>IF($A187="","",IF(OR($B187="",$C187="",$D187="",$E187="",$F187=""),"Missing required field",IF(COUNTIFS($A$9:$A187,$A187,$B$9:$B187,$B187)&gt;1,"Duplicate event ID",IF(AND($E187&lt;&gt;IFERROR(LOOKUP(2,1/($B$9:$B$186=$B187),$E$9:$E186),0),IFERROR(LOOKUP(2,1/($B$9:$B$186=$B187),$E$9:$E186),0)&gt;$E187),"Date out of order",IF(AND(OR($F187="buy_to_close",$F187="expire",$F187="roll",$F187="assignment",$F187="called_away"),$AF187=0),"Unknown lot",IF(OR(AND($F187="assignment",$AF187&gt;0,IF($AF187&gt;0,INDEX($AG$9:$AG$186,$AF187),"")&lt;&gt;"put"),AND($F187="called_away",$AF187&gt;0,IF($AF187&gt;0,INDEX($AG$9:$AG$186,$AF187),"")&lt;&gt;"call")),"Wrong option leg",IF(OR(AND(OR($F187="sell_put",$F187="sell_call"),OR($H187&lt;=0,$I187&lt;=0,$J187&lt;0)),AND(OR($F187="buy_to_close",$F187="expire",$F187="assignment",$F187="called_away"),OR($H187&lt;=0,$J187&lt;0)),AND($F187="roll",OR($H187&lt;=0,$I187&lt;=0,$J187&lt;0,$K187&lt;0)),AND(OR($F187="buy_shares",$F187="sell_shares"),OR($L187&lt;=0,$M187&lt;0)),AND(OR($F187="dividend",$F187="fee"),$N187&lt;0)),"Invalid value",IF(AND(OR($F187="sell_shares",$F187="called_away"),$AL187&lt;IF($F187="called_away",$AE187*$D187,$L187)),"Insufficient shares (capped)",IF(AND(OR($F187="buy_to_close",$F187="expire",$F187="roll",$F187="assignment",$F187="called_away"),$AF187&gt;0,$H187&gt;IF($AF187&gt;0,MAX(0,INDEX($AI$9:$AI$186,$AF187)-SUMIFS($AE$9:$AE$186,$G$9:$G$186,$G187,$B$9:$B$186,$B187)),0)),"Close quantity capped","OK")))))))))</f>
        <v/>
      </c>
      <c r="W187" s="48" t="str">
        <f t="shared" si="37"/>
        <v/>
      </c>
      <c r="X187" s="49" t="str">
        <f t="shared" si="38"/>
        <v/>
      </c>
      <c r="Y187" s="50" t="str">
        <f t="shared" si="39"/>
        <v/>
      </c>
      <c r="Z187" s="50" t="str">
        <f t="shared" si="40"/>
        <v/>
      </c>
      <c r="AA187" s="50" t="str">
        <f t="shared" si="41"/>
        <v/>
      </c>
      <c r="AB187" s="50" t="str">
        <f t="shared" si="42"/>
        <v/>
      </c>
      <c r="AC187" s="50" t="str">
        <f>IF($A187="","",IF($F187="assignment",IF($AF187&gt;0,INDEX($AH$9:$AH$186,$AF187),0)*$AE187*$D187,IF($F187="buy_shares",$M187*$AL187,0)))</f>
        <v/>
      </c>
      <c r="AD187" s="50" t="str">
        <f>IF($A187="","",IF($F187="called_away",IF($AF187&gt;0,INDEX($AH$9:$AH$186,$AF187),0)*$AL187,IF($F187="sell_shares",$M187*$AL187,0)))</f>
        <v/>
      </c>
      <c r="AE187" s="51" t="str">
        <f>IF($A187="","",IF(OR($F187="sell_put",$F187="sell_call"),IF(AND($H187&gt;0,$I187&gt;0,$J187&gt;=0),$H187,0),IF(OR($F187="buy_to_close",$F187="expire",$F187="roll",$F187="assignment",$F187="called_away"),IF(AND($AF187&gt;0,$H187&gt;0,IF($F187="assignment",IF($AF187&gt;0,INDEX($AG$9:$AG$186,$AF187),"")="put",TRUE),IF($F187="called_away",IF($AF187&gt;0,INDEX($AG$9:$AG$186,$AF187),"")="call",TRUE)),MIN($H187,IF($AF187&gt;0,MAX(0,INDEX($AI$9:$AI$186,$AF187)-SUMIFS($AE$9:$AE$186,$G$9:$G$186,$G187,$B$9:$B$186,$B187)),0)),0),0)))</f>
        <v/>
      </c>
      <c r="AF187" t="str">
        <f>IF($A187="","",IFERROR(MATCH(LEN($B187)&amp;":"&amp;$B187&amp;$G187,$AY$9:$AY$186,0),0))</f>
        <v/>
      </c>
      <c r="AG187" t="str">
        <f>IF($A187="","",IF($F187="sell_put","put",IF($F187="sell_call","call",IF($F187="roll",IF($AF187&gt;0,IF($AF187&gt;0,INDEX($AG$9:$AG$186,$AF187),""),""),IF($AF187&gt;0,IF($AF187&gt;0,INDEX($AG$9:$AG$186,$AF187),""),"")))))</f>
        <v/>
      </c>
      <c r="AH187" t="str">
        <f>IF($A187="","",IF(OR($F187="sell_put",$F187="sell_call",$F187="roll"),$I187,IF($AF187&gt;0,IF($AF187&gt;0,INDEX($AH$9:$AH$186,$AF187),0),0)))</f>
        <v/>
      </c>
      <c r="AI187" s="51" t="str">
        <f t="shared" si="43"/>
        <v/>
      </c>
      <c r="AJ187" s="51" t="str">
        <f>IF($A187="","",IFERROR(LOOKUP(2,1/($B$9:$B$186=$B187),$AM$9:$AM186),0))</f>
        <v/>
      </c>
      <c r="AK187" t="str">
        <f>IF($A187="","",IFERROR(LOOKUP(2,1/($B$9:$B$186=$B187),$AN$9:$AN186),0))</f>
        <v/>
      </c>
      <c r="AL187" s="51" t="str">
        <f t="shared" si="44"/>
        <v/>
      </c>
      <c r="AM187" s="51" t="str">
        <f t="shared" si="45"/>
        <v/>
      </c>
      <c r="AN187" t="str">
        <f t="shared" si="46"/>
        <v/>
      </c>
      <c r="AO187" s="50" t="str">
        <f>IF($A187="","",IFERROR(LOOKUP(2,1/($B$9:$B$186=$B187),$AO$9:$AO186),0)+IF($F187="sell_put",$I187*$AE187*$D187,IF($F187="roll",IF($AG187="put",($I187-IF($AF187&gt;0,INDEX($AH$9:$AH$186,$AF187),0))*$AE187*$D187,0),IF(AND(OR($F187="buy_to_close",$F187="expire",$F187="roll",$F187="assignment",$F187="called_away"),$F187&lt;&gt;"roll",$AG187="put"),-IF($AF187&gt;0,INDEX($AH$9:$AH$186,$AF187),0)*$AE187*$D187,0))))</f>
        <v/>
      </c>
      <c r="AP187" s="51" t="str">
        <f>IF($A187="","",IFERROR(LOOKUP(2,1/($B$9:$B$186=$B187),$AP$9:$AP186),0)+IF($F187="sell_put",$AE187*$D187,IF(AND(OR($F187="buy_to_close",$F187="expire",$F187="roll",$F187="assignment",$F187="called_away"),$F187&lt;&gt;"roll",$AG187="put"),-$AE187*$D187,0)))</f>
        <v/>
      </c>
      <c r="AQ187" s="51" t="str">
        <f>IF($A187="","",IFERROR(LOOKUP(2,1/($B$9:$B$186=$B187),$AQ$9:$AQ186),0)+IF(OR($F187="sell_put",$F187="sell_call"),$AE187,0)-IF(AND(OR($F187="buy_to_close",$F187="expire",$F187="roll",$F187="assignment",$F187="called_away"),$F187&lt;&gt;"roll"),$AE187,0))</f>
        <v/>
      </c>
      <c r="AR187" t="str">
        <f t="shared" si="47"/>
        <v/>
      </c>
      <c r="AS187" s="50" t="str">
        <f t="shared" si="48"/>
        <v/>
      </c>
      <c r="AT187" s="50" t="str">
        <f>IF($A187="","",MAX(IF($T187=IFERROR(LOOKUP(2,1/($B$9:$B$186=$B187),$T$9:$T186),0),IFERROR(LOOKUP(2,1/($B$9:$B$186=$B187),$AT$9:$AT186),0),0),$AS187))</f>
        <v/>
      </c>
      <c r="AU187" t="str">
        <f t="shared" si="49"/>
        <v/>
      </c>
      <c r="AV187" s="51">
        <f>IF($AU187="",0,IF(AND(IFERROR(LOOKUP(2,1/($B$9:$B$186=$B187),$AR$9:$AR186),1),NOT(AND(OR($F187="dividend",$F187="fee"),IFERROR(LOOKUP(2,1/($B$9:$B$186=$B187),$T$9:$T186),0)&gt;0))),ROW(),0))</f>
        <v>0</v>
      </c>
      <c r="AW187">
        <f>IF($A187="",0,IF($AV187&gt;0,MAX($AW$9:$AW$186)+1,MAX($AW$9:$AW$186)))</f>
        <v>0</v>
      </c>
      <c r="AX187">
        <f>IF($AU187="",0,IF(AND($AR187,OR(NOT(IFERROR(LOOKUP(2,1/($B$9:$B$186=$B187),$AR$9:$AR186),1)),IFERROR(LOOKUP(2,1/($B$9:$B$186=$B187),$T$9:$T186),0)=0)),ROW(),0))</f>
        <v>0</v>
      </c>
      <c r="AY187" t="str">
        <f t="shared" si="50"/>
        <v/>
      </c>
    </row>
    <row r="188" spans="1:51" ht="15" x14ac:dyDescent="0.25">
      <c r="A188" s="52" t="str">
        <f>IF(Trades!$A188="","",Trades!O188)</f>
        <v/>
      </c>
      <c r="B188" s="52" t="str">
        <f>IF(Trades!$A188="","",Trades!B188)</f>
        <v/>
      </c>
      <c r="C188" s="52" t="str">
        <f>IF(Trades!$A188="","",Trades!C188)</f>
        <v/>
      </c>
      <c r="D188" s="53" t="str">
        <f>IF(Trades!$A188="","",IF(Trades!$L188&gt;0,Trades!$L188,Trades!$C$6))</f>
        <v/>
      </c>
      <c r="E188" s="54" t="str">
        <f>IF(Trades!$A188="","",Trades!A188)</f>
        <v/>
      </c>
      <c r="F188" s="52" t="str">
        <f>IF(Trades!$A188="","",IFERROR(INDEX(Trades!$V$2:$V$14,MATCH(Trades!$E188,Trades!$U$2:$U$14,0)),""))</f>
        <v/>
      </c>
      <c r="G188" s="52" t="str">
        <f>IF(Trades!$A188="","",Trades!N188)</f>
        <v/>
      </c>
      <c r="H188" s="53" t="str">
        <f>IF(Trades!$A188="","",Trades!F188)</f>
        <v/>
      </c>
      <c r="I188" s="55" t="str">
        <f>IF(Trades!$A188="","",Trades!G188)</f>
        <v/>
      </c>
      <c r="J188" s="55" t="str">
        <f>IF(Trades!$A188="","",Trades!I188)</f>
        <v/>
      </c>
      <c r="K188" s="55" t="str">
        <f>IF(Trades!$A188="","",Trades!Q188)</f>
        <v/>
      </c>
      <c r="L188" s="53" t="str">
        <f>IF(Trades!$A188="","",Trades!F188)</f>
        <v/>
      </c>
      <c r="M188" s="55" t="str">
        <f>IF(Trades!$A188="","",Trades!M188)</f>
        <v/>
      </c>
      <c r="N188" s="55" t="str">
        <f>IF(Trades!$A188="","",Trades!R188)</f>
        <v/>
      </c>
      <c r="O188" s="55" t="str">
        <f>IF(Trades!$A188="","",Trades!J188)</f>
        <v/>
      </c>
      <c r="P188" s="54" t="str">
        <f>IF(Trades!$A188="","",Trades!H188)</f>
        <v/>
      </c>
      <c r="Q188" s="52" t="str">
        <f>IF(Trades!$A188="","",Trades!P188)</f>
        <v/>
      </c>
      <c r="R188" s="56" t="str">
        <f t="shared" si="34"/>
        <v/>
      </c>
      <c r="S188" s="56" t="str">
        <f t="shared" si="35"/>
        <v/>
      </c>
      <c r="T188" s="57" t="str">
        <f>IF(OR($A188="",$B188=""),"",IF(AND(IFERROR(LOOKUP(2,1/($B$9:$B$187=$B188),$AR$9:$AR187),1),NOT(AND(OR($F188="dividend",$F188="fee"),IFERROR(LOOKUP(2,1/($B$9:$B$187=$B188),$T$9:$T187),0)&gt;0))),IFERROR(LOOKUP(2,1/($B$9:$B$187=$B188),$T$9:$T187),0)+1,IFERROR(LOOKUP(2,1/($B$9:$B$187=$B188),$T$9:$T187),0)))</f>
        <v/>
      </c>
      <c r="U188" s="58" t="str">
        <f t="shared" si="36"/>
        <v/>
      </c>
      <c r="V188" s="58" t="str">
        <f>IF($A188="","",IF(OR($B188="",$C188="",$D188="",$E188="",$F188=""),"Missing required field",IF(COUNTIFS($A$9:$A188,$A188,$B$9:$B188,$B188)&gt;1,"Duplicate event ID",IF(AND($E188&lt;&gt;IFERROR(LOOKUP(2,1/($B$9:$B$187=$B188),$E$9:$E187),0),IFERROR(LOOKUP(2,1/($B$9:$B$187=$B188),$E$9:$E187),0)&gt;$E188),"Date out of order",IF(AND(OR($F188="buy_to_close",$F188="expire",$F188="roll",$F188="assignment",$F188="called_away"),$AF188=0),"Unknown lot",IF(OR(AND($F188="assignment",$AF188&gt;0,IF($AF188&gt;0,INDEX($AG$9:$AG$187,$AF188),"")&lt;&gt;"put"),AND($F188="called_away",$AF188&gt;0,IF($AF188&gt;0,INDEX($AG$9:$AG$187,$AF188),"")&lt;&gt;"call")),"Wrong option leg",IF(OR(AND(OR($F188="sell_put",$F188="sell_call"),OR($H188&lt;=0,$I188&lt;=0,$J188&lt;0)),AND(OR($F188="buy_to_close",$F188="expire",$F188="assignment",$F188="called_away"),OR($H188&lt;=0,$J188&lt;0)),AND($F188="roll",OR($H188&lt;=0,$I188&lt;=0,$J188&lt;0,$K188&lt;0)),AND(OR($F188="buy_shares",$F188="sell_shares"),OR($L188&lt;=0,$M188&lt;0)),AND(OR($F188="dividend",$F188="fee"),$N188&lt;0)),"Invalid value",IF(AND(OR($F188="sell_shares",$F188="called_away"),$AL188&lt;IF($F188="called_away",$AE188*$D188,$L188)),"Insufficient shares (capped)",IF(AND(OR($F188="buy_to_close",$F188="expire",$F188="roll",$F188="assignment",$F188="called_away"),$AF188&gt;0,$H188&gt;IF($AF188&gt;0,MAX(0,INDEX($AI$9:$AI$187,$AF188)-SUMIFS($AE$9:$AE$187,$G$9:$G$187,$G188,$B$9:$B$187,$B188)),0)),"Close quantity capped","OK")))))))))</f>
        <v/>
      </c>
      <c r="W188" s="59" t="str">
        <f t="shared" si="37"/>
        <v/>
      </c>
      <c r="X188" s="60" t="str">
        <f t="shared" si="38"/>
        <v/>
      </c>
      <c r="Y188" s="50" t="str">
        <f t="shared" si="39"/>
        <v/>
      </c>
      <c r="Z188" s="50" t="str">
        <f t="shared" si="40"/>
        <v/>
      </c>
      <c r="AA188" s="50" t="str">
        <f t="shared" si="41"/>
        <v/>
      </c>
      <c r="AB188" s="50" t="str">
        <f t="shared" si="42"/>
        <v/>
      </c>
      <c r="AC188" s="50" t="str">
        <f>IF($A188="","",IF($F188="assignment",IF($AF188&gt;0,INDEX($AH$9:$AH$187,$AF188),0)*$AE188*$D188,IF($F188="buy_shares",$M188*$AL188,0)))</f>
        <v/>
      </c>
      <c r="AD188" s="50" t="str">
        <f>IF($A188="","",IF($F188="called_away",IF($AF188&gt;0,INDEX($AH$9:$AH$187,$AF188),0)*$AL188,IF($F188="sell_shares",$M188*$AL188,0)))</f>
        <v/>
      </c>
      <c r="AE188" s="51" t="str">
        <f>IF($A188="","",IF(OR($F188="sell_put",$F188="sell_call"),IF(AND($H188&gt;0,$I188&gt;0,$J188&gt;=0),$H188,0),IF(OR($F188="buy_to_close",$F188="expire",$F188="roll",$F188="assignment",$F188="called_away"),IF(AND($AF188&gt;0,$H188&gt;0,IF($F188="assignment",IF($AF188&gt;0,INDEX($AG$9:$AG$187,$AF188),"")="put",TRUE),IF($F188="called_away",IF($AF188&gt;0,INDEX($AG$9:$AG$187,$AF188),"")="call",TRUE)),MIN($H188,IF($AF188&gt;0,MAX(0,INDEX($AI$9:$AI$187,$AF188)-SUMIFS($AE$9:$AE$187,$G$9:$G$187,$G188,$B$9:$B$187,$B188)),0)),0),0)))</f>
        <v/>
      </c>
      <c r="AF188" t="str">
        <f>IF($A188="","",IFERROR(MATCH(LEN($B188)&amp;":"&amp;$B188&amp;$G188,$AY$9:$AY$187,0),0))</f>
        <v/>
      </c>
      <c r="AG188" t="str">
        <f>IF($A188="","",IF($F188="sell_put","put",IF($F188="sell_call","call",IF($F188="roll",IF($AF188&gt;0,IF($AF188&gt;0,INDEX($AG$9:$AG$187,$AF188),""),""),IF($AF188&gt;0,IF($AF188&gt;0,INDEX($AG$9:$AG$187,$AF188),""),"")))))</f>
        <v/>
      </c>
      <c r="AH188" t="str">
        <f>IF($A188="","",IF(OR($F188="sell_put",$F188="sell_call",$F188="roll"),$I188,IF($AF188&gt;0,IF($AF188&gt;0,INDEX($AH$9:$AH$187,$AF188),0),0)))</f>
        <v/>
      </c>
      <c r="AI188" s="51" t="str">
        <f t="shared" si="43"/>
        <v/>
      </c>
      <c r="AJ188" s="51" t="str">
        <f>IF($A188="","",IFERROR(LOOKUP(2,1/($B$9:$B$187=$B188),$AM$9:$AM187),0))</f>
        <v/>
      </c>
      <c r="AK188" t="str">
        <f>IF($A188="","",IFERROR(LOOKUP(2,1/($B$9:$B$187=$B188),$AN$9:$AN187),0))</f>
        <v/>
      </c>
      <c r="AL188" s="51" t="str">
        <f t="shared" si="44"/>
        <v/>
      </c>
      <c r="AM188" s="51" t="str">
        <f t="shared" si="45"/>
        <v/>
      </c>
      <c r="AN188" t="str">
        <f t="shared" si="46"/>
        <v/>
      </c>
      <c r="AO188" s="50" t="str">
        <f>IF($A188="","",IFERROR(LOOKUP(2,1/($B$9:$B$187=$B188),$AO$9:$AO187),0)+IF($F188="sell_put",$I188*$AE188*$D188,IF($F188="roll",IF($AG188="put",($I188-IF($AF188&gt;0,INDEX($AH$9:$AH$187,$AF188),0))*$AE188*$D188,0),IF(AND(OR($F188="buy_to_close",$F188="expire",$F188="roll",$F188="assignment",$F188="called_away"),$F188&lt;&gt;"roll",$AG188="put"),-IF($AF188&gt;0,INDEX($AH$9:$AH$187,$AF188),0)*$AE188*$D188,0))))</f>
        <v/>
      </c>
      <c r="AP188" s="51" t="str">
        <f>IF($A188="","",IFERROR(LOOKUP(2,1/($B$9:$B$187=$B188),$AP$9:$AP187),0)+IF($F188="sell_put",$AE188*$D188,IF(AND(OR($F188="buy_to_close",$F188="expire",$F188="roll",$F188="assignment",$F188="called_away"),$F188&lt;&gt;"roll",$AG188="put"),-$AE188*$D188,0)))</f>
        <v/>
      </c>
      <c r="AQ188" s="51" t="str">
        <f>IF($A188="","",IFERROR(LOOKUP(2,1/($B$9:$B$187=$B188),$AQ$9:$AQ187),0)+IF(OR($F188="sell_put",$F188="sell_call"),$AE188,0)-IF(AND(OR($F188="buy_to_close",$F188="expire",$F188="roll",$F188="assignment",$F188="called_away"),$F188&lt;&gt;"roll"),$AE188,0))</f>
        <v/>
      </c>
      <c r="AR188" t="str">
        <f t="shared" si="47"/>
        <v/>
      </c>
      <c r="AS188" s="50" t="str">
        <f t="shared" si="48"/>
        <v/>
      </c>
      <c r="AT188" s="50" t="str">
        <f>IF($A188="","",MAX(IF($T188=IFERROR(LOOKUP(2,1/($B$9:$B$187=$B188),$T$9:$T187),0),IFERROR(LOOKUP(2,1/($B$9:$B$187=$B188),$AT$9:$AT187),0),0),$AS188))</f>
        <v/>
      </c>
      <c r="AU188" t="str">
        <f t="shared" si="49"/>
        <v/>
      </c>
      <c r="AV188" s="51">
        <f>IF($AU188="",0,IF(AND(IFERROR(LOOKUP(2,1/($B$9:$B$187=$B188),$AR$9:$AR187),1),NOT(AND(OR($F188="dividend",$F188="fee"),IFERROR(LOOKUP(2,1/($B$9:$B$187=$B188),$T$9:$T187),0)&gt;0))),ROW(),0))</f>
        <v>0</v>
      </c>
      <c r="AW188">
        <f>IF($A188="",0,IF($AV188&gt;0,MAX($AW$9:$AW$187)+1,MAX($AW$9:$AW$187)))</f>
        <v>0</v>
      </c>
      <c r="AX188">
        <f>IF($AU188="",0,IF(AND($AR188,OR(NOT(IFERROR(LOOKUP(2,1/($B$9:$B$187=$B188),$AR$9:$AR187),1)),IFERROR(LOOKUP(2,1/($B$9:$B$187=$B188),$T$9:$T187),0)=0)),ROW(),0))</f>
        <v>0</v>
      </c>
      <c r="AY188" t="str">
        <f t="shared" si="50"/>
        <v/>
      </c>
    </row>
    <row r="189" spans="1:51" ht="15" x14ac:dyDescent="0.25">
      <c r="A189" s="41" t="str">
        <f>IF(Trades!$A189="","",Trades!O189)</f>
        <v/>
      </c>
      <c r="B189" s="41" t="str">
        <f>IF(Trades!$A189="","",Trades!B189)</f>
        <v/>
      </c>
      <c r="C189" s="41" t="str">
        <f>IF(Trades!$A189="","",Trades!C189)</f>
        <v/>
      </c>
      <c r="D189" s="42" t="str">
        <f>IF(Trades!$A189="","",IF(Trades!$L189&gt;0,Trades!$L189,Trades!$C$6))</f>
        <v/>
      </c>
      <c r="E189" s="43" t="str">
        <f>IF(Trades!$A189="","",Trades!A189)</f>
        <v/>
      </c>
      <c r="F189" s="41" t="str">
        <f>IF(Trades!$A189="","",IFERROR(INDEX(Trades!$V$2:$V$14,MATCH(Trades!$E189,Trades!$U$2:$U$14,0)),""))</f>
        <v/>
      </c>
      <c r="G189" s="41" t="str">
        <f>IF(Trades!$A189="","",Trades!N189)</f>
        <v/>
      </c>
      <c r="H189" s="42" t="str">
        <f>IF(Trades!$A189="","",Trades!F189)</f>
        <v/>
      </c>
      <c r="I189" s="44" t="str">
        <f>IF(Trades!$A189="","",Trades!G189)</f>
        <v/>
      </c>
      <c r="J189" s="44" t="str">
        <f>IF(Trades!$A189="","",Trades!I189)</f>
        <v/>
      </c>
      <c r="K189" s="44" t="str">
        <f>IF(Trades!$A189="","",Trades!Q189)</f>
        <v/>
      </c>
      <c r="L189" s="42" t="str">
        <f>IF(Trades!$A189="","",Trades!F189)</f>
        <v/>
      </c>
      <c r="M189" s="44" t="str">
        <f>IF(Trades!$A189="","",Trades!M189)</f>
        <v/>
      </c>
      <c r="N189" s="44" t="str">
        <f>IF(Trades!$A189="","",Trades!R189)</f>
        <v/>
      </c>
      <c r="O189" s="44" t="str">
        <f>IF(Trades!$A189="","",Trades!J189)</f>
        <v/>
      </c>
      <c r="P189" s="43" t="str">
        <f>IF(Trades!$A189="","",Trades!H189)</f>
        <v/>
      </c>
      <c r="Q189" s="41" t="str">
        <f>IF(Trades!$A189="","",Trades!P189)</f>
        <v/>
      </c>
      <c r="R189" s="45" t="str">
        <f t="shared" si="34"/>
        <v/>
      </c>
      <c r="S189" s="45" t="str">
        <f t="shared" si="35"/>
        <v/>
      </c>
      <c r="T189" s="46" t="str">
        <f>IF(OR($A189="",$B189=""),"",IF(AND(IFERROR(LOOKUP(2,1/($B$9:$B$188=$B189),$AR$9:$AR188),1),NOT(AND(OR($F189="dividend",$F189="fee"),IFERROR(LOOKUP(2,1/($B$9:$B$188=$B189),$T$9:$T188),0)&gt;0))),IFERROR(LOOKUP(2,1/($B$9:$B$188=$B189),$T$9:$T188),0)+1,IFERROR(LOOKUP(2,1/($B$9:$B$188=$B189),$T$9:$T188),0)))</f>
        <v/>
      </c>
      <c r="U189" s="47" t="str">
        <f t="shared" si="36"/>
        <v/>
      </c>
      <c r="V189" s="47" t="str">
        <f>IF($A189="","",IF(OR($B189="",$C189="",$D189="",$E189="",$F189=""),"Missing required field",IF(COUNTIFS($A$9:$A189,$A189,$B$9:$B189,$B189)&gt;1,"Duplicate event ID",IF(AND($E189&lt;&gt;IFERROR(LOOKUP(2,1/($B$9:$B$188=$B189),$E$9:$E188),0),IFERROR(LOOKUP(2,1/($B$9:$B$188=$B189),$E$9:$E188),0)&gt;$E189),"Date out of order",IF(AND(OR($F189="buy_to_close",$F189="expire",$F189="roll",$F189="assignment",$F189="called_away"),$AF189=0),"Unknown lot",IF(OR(AND($F189="assignment",$AF189&gt;0,IF($AF189&gt;0,INDEX($AG$9:$AG$188,$AF189),"")&lt;&gt;"put"),AND($F189="called_away",$AF189&gt;0,IF($AF189&gt;0,INDEX($AG$9:$AG$188,$AF189),"")&lt;&gt;"call")),"Wrong option leg",IF(OR(AND(OR($F189="sell_put",$F189="sell_call"),OR($H189&lt;=0,$I189&lt;=0,$J189&lt;0)),AND(OR($F189="buy_to_close",$F189="expire",$F189="assignment",$F189="called_away"),OR($H189&lt;=0,$J189&lt;0)),AND($F189="roll",OR($H189&lt;=0,$I189&lt;=0,$J189&lt;0,$K189&lt;0)),AND(OR($F189="buy_shares",$F189="sell_shares"),OR($L189&lt;=0,$M189&lt;0)),AND(OR($F189="dividend",$F189="fee"),$N189&lt;0)),"Invalid value",IF(AND(OR($F189="sell_shares",$F189="called_away"),$AL189&lt;IF($F189="called_away",$AE189*$D189,$L189)),"Insufficient shares (capped)",IF(AND(OR($F189="buy_to_close",$F189="expire",$F189="roll",$F189="assignment",$F189="called_away"),$AF189&gt;0,$H189&gt;IF($AF189&gt;0,MAX(0,INDEX($AI$9:$AI$188,$AF189)-SUMIFS($AE$9:$AE$188,$G$9:$G$188,$G189,$B$9:$B$188,$B189)),0)),"Close quantity capped","OK")))))))))</f>
        <v/>
      </c>
      <c r="W189" s="48" t="str">
        <f t="shared" si="37"/>
        <v/>
      </c>
      <c r="X189" s="49" t="str">
        <f t="shared" si="38"/>
        <v/>
      </c>
      <c r="Y189" s="50" t="str">
        <f t="shared" si="39"/>
        <v/>
      </c>
      <c r="Z189" s="50" t="str">
        <f t="shared" si="40"/>
        <v/>
      </c>
      <c r="AA189" s="50" t="str">
        <f t="shared" si="41"/>
        <v/>
      </c>
      <c r="AB189" s="50" t="str">
        <f t="shared" si="42"/>
        <v/>
      </c>
      <c r="AC189" s="50" t="str">
        <f>IF($A189="","",IF($F189="assignment",IF($AF189&gt;0,INDEX($AH$9:$AH$188,$AF189),0)*$AE189*$D189,IF($F189="buy_shares",$M189*$AL189,0)))</f>
        <v/>
      </c>
      <c r="AD189" s="50" t="str">
        <f>IF($A189="","",IF($F189="called_away",IF($AF189&gt;0,INDEX($AH$9:$AH$188,$AF189),0)*$AL189,IF($F189="sell_shares",$M189*$AL189,0)))</f>
        <v/>
      </c>
      <c r="AE189" s="51" t="str">
        <f>IF($A189="","",IF(OR($F189="sell_put",$F189="sell_call"),IF(AND($H189&gt;0,$I189&gt;0,$J189&gt;=0),$H189,0),IF(OR($F189="buy_to_close",$F189="expire",$F189="roll",$F189="assignment",$F189="called_away"),IF(AND($AF189&gt;0,$H189&gt;0,IF($F189="assignment",IF($AF189&gt;0,INDEX($AG$9:$AG$188,$AF189),"")="put",TRUE),IF($F189="called_away",IF($AF189&gt;0,INDEX($AG$9:$AG$188,$AF189),"")="call",TRUE)),MIN($H189,IF($AF189&gt;0,MAX(0,INDEX($AI$9:$AI$188,$AF189)-SUMIFS($AE$9:$AE$188,$G$9:$G$188,$G189,$B$9:$B$188,$B189)),0)),0),0)))</f>
        <v/>
      </c>
      <c r="AF189" t="str">
        <f>IF($A189="","",IFERROR(MATCH(LEN($B189)&amp;":"&amp;$B189&amp;$G189,$AY$9:$AY$188,0),0))</f>
        <v/>
      </c>
      <c r="AG189" t="str">
        <f>IF($A189="","",IF($F189="sell_put","put",IF($F189="sell_call","call",IF($F189="roll",IF($AF189&gt;0,IF($AF189&gt;0,INDEX($AG$9:$AG$188,$AF189),""),""),IF($AF189&gt;0,IF($AF189&gt;0,INDEX($AG$9:$AG$188,$AF189),""),"")))))</f>
        <v/>
      </c>
      <c r="AH189" t="str">
        <f>IF($A189="","",IF(OR($F189="sell_put",$F189="sell_call",$F189="roll"),$I189,IF($AF189&gt;0,IF($AF189&gt;0,INDEX($AH$9:$AH$188,$AF189),0),0)))</f>
        <v/>
      </c>
      <c r="AI189" s="51" t="str">
        <f t="shared" si="43"/>
        <v/>
      </c>
      <c r="AJ189" s="51" t="str">
        <f>IF($A189="","",IFERROR(LOOKUP(2,1/($B$9:$B$188=$B189),$AM$9:$AM188),0))</f>
        <v/>
      </c>
      <c r="AK189" t="str">
        <f>IF($A189="","",IFERROR(LOOKUP(2,1/($B$9:$B$188=$B189),$AN$9:$AN188),0))</f>
        <v/>
      </c>
      <c r="AL189" s="51" t="str">
        <f t="shared" si="44"/>
        <v/>
      </c>
      <c r="AM189" s="51" t="str">
        <f t="shared" si="45"/>
        <v/>
      </c>
      <c r="AN189" t="str">
        <f t="shared" si="46"/>
        <v/>
      </c>
      <c r="AO189" s="50" t="str">
        <f>IF($A189="","",IFERROR(LOOKUP(2,1/($B$9:$B$188=$B189),$AO$9:$AO188),0)+IF($F189="sell_put",$I189*$AE189*$D189,IF($F189="roll",IF($AG189="put",($I189-IF($AF189&gt;0,INDEX($AH$9:$AH$188,$AF189),0))*$AE189*$D189,0),IF(AND(OR($F189="buy_to_close",$F189="expire",$F189="roll",$F189="assignment",$F189="called_away"),$F189&lt;&gt;"roll",$AG189="put"),-IF($AF189&gt;0,INDEX($AH$9:$AH$188,$AF189),0)*$AE189*$D189,0))))</f>
        <v/>
      </c>
      <c r="AP189" s="51" t="str">
        <f>IF($A189="","",IFERROR(LOOKUP(2,1/($B$9:$B$188=$B189),$AP$9:$AP188),0)+IF($F189="sell_put",$AE189*$D189,IF(AND(OR($F189="buy_to_close",$F189="expire",$F189="roll",$F189="assignment",$F189="called_away"),$F189&lt;&gt;"roll",$AG189="put"),-$AE189*$D189,0)))</f>
        <v/>
      </c>
      <c r="AQ189" s="51" t="str">
        <f>IF($A189="","",IFERROR(LOOKUP(2,1/($B$9:$B$188=$B189),$AQ$9:$AQ188),0)+IF(OR($F189="sell_put",$F189="sell_call"),$AE189,0)-IF(AND(OR($F189="buy_to_close",$F189="expire",$F189="roll",$F189="assignment",$F189="called_away"),$F189&lt;&gt;"roll"),$AE189,0))</f>
        <v/>
      </c>
      <c r="AR189" t="str">
        <f t="shared" si="47"/>
        <v/>
      </c>
      <c r="AS189" s="50" t="str">
        <f t="shared" si="48"/>
        <v/>
      </c>
      <c r="AT189" s="50" t="str">
        <f>IF($A189="","",MAX(IF($T189=IFERROR(LOOKUP(2,1/($B$9:$B$188=$B189),$T$9:$T188),0),IFERROR(LOOKUP(2,1/($B$9:$B$188=$B189),$AT$9:$AT188),0),0),$AS189))</f>
        <v/>
      </c>
      <c r="AU189" t="str">
        <f t="shared" si="49"/>
        <v/>
      </c>
      <c r="AV189" s="51">
        <f>IF($AU189="",0,IF(AND(IFERROR(LOOKUP(2,1/($B$9:$B$188=$B189),$AR$9:$AR188),1),NOT(AND(OR($F189="dividend",$F189="fee"),IFERROR(LOOKUP(2,1/($B$9:$B$188=$B189),$T$9:$T188),0)&gt;0))),ROW(),0))</f>
        <v>0</v>
      </c>
      <c r="AW189">
        <f>IF($A189="",0,IF($AV189&gt;0,MAX($AW$9:$AW$188)+1,MAX($AW$9:$AW$188)))</f>
        <v>0</v>
      </c>
      <c r="AX189">
        <f>IF($AU189="",0,IF(AND($AR189,OR(NOT(IFERROR(LOOKUP(2,1/($B$9:$B$188=$B189),$AR$9:$AR188),1)),IFERROR(LOOKUP(2,1/($B$9:$B$188=$B189),$T$9:$T188),0)=0)),ROW(),0))</f>
        <v>0</v>
      </c>
      <c r="AY189" t="str">
        <f t="shared" si="50"/>
        <v/>
      </c>
    </row>
    <row r="190" spans="1:51" ht="15" x14ac:dyDescent="0.25">
      <c r="A190" s="52" t="str">
        <f>IF(Trades!$A190="","",Trades!O190)</f>
        <v/>
      </c>
      <c r="B190" s="52" t="str">
        <f>IF(Trades!$A190="","",Trades!B190)</f>
        <v/>
      </c>
      <c r="C190" s="52" t="str">
        <f>IF(Trades!$A190="","",Trades!C190)</f>
        <v/>
      </c>
      <c r="D190" s="53" t="str">
        <f>IF(Trades!$A190="","",IF(Trades!$L190&gt;0,Trades!$L190,Trades!$C$6))</f>
        <v/>
      </c>
      <c r="E190" s="54" t="str">
        <f>IF(Trades!$A190="","",Trades!A190)</f>
        <v/>
      </c>
      <c r="F190" s="52" t="str">
        <f>IF(Trades!$A190="","",IFERROR(INDEX(Trades!$V$2:$V$14,MATCH(Trades!$E190,Trades!$U$2:$U$14,0)),""))</f>
        <v/>
      </c>
      <c r="G190" s="52" t="str">
        <f>IF(Trades!$A190="","",Trades!N190)</f>
        <v/>
      </c>
      <c r="H190" s="53" t="str">
        <f>IF(Trades!$A190="","",Trades!F190)</f>
        <v/>
      </c>
      <c r="I190" s="55" t="str">
        <f>IF(Trades!$A190="","",Trades!G190)</f>
        <v/>
      </c>
      <c r="J190" s="55" t="str">
        <f>IF(Trades!$A190="","",Trades!I190)</f>
        <v/>
      </c>
      <c r="K190" s="55" t="str">
        <f>IF(Trades!$A190="","",Trades!Q190)</f>
        <v/>
      </c>
      <c r="L190" s="53" t="str">
        <f>IF(Trades!$A190="","",Trades!F190)</f>
        <v/>
      </c>
      <c r="M190" s="55" t="str">
        <f>IF(Trades!$A190="","",Trades!M190)</f>
        <v/>
      </c>
      <c r="N190" s="55" t="str">
        <f>IF(Trades!$A190="","",Trades!R190)</f>
        <v/>
      </c>
      <c r="O190" s="55" t="str">
        <f>IF(Trades!$A190="","",Trades!J190)</f>
        <v/>
      </c>
      <c r="P190" s="54" t="str">
        <f>IF(Trades!$A190="","",Trades!H190)</f>
        <v/>
      </c>
      <c r="Q190" s="52" t="str">
        <f>IF(Trades!$A190="","",Trades!P190)</f>
        <v/>
      </c>
      <c r="R190" s="56" t="str">
        <f t="shared" si="34"/>
        <v/>
      </c>
      <c r="S190" s="56" t="str">
        <f t="shared" si="35"/>
        <v/>
      </c>
      <c r="T190" s="57" t="str">
        <f>IF(OR($A190="",$B190=""),"",IF(AND(IFERROR(LOOKUP(2,1/($B$9:$B$189=$B190),$AR$9:$AR189),1),NOT(AND(OR($F190="dividend",$F190="fee"),IFERROR(LOOKUP(2,1/($B$9:$B$189=$B190),$T$9:$T189),0)&gt;0))),IFERROR(LOOKUP(2,1/($B$9:$B$189=$B190),$T$9:$T189),0)+1,IFERROR(LOOKUP(2,1/($B$9:$B$189=$B190),$T$9:$T189),0)))</f>
        <v/>
      </c>
      <c r="U190" s="58" t="str">
        <f t="shared" si="36"/>
        <v/>
      </c>
      <c r="V190" s="58" t="str">
        <f>IF($A190="","",IF(OR($B190="",$C190="",$D190="",$E190="",$F190=""),"Missing required field",IF(COUNTIFS($A$9:$A190,$A190,$B$9:$B190,$B190)&gt;1,"Duplicate event ID",IF(AND($E190&lt;&gt;IFERROR(LOOKUP(2,1/($B$9:$B$189=$B190),$E$9:$E189),0),IFERROR(LOOKUP(2,1/($B$9:$B$189=$B190),$E$9:$E189),0)&gt;$E190),"Date out of order",IF(AND(OR($F190="buy_to_close",$F190="expire",$F190="roll",$F190="assignment",$F190="called_away"),$AF190=0),"Unknown lot",IF(OR(AND($F190="assignment",$AF190&gt;0,IF($AF190&gt;0,INDEX($AG$9:$AG$189,$AF190),"")&lt;&gt;"put"),AND($F190="called_away",$AF190&gt;0,IF($AF190&gt;0,INDEX($AG$9:$AG$189,$AF190),"")&lt;&gt;"call")),"Wrong option leg",IF(OR(AND(OR($F190="sell_put",$F190="sell_call"),OR($H190&lt;=0,$I190&lt;=0,$J190&lt;0)),AND(OR($F190="buy_to_close",$F190="expire",$F190="assignment",$F190="called_away"),OR($H190&lt;=0,$J190&lt;0)),AND($F190="roll",OR($H190&lt;=0,$I190&lt;=0,$J190&lt;0,$K190&lt;0)),AND(OR($F190="buy_shares",$F190="sell_shares"),OR($L190&lt;=0,$M190&lt;0)),AND(OR($F190="dividend",$F190="fee"),$N190&lt;0)),"Invalid value",IF(AND(OR($F190="sell_shares",$F190="called_away"),$AL190&lt;IF($F190="called_away",$AE190*$D190,$L190)),"Insufficient shares (capped)",IF(AND(OR($F190="buy_to_close",$F190="expire",$F190="roll",$F190="assignment",$F190="called_away"),$AF190&gt;0,$H190&gt;IF($AF190&gt;0,MAX(0,INDEX($AI$9:$AI$189,$AF190)-SUMIFS($AE$9:$AE$189,$G$9:$G$189,$G190,$B$9:$B$189,$B190)),0)),"Close quantity capped","OK")))))))))</f>
        <v/>
      </c>
      <c r="W190" s="59" t="str">
        <f t="shared" si="37"/>
        <v/>
      </c>
      <c r="X190" s="60" t="str">
        <f t="shared" si="38"/>
        <v/>
      </c>
      <c r="Y190" s="50" t="str">
        <f t="shared" si="39"/>
        <v/>
      </c>
      <c r="Z190" s="50" t="str">
        <f t="shared" si="40"/>
        <v/>
      </c>
      <c r="AA190" s="50" t="str">
        <f t="shared" si="41"/>
        <v/>
      </c>
      <c r="AB190" s="50" t="str">
        <f t="shared" si="42"/>
        <v/>
      </c>
      <c r="AC190" s="50" t="str">
        <f>IF($A190="","",IF($F190="assignment",IF($AF190&gt;0,INDEX($AH$9:$AH$189,$AF190),0)*$AE190*$D190,IF($F190="buy_shares",$M190*$AL190,0)))</f>
        <v/>
      </c>
      <c r="AD190" s="50" t="str">
        <f>IF($A190="","",IF($F190="called_away",IF($AF190&gt;0,INDEX($AH$9:$AH$189,$AF190),0)*$AL190,IF($F190="sell_shares",$M190*$AL190,0)))</f>
        <v/>
      </c>
      <c r="AE190" s="51" t="str">
        <f>IF($A190="","",IF(OR($F190="sell_put",$F190="sell_call"),IF(AND($H190&gt;0,$I190&gt;0,$J190&gt;=0),$H190,0),IF(OR($F190="buy_to_close",$F190="expire",$F190="roll",$F190="assignment",$F190="called_away"),IF(AND($AF190&gt;0,$H190&gt;0,IF($F190="assignment",IF($AF190&gt;0,INDEX($AG$9:$AG$189,$AF190),"")="put",TRUE),IF($F190="called_away",IF($AF190&gt;0,INDEX($AG$9:$AG$189,$AF190),"")="call",TRUE)),MIN($H190,IF($AF190&gt;0,MAX(0,INDEX($AI$9:$AI$189,$AF190)-SUMIFS($AE$9:$AE$189,$G$9:$G$189,$G190,$B$9:$B$189,$B190)),0)),0),0)))</f>
        <v/>
      </c>
      <c r="AF190" t="str">
        <f>IF($A190="","",IFERROR(MATCH(LEN($B190)&amp;":"&amp;$B190&amp;$G190,$AY$9:$AY$189,0),0))</f>
        <v/>
      </c>
      <c r="AG190" t="str">
        <f>IF($A190="","",IF($F190="sell_put","put",IF($F190="sell_call","call",IF($F190="roll",IF($AF190&gt;0,IF($AF190&gt;0,INDEX($AG$9:$AG$189,$AF190),""),""),IF($AF190&gt;0,IF($AF190&gt;0,INDEX($AG$9:$AG$189,$AF190),""),"")))))</f>
        <v/>
      </c>
      <c r="AH190" t="str">
        <f>IF($A190="","",IF(OR($F190="sell_put",$F190="sell_call",$F190="roll"),$I190,IF($AF190&gt;0,IF($AF190&gt;0,INDEX($AH$9:$AH$189,$AF190),0),0)))</f>
        <v/>
      </c>
      <c r="AI190" s="51" t="str">
        <f t="shared" si="43"/>
        <v/>
      </c>
      <c r="AJ190" s="51" t="str">
        <f>IF($A190="","",IFERROR(LOOKUP(2,1/($B$9:$B$189=$B190),$AM$9:$AM189),0))</f>
        <v/>
      </c>
      <c r="AK190" t="str">
        <f>IF($A190="","",IFERROR(LOOKUP(2,1/($B$9:$B$189=$B190),$AN$9:$AN189),0))</f>
        <v/>
      </c>
      <c r="AL190" s="51" t="str">
        <f t="shared" si="44"/>
        <v/>
      </c>
      <c r="AM190" s="51" t="str">
        <f t="shared" si="45"/>
        <v/>
      </c>
      <c r="AN190" t="str">
        <f t="shared" si="46"/>
        <v/>
      </c>
      <c r="AO190" s="50" t="str">
        <f>IF($A190="","",IFERROR(LOOKUP(2,1/($B$9:$B$189=$B190),$AO$9:$AO189),0)+IF($F190="sell_put",$I190*$AE190*$D190,IF($F190="roll",IF($AG190="put",($I190-IF($AF190&gt;0,INDEX($AH$9:$AH$189,$AF190),0))*$AE190*$D190,0),IF(AND(OR($F190="buy_to_close",$F190="expire",$F190="roll",$F190="assignment",$F190="called_away"),$F190&lt;&gt;"roll",$AG190="put"),-IF($AF190&gt;0,INDEX($AH$9:$AH$189,$AF190),0)*$AE190*$D190,0))))</f>
        <v/>
      </c>
      <c r="AP190" s="51" t="str">
        <f>IF($A190="","",IFERROR(LOOKUP(2,1/($B$9:$B$189=$B190),$AP$9:$AP189),0)+IF($F190="sell_put",$AE190*$D190,IF(AND(OR($F190="buy_to_close",$F190="expire",$F190="roll",$F190="assignment",$F190="called_away"),$F190&lt;&gt;"roll",$AG190="put"),-$AE190*$D190,0)))</f>
        <v/>
      </c>
      <c r="AQ190" s="51" t="str">
        <f>IF($A190="","",IFERROR(LOOKUP(2,1/($B$9:$B$189=$B190),$AQ$9:$AQ189),0)+IF(OR($F190="sell_put",$F190="sell_call"),$AE190,0)-IF(AND(OR($F190="buy_to_close",$F190="expire",$F190="roll",$F190="assignment",$F190="called_away"),$F190&lt;&gt;"roll"),$AE190,0))</f>
        <v/>
      </c>
      <c r="AR190" t="str">
        <f t="shared" si="47"/>
        <v/>
      </c>
      <c r="AS190" s="50" t="str">
        <f t="shared" si="48"/>
        <v/>
      </c>
      <c r="AT190" s="50" t="str">
        <f>IF($A190="","",MAX(IF($T190=IFERROR(LOOKUP(2,1/($B$9:$B$189=$B190),$T$9:$T189),0),IFERROR(LOOKUP(2,1/($B$9:$B$189=$B190),$AT$9:$AT189),0),0),$AS190))</f>
        <v/>
      </c>
      <c r="AU190" t="str">
        <f t="shared" si="49"/>
        <v/>
      </c>
      <c r="AV190" s="51">
        <f>IF($AU190="",0,IF(AND(IFERROR(LOOKUP(2,1/($B$9:$B$189=$B190),$AR$9:$AR189),1),NOT(AND(OR($F190="dividend",$F190="fee"),IFERROR(LOOKUP(2,1/($B$9:$B$189=$B190),$T$9:$T189),0)&gt;0))),ROW(),0))</f>
        <v>0</v>
      </c>
      <c r="AW190">
        <f>IF($A190="",0,IF($AV190&gt;0,MAX($AW$9:$AW$189)+1,MAX($AW$9:$AW$189)))</f>
        <v>0</v>
      </c>
      <c r="AX190">
        <f>IF($AU190="",0,IF(AND($AR190,OR(NOT(IFERROR(LOOKUP(2,1/($B$9:$B$189=$B190),$AR$9:$AR189),1)),IFERROR(LOOKUP(2,1/($B$9:$B$189=$B190),$T$9:$T189),0)=0)),ROW(),0))</f>
        <v>0</v>
      </c>
      <c r="AY190" t="str">
        <f t="shared" si="50"/>
        <v/>
      </c>
    </row>
    <row r="191" spans="1:51" ht="15" x14ac:dyDescent="0.25">
      <c r="A191" s="41" t="str">
        <f>IF(Trades!$A191="","",Trades!O191)</f>
        <v/>
      </c>
      <c r="B191" s="41" t="str">
        <f>IF(Trades!$A191="","",Trades!B191)</f>
        <v/>
      </c>
      <c r="C191" s="41" t="str">
        <f>IF(Trades!$A191="","",Trades!C191)</f>
        <v/>
      </c>
      <c r="D191" s="42" t="str">
        <f>IF(Trades!$A191="","",IF(Trades!$L191&gt;0,Trades!$L191,Trades!$C$6))</f>
        <v/>
      </c>
      <c r="E191" s="43" t="str">
        <f>IF(Trades!$A191="","",Trades!A191)</f>
        <v/>
      </c>
      <c r="F191" s="41" t="str">
        <f>IF(Trades!$A191="","",IFERROR(INDEX(Trades!$V$2:$V$14,MATCH(Trades!$E191,Trades!$U$2:$U$14,0)),""))</f>
        <v/>
      </c>
      <c r="G191" s="41" t="str">
        <f>IF(Trades!$A191="","",Trades!N191)</f>
        <v/>
      </c>
      <c r="H191" s="42" t="str">
        <f>IF(Trades!$A191="","",Trades!F191)</f>
        <v/>
      </c>
      <c r="I191" s="44" t="str">
        <f>IF(Trades!$A191="","",Trades!G191)</f>
        <v/>
      </c>
      <c r="J191" s="44" t="str">
        <f>IF(Trades!$A191="","",Trades!I191)</f>
        <v/>
      </c>
      <c r="K191" s="44" t="str">
        <f>IF(Trades!$A191="","",Trades!Q191)</f>
        <v/>
      </c>
      <c r="L191" s="42" t="str">
        <f>IF(Trades!$A191="","",Trades!F191)</f>
        <v/>
      </c>
      <c r="M191" s="44" t="str">
        <f>IF(Trades!$A191="","",Trades!M191)</f>
        <v/>
      </c>
      <c r="N191" s="44" t="str">
        <f>IF(Trades!$A191="","",Trades!R191)</f>
        <v/>
      </c>
      <c r="O191" s="44" t="str">
        <f>IF(Trades!$A191="","",Trades!J191)</f>
        <v/>
      </c>
      <c r="P191" s="43" t="str">
        <f>IF(Trades!$A191="","",Trades!H191)</f>
        <v/>
      </c>
      <c r="Q191" s="41" t="str">
        <f>IF(Trades!$A191="","",Trades!P191)</f>
        <v/>
      </c>
      <c r="R191" s="45" t="str">
        <f t="shared" si="34"/>
        <v/>
      </c>
      <c r="S191" s="45" t="str">
        <f t="shared" si="35"/>
        <v/>
      </c>
      <c r="T191" s="46" t="str">
        <f>IF(OR($A191="",$B191=""),"",IF(AND(IFERROR(LOOKUP(2,1/($B$9:$B$190=$B191),$AR$9:$AR190),1),NOT(AND(OR($F191="dividend",$F191="fee"),IFERROR(LOOKUP(2,1/($B$9:$B$190=$B191),$T$9:$T190),0)&gt;0))),IFERROR(LOOKUP(2,1/($B$9:$B$190=$B191),$T$9:$T190),0)+1,IFERROR(LOOKUP(2,1/($B$9:$B$190=$B191),$T$9:$T190),0)))</f>
        <v/>
      </c>
      <c r="U191" s="47" t="str">
        <f t="shared" si="36"/>
        <v/>
      </c>
      <c r="V191" s="47" t="str">
        <f>IF($A191="","",IF(OR($B191="",$C191="",$D191="",$E191="",$F191=""),"Missing required field",IF(COUNTIFS($A$9:$A191,$A191,$B$9:$B191,$B191)&gt;1,"Duplicate event ID",IF(AND($E191&lt;&gt;IFERROR(LOOKUP(2,1/($B$9:$B$190=$B191),$E$9:$E190),0),IFERROR(LOOKUP(2,1/($B$9:$B$190=$B191),$E$9:$E190),0)&gt;$E191),"Date out of order",IF(AND(OR($F191="buy_to_close",$F191="expire",$F191="roll",$F191="assignment",$F191="called_away"),$AF191=0),"Unknown lot",IF(OR(AND($F191="assignment",$AF191&gt;0,IF($AF191&gt;0,INDEX($AG$9:$AG$190,$AF191),"")&lt;&gt;"put"),AND($F191="called_away",$AF191&gt;0,IF($AF191&gt;0,INDEX($AG$9:$AG$190,$AF191),"")&lt;&gt;"call")),"Wrong option leg",IF(OR(AND(OR($F191="sell_put",$F191="sell_call"),OR($H191&lt;=0,$I191&lt;=0,$J191&lt;0)),AND(OR($F191="buy_to_close",$F191="expire",$F191="assignment",$F191="called_away"),OR($H191&lt;=0,$J191&lt;0)),AND($F191="roll",OR($H191&lt;=0,$I191&lt;=0,$J191&lt;0,$K191&lt;0)),AND(OR($F191="buy_shares",$F191="sell_shares"),OR($L191&lt;=0,$M191&lt;0)),AND(OR($F191="dividend",$F191="fee"),$N191&lt;0)),"Invalid value",IF(AND(OR($F191="sell_shares",$F191="called_away"),$AL191&lt;IF($F191="called_away",$AE191*$D191,$L191)),"Insufficient shares (capped)",IF(AND(OR($F191="buy_to_close",$F191="expire",$F191="roll",$F191="assignment",$F191="called_away"),$AF191&gt;0,$H191&gt;IF($AF191&gt;0,MAX(0,INDEX($AI$9:$AI$190,$AF191)-SUMIFS($AE$9:$AE$190,$G$9:$G$190,$G191,$B$9:$B$190,$B191)),0)),"Close quantity capped","OK")))))))))</f>
        <v/>
      </c>
      <c r="W191" s="48" t="str">
        <f t="shared" si="37"/>
        <v/>
      </c>
      <c r="X191" s="49" t="str">
        <f t="shared" si="38"/>
        <v/>
      </c>
      <c r="Y191" s="50" t="str">
        <f t="shared" si="39"/>
        <v/>
      </c>
      <c r="Z191" s="50" t="str">
        <f t="shared" si="40"/>
        <v/>
      </c>
      <c r="AA191" s="50" t="str">
        <f t="shared" si="41"/>
        <v/>
      </c>
      <c r="AB191" s="50" t="str">
        <f t="shared" si="42"/>
        <v/>
      </c>
      <c r="AC191" s="50" t="str">
        <f>IF($A191="","",IF($F191="assignment",IF($AF191&gt;0,INDEX($AH$9:$AH$190,$AF191),0)*$AE191*$D191,IF($F191="buy_shares",$M191*$AL191,0)))</f>
        <v/>
      </c>
      <c r="AD191" s="50" t="str">
        <f>IF($A191="","",IF($F191="called_away",IF($AF191&gt;0,INDEX($AH$9:$AH$190,$AF191),0)*$AL191,IF($F191="sell_shares",$M191*$AL191,0)))</f>
        <v/>
      </c>
      <c r="AE191" s="51" t="str">
        <f>IF($A191="","",IF(OR($F191="sell_put",$F191="sell_call"),IF(AND($H191&gt;0,$I191&gt;0,$J191&gt;=0),$H191,0),IF(OR($F191="buy_to_close",$F191="expire",$F191="roll",$F191="assignment",$F191="called_away"),IF(AND($AF191&gt;0,$H191&gt;0,IF($F191="assignment",IF($AF191&gt;0,INDEX($AG$9:$AG$190,$AF191),"")="put",TRUE),IF($F191="called_away",IF($AF191&gt;0,INDEX($AG$9:$AG$190,$AF191),"")="call",TRUE)),MIN($H191,IF($AF191&gt;0,MAX(0,INDEX($AI$9:$AI$190,$AF191)-SUMIFS($AE$9:$AE$190,$G$9:$G$190,$G191,$B$9:$B$190,$B191)),0)),0),0)))</f>
        <v/>
      </c>
      <c r="AF191" t="str">
        <f>IF($A191="","",IFERROR(MATCH(LEN($B191)&amp;":"&amp;$B191&amp;$G191,$AY$9:$AY$190,0),0))</f>
        <v/>
      </c>
      <c r="AG191" t="str">
        <f>IF($A191="","",IF($F191="sell_put","put",IF($F191="sell_call","call",IF($F191="roll",IF($AF191&gt;0,IF($AF191&gt;0,INDEX($AG$9:$AG$190,$AF191),""),""),IF($AF191&gt;0,IF($AF191&gt;0,INDEX($AG$9:$AG$190,$AF191),""),"")))))</f>
        <v/>
      </c>
      <c r="AH191" t="str">
        <f>IF($A191="","",IF(OR($F191="sell_put",$F191="sell_call",$F191="roll"),$I191,IF($AF191&gt;0,IF($AF191&gt;0,INDEX($AH$9:$AH$190,$AF191),0),0)))</f>
        <v/>
      </c>
      <c r="AI191" s="51" t="str">
        <f t="shared" si="43"/>
        <v/>
      </c>
      <c r="AJ191" s="51" t="str">
        <f>IF($A191="","",IFERROR(LOOKUP(2,1/($B$9:$B$190=$B191),$AM$9:$AM190),0))</f>
        <v/>
      </c>
      <c r="AK191" t="str">
        <f>IF($A191="","",IFERROR(LOOKUP(2,1/($B$9:$B$190=$B191),$AN$9:$AN190),0))</f>
        <v/>
      </c>
      <c r="AL191" s="51" t="str">
        <f t="shared" si="44"/>
        <v/>
      </c>
      <c r="AM191" s="51" t="str">
        <f t="shared" si="45"/>
        <v/>
      </c>
      <c r="AN191" t="str">
        <f t="shared" si="46"/>
        <v/>
      </c>
      <c r="AO191" s="50" t="str">
        <f>IF($A191="","",IFERROR(LOOKUP(2,1/($B$9:$B$190=$B191),$AO$9:$AO190),0)+IF($F191="sell_put",$I191*$AE191*$D191,IF($F191="roll",IF($AG191="put",($I191-IF($AF191&gt;0,INDEX($AH$9:$AH$190,$AF191),0))*$AE191*$D191,0),IF(AND(OR($F191="buy_to_close",$F191="expire",$F191="roll",$F191="assignment",$F191="called_away"),$F191&lt;&gt;"roll",$AG191="put"),-IF($AF191&gt;0,INDEX($AH$9:$AH$190,$AF191),0)*$AE191*$D191,0))))</f>
        <v/>
      </c>
      <c r="AP191" s="51" t="str">
        <f>IF($A191="","",IFERROR(LOOKUP(2,1/($B$9:$B$190=$B191),$AP$9:$AP190),0)+IF($F191="sell_put",$AE191*$D191,IF(AND(OR($F191="buy_to_close",$F191="expire",$F191="roll",$F191="assignment",$F191="called_away"),$F191&lt;&gt;"roll",$AG191="put"),-$AE191*$D191,0)))</f>
        <v/>
      </c>
      <c r="AQ191" s="51" t="str">
        <f>IF($A191="","",IFERROR(LOOKUP(2,1/($B$9:$B$190=$B191),$AQ$9:$AQ190),0)+IF(OR($F191="sell_put",$F191="sell_call"),$AE191,0)-IF(AND(OR($F191="buy_to_close",$F191="expire",$F191="roll",$F191="assignment",$F191="called_away"),$F191&lt;&gt;"roll"),$AE191,0))</f>
        <v/>
      </c>
      <c r="AR191" t="str">
        <f t="shared" si="47"/>
        <v/>
      </c>
      <c r="AS191" s="50" t="str">
        <f t="shared" si="48"/>
        <v/>
      </c>
      <c r="AT191" s="50" t="str">
        <f>IF($A191="","",MAX(IF($T191=IFERROR(LOOKUP(2,1/($B$9:$B$190=$B191),$T$9:$T190),0),IFERROR(LOOKUP(2,1/($B$9:$B$190=$B191),$AT$9:$AT190),0),0),$AS191))</f>
        <v/>
      </c>
      <c r="AU191" t="str">
        <f t="shared" si="49"/>
        <v/>
      </c>
      <c r="AV191" s="51">
        <f>IF($AU191="",0,IF(AND(IFERROR(LOOKUP(2,1/($B$9:$B$190=$B191),$AR$9:$AR190),1),NOT(AND(OR($F191="dividend",$F191="fee"),IFERROR(LOOKUP(2,1/($B$9:$B$190=$B191),$T$9:$T190),0)&gt;0))),ROW(),0))</f>
        <v>0</v>
      </c>
      <c r="AW191">
        <f>IF($A191="",0,IF($AV191&gt;0,MAX($AW$9:$AW$190)+1,MAX($AW$9:$AW$190)))</f>
        <v>0</v>
      </c>
      <c r="AX191">
        <f>IF($AU191="",0,IF(AND($AR191,OR(NOT(IFERROR(LOOKUP(2,1/($B$9:$B$190=$B191),$AR$9:$AR190),1)),IFERROR(LOOKUP(2,1/($B$9:$B$190=$B191),$T$9:$T190),0)=0)),ROW(),0))</f>
        <v>0</v>
      </c>
      <c r="AY191" t="str">
        <f t="shared" si="50"/>
        <v/>
      </c>
    </row>
    <row r="192" spans="1:51" ht="15" x14ac:dyDescent="0.25">
      <c r="A192" s="52" t="str">
        <f>IF(Trades!$A192="","",Trades!O192)</f>
        <v/>
      </c>
      <c r="B192" s="52" t="str">
        <f>IF(Trades!$A192="","",Trades!B192)</f>
        <v/>
      </c>
      <c r="C192" s="52" t="str">
        <f>IF(Trades!$A192="","",Trades!C192)</f>
        <v/>
      </c>
      <c r="D192" s="53" t="str">
        <f>IF(Trades!$A192="","",IF(Trades!$L192&gt;0,Trades!$L192,Trades!$C$6))</f>
        <v/>
      </c>
      <c r="E192" s="54" t="str">
        <f>IF(Trades!$A192="","",Trades!A192)</f>
        <v/>
      </c>
      <c r="F192" s="52" t="str">
        <f>IF(Trades!$A192="","",IFERROR(INDEX(Trades!$V$2:$V$14,MATCH(Trades!$E192,Trades!$U$2:$U$14,0)),""))</f>
        <v/>
      </c>
      <c r="G192" s="52" t="str">
        <f>IF(Trades!$A192="","",Trades!N192)</f>
        <v/>
      </c>
      <c r="H192" s="53" t="str">
        <f>IF(Trades!$A192="","",Trades!F192)</f>
        <v/>
      </c>
      <c r="I192" s="55" t="str">
        <f>IF(Trades!$A192="","",Trades!G192)</f>
        <v/>
      </c>
      <c r="J192" s="55" t="str">
        <f>IF(Trades!$A192="","",Trades!I192)</f>
        <v/>
      </c>
      <c r="K192" s="55" t="str">
        <f>IF(Trades!$A192="","",Trades!Q192)</f>
        <v/>
      </c>
      <c r="L192" s="53" t="str">
        <f>IF(Trades!$A192="","",Trades!F192)</f>
        <v/>
      </c>
      <c r="M192" s="55" t="str">
        <f>IF(Trades!$A192="","",Trades!M192)</f>
        <v/>
      </c>
      <c r="N192" s="55" t="str">
        <f>IF(Trades!$A192="","",Trades!R192)</f>
        <v/>
      </c>
      <c r="O192" s="55" t="str">
        <f>IF(Trades!$A192="","",Trades!J192)</f>
        <v/>
      </c>
      <c r="P192" s="54" t="str">
        <f>IF(Trades!$A192="","",Trades!H192)</f>
        <v/>
      </c>
      <c r="Q192" s="52" t="str">
        <f>IF(Trades!$A192="","",Trades!P192)</f>
        <v/>
      </c>
      <c r="R192" s="56" t="str">
        <f t="shared" si="34"/>
        <v/>
      </c>
      <c r="S192" s="56" t="str">
        <f t="shared" si="35"/>
        <v/>
      </c>
      <c r="T192" s="57" t="str">
        <f>IF(OR($A192="",$B192=""),"",IF(AND(IFERROR(LOOKUP(2,1/($B$9:$B$191=$B192),$AR$9:$AR191),1),NOT(AND(OR($F192="dividend",$F192="fee"),IFERROR(LOOKUP(2,1/($B$9:$B$191=$B192),$T$9:$T191),0)&gt;0))),IFERROR(LOOKUP(2,1/($B$9:$B$191=$B192),$T$9:$T191),0)+1,IFERROR(LOOKUP(2,1/($B$9:$B$191=$B192),$T$9:$T191),0)))</f>
        <v/>
      </c>
      <c r="U192" s="58" t="str">
        <f t="shared" si="36"/>
        <v/>
      </c>
      <c r="V192" s="58" t="str">
        <f>IF($A192="","",IF(OR($B192="",$C192="",$D192="",$E192="",$F192=""),"Missing required field",IF(COUNTIFS($A$9:$A192,$A192,$B$9:$B192,$B192)&gt;1,"Duplicate event ID",IF(AND($E192&lt;&gt;IFERROR(LOOKUP(2,1/($B$9:$B$191=$B192),$E$9:$E191),0),IFERROR(LOOKUP(2,1/($B$9:$B$191=$B192),$E$9:$E191),0)&gt;$E192),"Date out of order",IF(AND(OR($F192="buy_to_close",$F192="expire",$F192="roll",$F192="assignment",$F192="called_away"),$AF192=0),"Unknown lot",IF(OR(AND($F192="assignment",$AF192&gt;0,IF($AF192&gt;0,INDEX($AG$9:$AG$191,$AF192),"")&lt;&gt;"put"),AND($F192="called_away",$AF192&gt;0,IF($AF192&gt;0,INDEX($AG$9:$AG$191,$AF192),"")&lt;&gt;"call")),"Wrong option leg",IF(OR(AND(OR($F192="sell_put",$F192="sell_call"),OR($H192&lt;=0,$I192&lt;=0,$J192&lt;0)),AND(OR($F192="buy_to_close",$F192="expire",$F192="assignment",$F192="called_away"),OR($H192&lt;=0,$J192&lt;0)),AND($F192="roll",OR($H192&lt;=0,$I192&lt;=0,$J192&lt;0,$K192&lt;0)),AND(OR($F192="buy_shares",$F192="sell_shares"),OR($L192&lt;=0,$M192&lt;0)),AND(OR($F192="dividend",$F192="fee"),$N192&lt;0)),"Invalid value",IF(AND(OR($F192="sell_shares",$F192="called_away"),$AL192&lt;IF($F192="called_away",$AE192*$D192,$L192)),"Insufficient shares (capped)",IF(AND(OR($F192="buy_to_close",$F192="expire",$F192="roll",$F192="assignment",$F192="called_away"),$AF192&gt;0,$H192&gt;IF($AF192&gt;0,MAX(0,INDEX($AI$9:$AI$191,$AF192)-SUMIFS($AE$9:$AE$191,$G$9:$G$191,$G192,$B$9:$B$191,$B192)),0)),"Close quantity capped","OK")))))))))</f>
        <v/>
      </c>
      <c r="W192" s="59" t="str">
        <f t="shared" si="37"/>
        <v/>
      </c>
      <c r="X192" s="60" t="str">
        <f t="shared" si="38"/>
        <v/>
      </c>
      <c r="Y192" s="50" t="str">
        <f t="shared" si="39"/>
        <v/>
      </c>
      <c r="Z192" s="50" t="str">
        <f t="shared" si="40"/>
        <v/>
      </c>
      <c r="AA192" s="50" t="str">
        <f t="shared" si="41"/>
        <v/>
      </c>
      <c r="AB192" s="50" t="str">
        <f t="shared" si="42"/>
        <v/>
      </c>
      <c r="AC192" s="50" t="str">
        <f>IF($A192="","",IF($F192="assignment",IF($AF192&gt;0,INDEX($AH$9:$AH$191,$AF192),0)*$AE192*$D192,IF($F192="buy_shares",$M192*$AL192,0)))</f>
        <v/>
      </c>
      <c r="AD192" s="50" t="str">
        <f>IF($A192="","",IF($F192="called_away",IF($AF192&gt;0,INDEX($AH$9:$AH$191,$AF192),0)*$AL192,IF($F192="sell_shares",$M192*$AL192,0)))</f>
        <v/>
      </c>
      <c r="AE192" s="51" t="str">
        <f>IF($A192="","",IF(OR($F192="sell_put",$F192="sell_call"),IF(AND($H192&gt;0,$I192&gt;0,$J192&gt;=0),$H192,0),IF(OR($F192="buy_to_close",$F192="expire",$F192="roll",$F192="assignment",$F192="called_away"),IF(AND($AF192&gt;0,$H192&gt;0,IF($F192="assignment",IF($AF192&gt;0,INDEX($AG$9:$AG$191,$AF192),"")="put",TRUE),IF($F192="called_away",IF($AF192&gt;0,INDEX($AG$9:$AG$191,$AF192),"")="call",TRUE)),MIN($H192,IF($AF192&gt;0,MAX(0,INDEX($AI$9:$AI$191,$AF192)-SUMIFS($AE$9:$AE$191,$G$9:$G$191,$G192,$B$9:$B$191,$B192)),0)),0),0)))</f>
        <v/>
      </c>
      <c r="AF192" t="str">
        <f>IF($A192="","",IFERROR(MATCH(LEN($B192)&amp;":"&amp;$B192&amp;$G192,$AY$9:$AY$191,0),0))</f>
        <v/>
      </c>
      <c r="AG192" t="str">
        <f>IF($A192="","",IF($F192="sell_put","put",IF($F192="sell_call","call",IF($F192="roll",IF($AF192&gt;0,IF($AF192&gt;0,INDEX($AG$9:$AG$191,$AF192),""),""),IF($AF192&gt;0,IF($AF192&gt;0,INDEX($AG$9:$AG$191,$AF192),""),"")))))</f>
        <v/>
      </c>
      <c r="AH192" t="str">
        <f>IF($A192="","",IF(OR($F192="sell_put",$F192="sell_call",$F192="roll"),$I192,IF($AF192&gt;0,IF($AF192&gt;0,INDEX($AH$9:$AH$191,$AF192),0),0)))</f>
        <v/>
      </c>
      <c r="AI192" s="51" t="str">
        <f t="shared" si="43"/>
        <v/>
      </c>
      <c r="AJ192" s="51" t="str">
        <f>IF($A192="","",IFERROR(LOOKUP(2,1/($B$9:$B$191=$B192),$AM$9:$AM191),0))</f>
        <v/>
      </c>
      <c r="AK192" t="str">
        <f>IF($A192="","",IFERROR(LOOKUP(2,1/($B$9:$B$191=$B192),$AN$9:$AN191),0))</f>
        <v/>
      </c>
      <c r="AL192" s="51" t="str">
        <f t="shared" si="44"/>
        <v/>
      </c>
      <c r="AM192" s="51" t="str">
        <f t="shared" si="45"/>
        <v/>
      </c>
      <c r="AN192" t="str">
        <f t="shared" si="46"/>
        <v/>
      </c>
      <c r="AO192" s="50" t="str">
        <f>IF($A192="","",IFERROR(LOOKUP(2,1/($B$9:$B$191=$B192),$AO$9:$AO191),0)+IF($F192="sell_put",$I192*$AE192*$D192,IF($F192="roll",IF($AG192="put",($I192-IF($AF192&gt;0,INDEX($AH$9:$AH$191,$AF192),0))*$AE192*$D192,0),IF(AND(OR($F192="buy_to_close",$F192="expire",$F192="roll",$F192="assignment",$F192="called_away"),$F192&lt;&gt;"roll",$AG192="put"),-IF($AF192&gt;0,INDEX($AH$9:$AH$191,$AF192),0)*$AE192*$D192,0))))</f>
        <v/>
      </c>
      <c r="AP192" s="51" t="str">
        <f>IF($A192="","",IFERROR(LOOKUP(2,1/($B$9:$B$191=$B192),$AP$9:$AP191),0)+IF($F192="sell_put",$AE192*$D192,IF(AND(OR($F192="buy_to_close",$F192="expire",$F192="roll",$F192="assignment",$F192="called_away"),$F192&lt;&gt;"roll",$AG192="put"),-$AE192*$D192,0)))</f>
        <v/>
      </c>
      <c r="AQ192" s="51" t="str">
        <f>IF($A192="","",IFERROR(LOOKUP(2,1/($B$9:$B$191=$B192),$AQ$9:$AQ191),0)+IF(OR($F192="sell_put",$F192="sell_call"),$AE192,0)-IF(AND(OR($F192="buy_to_close",$F192="expire",$F192="roll",$F192="assignment",$F192="called_away"),$F192&lt;&gt;"roll"),$AE192,0))</f>
        <v/>
      </c>
      <c r="AR192" t="str">
        <f t="shared" si="47"/>
        <v/>
      </c>
      <c r="AS192" s="50" t="str">
        <f t="shared" si="48"/>
        <v/>
      </c>
      <c r="AT192" s="50" t="str">
        <f>IF($A192="","",MAX(IF($T192=IFERROR(LOOKUP(2,1/($B$9:$B$191=$B192),$T$9:$T191),0),IFERROR(LOOKUP(2,1/($B$9:$B$191=$B192),$AT$9:$AT191),0),0),$AS192))</f>
        <v/>
      </c>
      <c r="AU192" t="str">
        <f t="shared" si="49"/>
        <v/>
      </c>
      <c r="AV192" s="51">
        <f>IF($AU192="",0,IF(AND(IFERROR(LOOKUP(2,1/($B$9:$B$191=$B192),$AR$9:$AR191),1),NOT(AND(OR($F192="dividend",$F192="fee"),IFERROR(LOOKUP(2,1/($B$9:$B$191=$B192),$T$9:$T191),0)&gt;0))),ROW(),0))</f>
        <v>0</v>
      </c>
      <c r="AW192">
        <f>IF($A192="",0,IF($AV192&gt;0,MAX($AW$9:$AW$191)+1,MAX($AW$9:$AW$191)))</f>
        <v>0</v>
      </c>
      <c r="AX192">
        <f>IF($AU192="",0,IF(AND($AR192,OR(NOT(IFERROR(LOOKUP(2,1/($B$9:$B$191=$B192),$AR$9:$AR191),1)),IFERROR(LOOKUP(2,1/($B$9:$B$191=$B192),$T$9:$T191),0)=0)),ROW(),0))</f>
        <v>0</v>
      </c>
      <c r="AY192" t="str">
        <f t="shared" si="50"/>
        <v/>
      </c>
    </row>
    <row r="193" spans="1:51" ht="15" x14ac:dyDescent="0.25">
      <c r="A193" s="41" t="str">
        <f>IF(Trades!$A193="","",Trades!O193)</f>
        <v/>
      </c>
      <c r="B193" s="41" t="str">
        <f>IF(Trades!$A193="","",Trades!B193)</f>
        <v/>
      </c>
      <c r="C193" s="41" t="str">
        <f>IF(Trades!$A193="","",Trades!C193)</f>
        <v/>
      </c>
      <c r="D193" s="42" t="str">
        <f>IF(Trades!$A193="","",IF(Trades!$L193&gt;0,Trades!$L193,Trades!$C$6))</f>
        <v/>
      </c>
      <c r="E193" s="43" t="str">
        <f>IF(Trades!$A193="","",Trades!A193)</f>
        <v/>
      </c>
      <c r="F193" s="41" t="str">
        <f>IF(Trades!$A193="","",IFERROR(INDEX(Trades!$V$2:$V$14,MATCH(Trades!$E193,Trades!$U$2:$U$14,0)),""))</f>
        <v/>
      </c>
      <c r="G193" s="41" t="str">
        <f>IF(Trades!$A193="","",Trades!N193)</f>
        <v/>
      </c>
      <c r="H193" s="42" t="str">
        <f>IF(Trades!$A193="","",Trades!F193)</f>
        <v/>
      </c>
      <c r="I193" s="44" t="str">
        <f>IF(Trades!$A193="","",Trades!G193)</f>
        <v/>
      </c>
      <c r="J193" s="44" t="str">
        <f>IF(Trades!$A193="","",Trades!I193)</f>
        <v/>
      </c>
      <c r="K193" s="44" t="str">
        <f>IF(Trades!$A193="","",Trades!Q193)</f>
        <v/>
      </c>
      <c r="L193" s="42" t="str">
        <f>IF(Trades!$A193="","",Trades!F193)</f>
        <v/>
      </c>
      <c r="M193" s="44" t="str">
        <f>IF(Trades!$A193="","",Trades!M193)</f>
        <v/>
      </c>
      <c r="N193" s="44" t="str">
        <f>IF(Trades!$A193="","",Trades!R193)</f>
        <v/>
      </c>
      <c r="O193" s="44" t="str">
        <f>IF(Trades!$A193="","",Trades!J193)</f>
        <v/>
      </c>
      <c r="P193" s="43" t="str">
        <f>IF(Trades!$A193="","",Trades!H193)</f>
        <v/>
      </c>
      <c r="Q193" s="41" t="str">
        <f>IF(Trades!$A193="","",Trades!P193)</f>
        <v/>
      </c>
      <c r="R193" s="45" t="str">
        <f t="shared" si="34"/>
        <v/>
      </c>
      <c r="S193" s="45" t="str">
        <f t="shared" si="35"/>
        <v/>
      </c>
      <c r="T193" s="46" t="str">
        <f>IF(OR($A193="",$B193=""),"",IF(AND(IFERROR(LOOKUP(2,1/($B$9:$B$192=$B193),$AR$9:$AR192),1),NOT(AND(OR($F193="dividend",$F193="fee"),IFERROR(LOOKUP(2,1/($B$9:$B$192=$B193),$T$9:$T192),0)&gt;0))),IFERROR(LOOKUP(2,1/($B$9:$B$192=$B193),$T$9:$T192),0)+1,IFERROR(LOOKUP(2,1/($B$9:$B$192=$B193),$T$9:$T192),0)))</f>
        <v/>
      </c>
      <c r="U193" s="47" t="str">
        <f t="shared" si="36"/>
        <v/>
      </c>
      <c r="V193" s="47" t="str">
        <f>IF($A193="","",IF(OR($B193="",$C193="",$D193="",$E193="",$F193=""),"Missing required field",IF(COUNTIFS($A$9:$A193,$A193,$B$9:$B193,$B193)&gt;1,"Duplicate event ID",IF(AND($E193&lt;&gt;IFERROR(LOOKUP(2,1/($B$9:$B$192=$B193),$E$9:$E192),0),IFERROR(LOOKUP(2,1/($B$9:$B$192=$B193),$E$9:$E192),0)&gt;$E193),"Date out of order",IF(AND(OR($F193="buy_to_close",$F193="expire",$F193="roll",$F193="assignment",$F193="called_away"),$AF193=0),"Unknown lot",IF(OR(AND($F193="assignment",$AF193&gt;0,IF($AF193&gt;0,INDEX($AG$9:$AG$192,$AF193),"")&lt;&gt;"put"),AND($F193="called_away",$AF193&gt;0,IF($AF193&gt;0,INDEX($AG$9:$AG$192,$AF193),"")&lt;&gt;"call")),"Wrong option leg",IF(OR(AND(OR($F193="sell_put",$F193="sell_call"),OR($H193&lt;=0,$I193&lt;=0,$J193&lt;0)),AND(OR($F193="buy_to_close",$F193="expire",$F193="assignment",$F193="called_away"),OR($H193&lt;=0,$J193&lt;0)),AND($F193="roll",OR($H193&lt;=0,$I193&lt;=0,$J193&lt;0,$K193&lt;0)),AND(OR($F193="buy_shares",$F193="sell_shares"),OR($L193&lt;=0,$M193&lt;0)),AND(OR($F193="dividend",$F193="fee"),$N193&lt;0)),"Invalid value",IF(AND(OR($F193="sell_shares",$F193="called_away"),$AL193&lt;IF($F193="called_away",$AE193*$D193,$L193)),"Insufficient shares (capped)",IF(AND(OR($F193="buy_to_close",$F193="expire",$F193="roll",$F193="assignment",$F193="called_away"),$AF193&gt;0,$H193&gt;IF($AF193&gt;0,MAX(0,INDEX($AI$9:$AI$192,$AF193)-SUMIFS($AE$9:$AE$192,$G$9:$G$192,$G193,$B$9:$B$192,$B193)),0)),"Close quantity capped","OK")))))))))</f>
        <v/>
      </c>
      <c r="W193" s="48" t="str">
        <f t="shared" si="37"/>
        <v/>
      </c>
      <c r="X193" s="49" t="str">
        <f t="shared" si="38"/>
        <v/>
      </c>
      <c r="Y193" s="50" t="str">
        <f t="shared" si="39"/>
        <v/>
      </c>
      <c r="Z193" s="50" t="str">
        <f t="shared" si="40"/>
        <v/>
      </c>
      <c r="AA193" s="50" t="str">
        <f t="shared" si="41"/>
        <v/>
      </c>
      <c r="AB193" s="50" t="str">
        <f t="shared" si="42"/>
        <v/>
      </c>
      <c r="AC193" s="50" t="str">
        <f>IF($A193="","",IF($F193="assignment",IF($AF193&gt;0,INDEX($AH$9:$AH$192,$AF193),0)*$AE193*$D193,IF($F193="buy_shares",$M193*$AL193,0)))</f>
        <v/>
      </c>
      <c r="AD193" s="50" t="str">
        <f>IF($A193="","",IF($F193="called_away",IF($AF193&gt;0,INDEX($AH$9:$AH$192,$AF193),0)*$AL193,IF($F193="sell_shares",$M193*$AL193,0)))</f>
        <v/>
      </c>
      <c r="AE193" s="51" t="str">
        <f>IF($A193="","",IF(OR($F193="sell_put",$F193="sell_call"),IF(AND($H193&gt;0,$I193&gt;0,$J193&gt;=0),$H193,0),IF(OR($F193="buy_to_close",$F193="expire",$F193="roll",$F193="assignment",$F193="called_away"),IF(AND($AF193&gt;0,$H193&gt;0,IF($F193="assignment",IF($AF193&gt;0,INDEX($AG$9:$AG$192,$AF193),"")="put",TRUE),IF($F193="called_away",IF($AF193&gt;0,INDEX($AG$9:$AG$192,$AF193),"")="call",TRUE)),MIN($H193,IF($AF193&gt;0,MAX(0,INDEX($AI$9:$AI$192,$AF193)-SUMIFS($AE$9:$AE$192,$G$9:$G$192,$G193,$B$9:$B$192,$B193)),0)),0),0)))</f>
        <v/>
      </c>
      <c r="AF193" t="str">
        <f>IF($A193="","",IFERROR(MATCH(LEN($B193)&amp;":"&amp;$B193&amp;$G193,$AY$9:$AY$192,0),0))</f>
        <v/>
      </c>
      <c r="AG193" t="str">
        <f>IF($A193="","",IF($F193="sell_put","put",IF($F193="sell_call","call",IF($F193="roll",IF($AF193&gt;0,IF($AF193&gt;0,INDEX($AG$9:$AG$192,$AF193),""),""),IF($AF193&gt;0,IF($AF193&gt;0,INDEX($AG$9:$AG$192,$AF193),""),"")))))</f>
        <v/>
      </c>
      <c r="AH193" t="str">
        <f>IF($A193="","",IF(OR($F193="sell_put",$F193="sell_call",$F193="roll"),$I193,IF($AF193&gt;0,IF($AF193&gt;0,INDEX($AH$9:$AH$192,$AF193),0),0)))</f>
        <v/>
      </c>
      <c r="AI193" s="51" t="str">
        <f t="shared" si="43"/>
        <v/>
      </c>
      <c r="AJ193" s="51" t="str">
        <f>IF($A193="","",IFERROR(LOOKUP(2,1/($B$9:$B$192=$B193),$AM$9:$AM192),0))</f>
        <v/>
      </c>
      <c r="AK193" t="str">
        <f>IF($A193="","",IFERROR(LOOKUP(2,1/($B$9:$B$192=$B193),$AN$9:$AN192),0))</f>
        <v/>
      </c>
      <c r="AL193" s="51" t="str">
        <f t="shared" si="44"/>
        <v/>
      </c>
      <c r="AM193" s="51" t="str">
        <f t="shared" si="45"/>
        <v/>
      </c>
      <c r="AN193" t="str">
        <f t="shared" si="46"/>
        <v/>
      </c>
      <c r="AO193" s="50" t="str">
        <f>IF($A193="","",IFERROR(LOOKUP(2,1/($B$9:$B$192=$B193),$AO$9:$AO192),0)+IF($F193="sell_put",$I193*$AE193*$D193,IF($F193="roll",IF($AG193="put",($I193-IF($AF193&gt;0,INDEX($AH$9:$AH$192,$AF193),0))*$AE193*$D193,0),IF(AND(OR($F193="buy_to_close",$F193="expire",$F193="roll",$F193="assignment",$F193="called_away"),$F193&lt;&gt;"roll",$AG193="put"),-IF($AF193&gt;0,INDEX($AH$9:$AH$192,$AF193),0)*$AE193*$D193,0))))</f>
        <v/>
      </c>
      <c r="AP193" s="51" t="str">
        <f>IF($A193="","",IFERROR(LOOKUP(2,1/($B$9:$B$192=$B193),$AP$9:$AP192),0)+IF($F193="sell_put",$AE193*$D193,IF(AND(OR($F193="buy_to_close",$F193="expire",$F193="roll",$F193="assignment",$F193="called_away"),$F193&lt;&gt;"roll",$AG193="put"),-$AE193*$D193,0)))</f>
        <v/>
      </c>
      <c r="AQ193" s="51" t="str">
        <f>IF($A193="","",IFERROR(LOOKUP(2,1/($B$9:$B$192=$B193),$AQ$9:$AQ192),0)+IF(OR($F193="sell_put",$F193="sell_call"),$AE193,0)-IF(AND(OR($F193="buy_to_close",$F193="expire",$F193="roll",$F193="assignment",$F193="called_away"),$F193&lt;&gt;"roll"),$AE193,0))</f>
        <v/>
      </c>
      <c r="AR193" t="str">
        <f t="shared" si="47"/>
        <v/>
      </c>
      <c r="AS193" s="50" t="str">
        <f t="shared" si="48"/>
        <v/>
      </c>
      <c r="AT193" s="50" t="str">
        <f>IF($A193="","",MAX(IF($T193=IFERROR(LOOKUP(2,1/($B$9:$B$192=$B193),$T$9:$T192),0),IFERROR(LOOKUP(2,1/($B$9:$B$192=$B193),$AT$9:$AT192),0),0),$AS193))</f>
        <v/>
      </c>
      <c r="AU193" t="str">
        <f t="shared" si="49"/>
        <v/>
      </c>
      <c r="AV193" s="51">
        <f>IF($AU193="",0,IF(AND(IFERROR(LOOKUP(2,1/($B$9:$B$192=$B193),$AR$9:$AR192),1),NOT(AND(OR($F193="dividend",$F193="fee"),IFERROR(LOOKUP(2,1/($B$9:$B$192=$B193),$T$9:$T192),0)&gt;0))),ROW(),0))</f>
        <v>0</v>
      </c>
      <c r="AW193">
        <f>IF($A193="",0,IF($AV193&gt;0,MAX($AW$9:$AW$192)+1,MAX($AW$9:$AW$192)))</f>
        <v>0</v>
      </c>
      <c r="AX193">
        <f>IF($AU193="",0,IF(AND($AR193,OR(NOT(IFERROR(LOOKUP(2,1/($B$9:$B$192=$B193),$AR$9:$AR192),1)),IFERROR(LOOKUP(2,1/($B$9:$B$192=$B193),$T$9:$T192),0)=0)),ROW(),0))</f>
        <v>0</v>
      </c>
      <c r="AY193" t="str">
        <f t="shared" si="50"/>
        <v/>
      </c>
    </row>
    <row r="194" spans="1:51" ht="15" x14ac:dyDescent="0.25">
      <c r="A194" s="52" t="str">
        <f>IF(Trades!$A194="","",Trades!O194)</f>
        <v/>
      </c>
      <c r="B194" s="52" t="str">
        <f>IF(Trades!$A194="","",Trades!B194)</f>
        <v/>
      </c>
      <c r="C194" s="52" t="str">
        <f>IF(Trades!$A194="","",Trades!C194)</f>
        <v/>
      </c>
      <c r="D194" s="53" t="str">
        <f>IF(Trades!$A194="","",IF(Trades!$L194&gt;0,Trades!$L194,Trades!$C$6))</f>
        <v/>
      </c>
      <c r="E194" s="54" t="str">
        <f>IF(Trades!$A194="","",Trades!A194)</f>
        <v/>
      </c>
      <c r="F194" s="52" t="str">
        <f>IF(Trades!$A194="","",IFERROR(INDEX(Trades!$V$2:$V$14,MATCH(Trades!$E194,Trades!$U$2:$U$14,0)),""))</f>
        <v/>
      </c>
      <c r="G194" s="52" t="str">
        <f>IF(Trades!$A194="","",Trades!N194)</f>
        <v/>
      </c>
      <c r="H194" s="53" t="str">
        <f>IF(Trades!$A194="","",Trades!F194)</f>
        <v/>
      </c>
      <c r="I194" s="55" t="str">
        <f>IF(Trades!$A194="","",Trades!G194)</f>
        <v/>
      </c>
      <c r="J194" s="55" t="str">
        <f>IF(Trades!$A194="","",Trades!I194)</f>
        <v/>
      </c>
      <c r="K194" s="55" t="str">
        <f>IF(Trades!$A194="","",Trades!Q194)</f>
        <v/>
      </c>
      <c r="L194" s="53" t="str">
        <f>IF(Trades!$A194="","",Trades!F194)</f>
        <v/>
      </c>
      <c r="M194" s="55" t="str">
        <f>IF(Trades!$A194="","",Trades!M194)</f>
        <v/>
      </c>
      <c r="N194" s="55" t="str">
        <f>IF(Trades!$A194="","",Trades!R194)</f>
        <v/>
      </c>
      <c r="O194" s="55" t="str">
        <f>IF(Trades!$A194="","",Trades!J194)</f>
        <v/>
      </c>
      <c r="P194" s="54" t="str">
        <f>IF(Trades!$A194="","",Trades!H194)</f>
        <v/>
      </c>
      <c r="Q194" s="52" t="str">
        <f>IF(Trades!$A194="","",Trades!P194)</f>
        <v/>
      </c>
      <c r="R194" s="56" t="str">
        <f t="shared" si="34"/>
        <v/>
      </c>
      <c r="S194" s="56" t="str">
        <f t="shared" si="35"/>
        <v/>
      </c>
      <c r="T194" s="57" t="str">
        <f>IF(OR($A194="",$B194=""),"",IF(AND(IFERROR(LOOKUP(2,1/($B$9:$B$193=$B194),$AR$9:$AR193),1),NOT(AND(OR($F194="dividend",$F194="fee"),IFERROR(LOOKUP(2,1/($B$9:$B$193=$B194),$T$9:$T193),0)&gt;0))),IFERROR(LOOKUP(2,1/($B$9:$B$193=$B194),$T$9:$T193),0)+1,IFERROR(LOOKUP(2,1/($B$9:$B$193=$B194),$T$9:$T193),0)))</f>
        <v/>
      </c>
      <c r="U194" s="58" t="str">
        <f t="shared" si="36"/>
        <v/>
      </c>
      <c r="V194" s="58" t="str">
        <f>IF($A194="","",IF(OR($B194="",$C194="",$D194="",$E194="",$F194=""),"Missing required field",IF(COUNTIFS($A$9:$A194,$A194,$B$9:$B194,$B194)&gt;1,"Duplicate event ID",IF(AND($E194&lt;&gt;IFERROR(LOOKUP(2,1/($B$9:$B$193=$B194),$E$9:$E193),0),IFERROR(LOOKUP(2,1/($B$9:$B$193=$B194),$E$9:$E193),0)&gt;$E194),"Date out of order",IF(AND(OR($F194="buy_to_close",$F194="expire",$F194="roll",$F194="assignment",$F194="called_away"),$AF194=0),"Unknown lot",IF(OR(AND($F194="assignment",$AF194&gt;0,IF($AF194&gt;0,INDEX($AG$9:$AG$193,$AF194),"")&lt;&gt;"put"),AND($F194="called_away",$AF194&gt;0,IF($AF194&gt;0,INDEX($AG$9:$AG$193,$AF194),"")&lt;&gt;"call")),"Wrong option leg",IF(OR(AND(OR($F194="sell_put",$F194="sell_call"),OR($H194&lt;=0,$I194&lt;=0,$J194&lt;0)),AND(OR($F194="buy_to_close",$F194="expire",$F194="assignment",$F194="called_away"),OR($H194&lt;=0,$J194&lt;0)),AND($F194="roll",OR($H194&lt;=0,$I194&lt;=0,$J194&lt;0,$K194&lt;0)),AND(OR($F194="buy_shares",$F194="sell_shares"),OR($L194&lt;=0,$M194&lt;0)),AND(OR($F194="dividend",$F194="fee"),$N194&lt;0)),"Invalid value",IF(AND(OR($F194="sell_shares",$F194="called_away"),$AL194&lt;IF($F194="called_away",$AE194*$D194,$L194)),"Insufficient shares (capped)",IF(AND(OR($F194="buy_to_close",$F194="expire",$F194="roll",$F194="assignment",$F194="called_away"),$AF194&gt;0,$H194&gt;IF($AF194&gt;0,MAX(0,INDEX($AI$9:$AI$193,$AF194)-SUMIFS($AE$9:$AE$193,$G$9:$G$193,$G194,$B$9:$B$193,$B194)),0)),"Close quantity capped","OK")))))))))</f>
        <v/>
      </c>
      <c r="W194" s="59" t="str">
        <f t="shared" si="37"/>
        <v/>
      </c>
      <c r="X194" s="60" t="str">
        <f t="shared" si="38"/>
        <v/>
      </c>
      <c r="Y194" s="50" t="str">
        <f t="shared" si="39"/>
        <v/>
      </c>
      <c r="Z194" s="50" t="str">
        <f t="shared" si="40"/>
        <v/>
      </c>
      <c r="AA194" s="50" t="str">
        <f t="shared" si="41"/>
        <v/>
      </c>
      <c r="AB194" s="50" t="str">
        <f t="shared" si="42"/>
        <v/>
      </c>
      <c r="AC194" s="50" t="str">
        <f>IF($A194="","",IF($F194="assignment",IF($AF194&gt;0,INDEX($AH$9:$AH$193,$AF194),0)*$AE194*$D194,IF($F194="buy_shares",$M194*$AL194,0)))</f>
        <v/>
      </c>
      <c r="AD194" s="50" t="str">
        <f>IF($A194="","",IF($F194="called_away",IF($AF194&gt;0,INDEX($AH$9:$AH$193,$AF194),0)*$AL194,IF($F194="sell_shares",$M194*$AL194,0)))</f>
        <v/>
      </c>
      <c r="AE194" s="51" t="str">
        <f>IF($A194="","",IF(OR($F194="sell_put",$F194="sell_call"),IF(AND($H194&gt;0,$I194&gt;0,$J194&gt;=0),$H194,0),IF(OR($F194="buy_to_close",$F194="expire",$F194="roll",$F194="assignment",$F194="called_away"),IF(AND($AF194&gt;0,$H194&gt;0,IF($F194="assignment",IF($AF194&gt;0,INDEX($AG$9:$AG$193,$AF194),"")="put",TRUE),IF($F194="called_away",IF($AF194&gt;0,INDEX($AG$9:$AG$193,$AF194),"")="call",TRUE)),MIN($H194,IF($AF194&gt;0,MAX(0,INDEX($AI$9:$AI$193,$AF194)-SUMIFS($AE$9:$AE$193,$G$9:$G$193,$G194,$B$9:$B$193,$B194)),0)),0),0)))</f>
        <v/>
      </c>
      <c r="AF194" t="str">
        <f>IF($A194="","",IFERROR(MATCH(LEN($B194)&amp;":"&amp;$B194&amp;$G194,$AY$9:$AY$193,0),0))</f>
        <v/>
      </c>
      <c r="AG194" t="str">
        <f>IF($A194="","",IF($F194="sell_put","put",IF($F194="sell_call","call",IF($F194="roll",IF($AF194&gt;0,IF($AF194&gt;0,INDEX($AG$9:$AG$193,$AF194),""),""),IF($AF194&gt;0,IF($AF194&gt;0,INDEX($AG$9:$AG$193,$AF194),""),"")))))</f>
        <v/>
      </c>
      <c r="AH194" t="str">
        <f>IF($A194="","",IF(OR($F194="sell_put",$F194="sell_call",$F194="roll"),$I194,IF($AF194&gt;0,IF($AF194&gt;0,INDEX($AH$9:$AH$193,$AF194),0),0)))</f>
        <v/>
      </c>
      <c r="AI194" s="51" t="str">
        <f t="shared" si="43"/>
        <v/>
      </c>
      <c r="AJ194" s="51" t="str">
        <f>IF($A194="","",IFERROR(LOOKUP(2,1/($B$9:$B$193=$B194),$AM$9:$AM193),0))</f>
        <v/>
      </c>
      <c r="AK194" t="str">
        <f>IF($A194="","",IFERROR(LOOKUP(2,1/($B$9:$B$193=$B194),$AN$9:$AN193),0))</f>
        <v/>
      </c>
      <c r="AL194" s="51" t="str">
        <f t="shared" si="44"/>
        <v/>
      </c>
      <c r="AM194" s="51" t="str">
        <f t="shared" si="45"/>
        <v/>
      </c>
      <c r="AN194" t="str">
        <f t="shared" si="46"/>
        <v/>
      </c>
      <c r="AO194" s="50" t="str">
        <f>IF($A194="","",IFERROR(LOOKUP(2,1/($B$9:$B$193=$B194),$AO$9:$AO193),0)+IF($F194="sell_put",$I194*$AE194*$D194,IF($F194="roll",IF($AG194="put",($I194-IF($AF194&gt;0,INDEX($AH$9:$AH$193,$AF194),0))*$AE194*$D194,0),IF(AND(OR($F194="buy_to_close",$F194="expire",$F194="roll",$F194="assignment",$F194="called_away"),$F194&lt;&gt;"roll",$AG194="put"),-IF($AF194&gt;0,INDEX($AH$9:$AH$193,$AF194),0)*$AE194*$D194,0))))</f>
        <v/>
      </c>
      <c r="AP194" s="51" t="str">
        <f>IF($A194="","",IFERROR(LOOKUP(2,1/($B$9:$B$193=$B194),$AP$9:$AP193),0)+IF($F194="sell_put",$AE194*$D194,IF(AND(OR($F194="buy_to_close",$F194="expire",$F194="roll",$F194="assignment",$F194="called_away"),$F194&lt;&gt;"roll",$AG194="put"),-$AE194*$D194,0)))</f>
        <v/>
      </c>
      <c r="AQ194" s="51" t="str">
        <f>IF($A194="","",IFERROR(LOOKUP(2,1/($B$9:$B$193=$B194),$AQ$9:$AQ193),0)+IF(OR($F194="sell_put",$F194="sell_call"),$AE194,0)-IF(AND(OR($F194="buy_to_close",$F194="expire",$F194="roll",$F194="assignment",$F194="called_away"),$F194&lt;&gt;"roll"),$AE194,0))</f>
        <v/>
      </c>
      <c r="AR194" t="str">
        <f t="shared" si="47"/>
        <v/>
      </c>
      <c r="AS194" s="50" t="str">
        <f t="shared" si="48"/>
        <v/>
      </c>
      <c r="AT194" s="50" t="str">
        <f>IF($A194="","",MAX(IF($T194=IFERROR(LOOKUP(2,1/($B$9:$B$193=$B194),$T$9:$T193),0),IFERROR(LOOKUP(2,1/($B$9:$B$193=$B194),$AT$9:$AT193),0),0),$AS194))</f>
        <v/>
      </c>
      <c r="AU194" t="str">
        <f t="shared" si="49"/>
        <v/>
      </c>
      <c r="AV194" s="51">
        <f>IF($AU194="",0,IF(AND(IFERROR(LOOKUP(2,1/($B$9:$B$193=$B194),$AR$9:$AR193),1),NOT(AND(OR($F194="dividend",$F194="fee"),IFERROR(LOOKUP(2,1/($B$9:$B$193=$B194),$T$9:$T193),0)&gt;0))),ROW(),0))</f>
        <v>0</v>
      </c>
      <c r="AW194">
        <f>IF($A194="",0,IF($AV194&gt;0,MAX($AW$9:$AW$193)+1,MAX($AW$9:$AW$193)))</f>
        <v>0</v>
      </c>
      <c r="AX194">
        <f>IF($AU194="",0,IF(AND($AR194,OR(NOT(IFERROR(LOOKUP(2,1/($B$9:$B$193=$B194),$AR$9:$AR193),1)),IFERROR(LOOKUP(2,1/($B$9:$B$193=$B194),$T$9:$T193),0)=0)),ROW(),0))</f>
        <v>0</v>
      </c>
      <c r="AY194" t="str">
        <f t="shared" si="50"/>
        <v/>
      </c>
    </row>
    <row r="195" spans="1:51" ht="15" x14ac:dyDescent="0.25">
      <c r="A195" s="41" t="str">
        <f>IF(Trades!$A195="","",Trades!O195)</f>
        <v/>
      </c>
      <c r="B195" s="41" t="str">
        <f>IF(Trades!$A195="","",Trades!B195)</f>
        <v/>
      </c>
      <c r="C195" s="41" t="str">
        <f>IF(Trades!$A195="","",Trades!C195)</f>
        <v/>
      </c>
      <c r="D195" s="42" t="str">
        <f>IF(Trades!$A195="","",IF(Trades!$L195&gt;0,Trades!$L195,Trades!$C$6))</f>
        <v/>
      </c>
      <c r="E195" s="43" t="str">
        <f>IF(Trades!$A195="","",Trades!A195)</f>
        <v/>
      </c>
      <c r="F195" s="41" t="str">
        <f>IF(Trades!$A195="","",IFERROR(INDEX(Trades!$V$2:$V$14,MATCH(Trades!$E195,Trades!$U$2:$U$14,0)),""))</f>
        <v/>
      </c>
      <c r="G195" s="41" t="str">
        <f>IF(Trades!$A195="","",Trades!N195)</f>
        <v/>
      </c>
      <c r="H195" s="42" t="str">
        <f>IF(Trades!$A195="","",Trades!F195)</f>
        <v/>
      </c>
      <c r="I195" s="44" t="str">
        <f>IF(Trades!$A195="","",Trades!G195)</f>
        <v/>
      </c>
      <c r="J195" s="44" t="str">
        <f>IF(Trades!$A195="","",Trades!I195)</f>
        <v/>
      </c>
      <c r="K195" s="44" t="str">
        <f>IF(Trades!$A195="","",Trades!Q195)</f>
        <v/>
      </c>
      <c r="L195" s="42" t="str">
        <f>IF(Trades!$A195="","",Trades!F195)</f>
        <v/>
      </c>
      <c r="M195" s="44" t="str">
        <f>IF(Trades!$A195="","",Trades!M195)</f>
        <v/>
      </c>
      <c r="N195" s="44" t="str">
        <f>IF(Trades!$A195="","",Trades!R195)</f>
        <v/>
      </c>
      <c r="O195" s="44" t="str">
        <f>IF(Trades!$A195="","",Trades!J195)</f>
        <v/>
      </c>
      <c r="P195" s="43" t="str">
        <f>IF(Trades!$A195="","",Trades!H195)</f>
        <v/>
      </c>
      <c r="Q195" s="41" t="str">
        <f>IF(Trades!$A195="","",Trades!P195)</f>
        <v/>
      </c>
      <c r="R195" s="45" t="str">
        <f t="shared" si="34"/>
        <v/>
      </c>
      <c r="S195" s="45" t="str">
        <f t="shared" si="35"/>
        <v/>
      </c>
      <c r="T195" s="46" t="str">
        <f>IF(OR($A195="",$B195=""),"",IF(AND(IFERROR(LOOKUP(2,1/($B$9:$B$194=$B195),$AR$9:$AR194),1),NOT(AND(OR($F195="dividend",$F195="fee"),IFERROR(LOOKUP(2,1/($B$9:$B$194=$B195),$T$9:$T194),0)&gt;0))),IFERROR(LOOKUP(2,1/($B$9:$B$194=$B195),$T$9:$T194),0)+1,IFERROR(LOOKUP(2,1/($B$9:$B$194=$B195),$T$9:$T194),0)))</f>
        <v/>
      </c>
      <c r="U195" s="47" t="str">
        <f t="shared" si="36"/>
        <v/>
      </c>
      <c r="V195" s="47" t="str">
        <f>IF($A195="","",IF(OR($B195="",$C195="",$D195="",$E195="",$F195=""),"Missing required field",IF(COUNTIFS($A$9:$A195,$A195,$B$9:$B195,$B195)&gt;1,"Duplicate event ID",IF(AND($E195&lt;&gt;IFERROR(LOOKUP(2,1/($B$9:$B$194=$B195),$E$9:$E194),0),IFERROR(LOOKUP(2,1/($B$9:$B$194=$B195),$E$9:$E194),0)&gt;$E195),"Date out of order",IF(AND(OR($F195="buy_to_close",$F195="expire",$F195="roll",$F195="assignment",$F195="called_away"),$AF195=0),"Unknown lot",IF(OR(AND($F195="assignment",$AF195&gt;0,IF($AF195&gt;0,INDEX($AG$9:$AG$194,$AF195),"")&lt;&gt;"put"),AND($F195="called_away",$AF195&gt;0,IF($AF195&gt;0,INDEX($AG$9:$AG$194,$AF195),"")&lt;&gt;"call")),"Wrong option leg",IF(OR(AND(OR($F195="sell_put",$F195="sell_call"),OR($H195&lt;=0,$I195&lt;=0,$J195&lt;0)),AND(OR($F195="buy_to_close",$F195="expire",$F195="assignment",$F195="called_away"),OR($H195&lt;=0,$J195&lt;0)),AND($F195="roll",OR($H195&lt;=0,$I195&lt;=0,$J195&lt;0,$K195&lt;0)),AND(OR($F195="buy_shares",$F195="sell_shares"),OR($L195&lt;=0,$M195&lt;0)),AND(OR($F195="dividend",$F195="fee"),$N195&lt;0)),"Invalid value",IF(AND(OR($F195="sell_shares",$F195="called_away"),$AL195&lt;IF($F195="called_away",$AE195*$D195,$L195)),"Insufficient shares (capped)",IF(AND(OR($F195="buy_to_close",$F195="expire",$F195="roll",$F195="assignment",$F195="called_away"),$AF195&gt;0,$H195&gt;IF($AF195&gt;0,MAX(0,INDEX($AI$9:$AI$194,$AF195)-SUMIFS($AE$9:$AE$194,$G$9:$G$194,$G195,$B$9:$B$194,$B195)),0)),"Close quantity capped","OK")))))))))</f>
        <v/>
      </c>
      <c r="W195" s="48" t="str">
        <f t="shared" si="37"/>
        <v/>
      </c>
      <c r="X195" s="49" t="str">
        <f t="shared" si="38"/>
        <v/>
      </c>
      <c r="Y195" s="50" t="str">
        <f t="shared" si="39"/>
        <v/>
      </c>
      <c r="Z195" s="50" t="str">
        <f t="shared" si="40"/>
        <v/>
      </c>
      <c r="AA195" s="50" t="str">
        <f t="shared" si="41"/>
        <v/>
      </c>
      <c r="AB195" s="50" t="str">
        <f t="shared" si="42"/>
        <v/>
      </c>
      <c r="AC195" s="50" t="str">
        <f>IF($A195="","",IF($F195="assignment",IF($AF195&gt;0,INDEX($AH$9:$AH$194,$AF195),0)*$AE195*$D195,IF($F195="buy_shares",$M195*$AL195,0)))</f>
        <v/>
      </c>
      <c r="AD195" s="50" t="str">
        <f>IF($A195="","",IF($F195="called_away",IF($AF195&gt;0,INDEX($AH$9:$AH$194,$AF195),0)*$AL195,IF($F195="sell_shares",$M195*$AL195,0)))</f>
        <v/>
      </c>
      <c r="AE195" s="51" t="str">
        <f>IF($A195="","",IF(OR($F195="sell_put",$F195="sell_call"),IF(AND($H195&gt;0,$I195&gt;0,$J195&gt;=0),$H195,0),IF(OR($F195="buy_to_close",$F195="expire",$F195="roll",$F195="assignment",$F195="called_away"),IF(AND($AF195&gt;0,$H195&gt;0,IF($F195="assignment",IF($AF195&gt;0,INDEX($AG$9:$AG$194,$AF195),"")="put",TRUE),IF($F195="called_away",IF($AF195&gt;0,INDEX($AG$9:$AG$194,$AF195),"")="call",TRUE)),MIN($H195,IF($AF195&gt;0,MAX(0,INDEX($AI$9:$AI$194,$AF195)-SUMIFS($AE$9:$AE$194,$G$9:$G$194,$G195,$B$9:$B$194,$B195)),0)),0),0)))</f>
        <v/>
      </c>
      <c r="AF195" t="str">
        <f>IF($A195="","",IFERROR(MATCH(LEN($B195)&amp;":"&amp;$B195&amp;$G195,$AY$9:$AY$194,0),0))</f>
        <v/>
      </c>
      <c r="AG195" t="str">
        <f>IF($A195="","",IF($F195="sell_put","put",IF($F195="sell_call","call",IF($F195="roll",IF($AF195&gt;0,IF($AF195&gt;0,INDEX($AG$9:$AG$194,$AF195),""),""),IF($AF195&gt;0,IF($AF195&gt;0,INDEX($AG$9:$AG$194,$AF195),""),"")))))</f>
        <v/>
      </c>
      <c r="AH195" t="str">
        <f>IF($A195="","",IF(OR($F195="sell_put",$F195="sell_call",$F195="roll"),$I195,IF($AF195&gt;0,IF($AF195&gt;0,INDEX($AH$9:$AH$194,$AF195),0),0)))</f>
        <v/>
      </c>
      <c r="AI195" s="51" t="str">
        <f t="shared" si="43"/>
        <v/>
      </c>
      <c r="AJ195" s="51" t="str">
        <f>IF($A195="","",IFERROR(LOOKUP(2,1/($B$9:$B$194=$B195),$AM$9:$AM194),0))</f>
        <v/>
      </c>
      <c r="AK195" t="str">
        <f>IF($A195="","",IFERROR(LOOKUP(2,1/($B$9:$B$194=$B195),$AN$9:$AN194),0))</f>
        <v/>
      </c>
      <c r="AL195" s="51" t="str">
        <f t="shared" si="44"/>
        <v/>
      </c>
      <c r="AM195" s="51" t="str">
        <f t="shared" si="45"/>
        <v/>
      </c>
      <c r="AN195" t="str">
        <f t="shared" si="46"/>
        <v/>
      </c>
      <c r="AO195" s="50" t="str">
        <f>IF($A195="","",IFERROR(LOOKUP(2,1/($B$9:$B$194=$B195),$AO$9:$AO194),0)+IF($F195="sell_put",$I195*$AE195*$D195,IF($F195="roll",IF($AG195="put",($I195-IF($AF195&gt;0,INDEX($AH$9:$AH$194,$AF195),0))*$AE195*$D195,0),IF(AND(OR($F195="buy_to_close",$F195="expire",$F195="roll",$F195="assignment",$F195="called_away"),$F195&lt;&gt;"roll",$AG195="put"),-IF($AF195&gt;0,INDEX($AH$9:$AH$194,$AF195),0)*$AE195*$D195,0))))</f>
        <v/>
      </c>
      <c r="AP195" s="51" t="str">
        <f>IF($A195="","",IFERROR(LOOKUP(2,1/($B$9:$B$194=$B195),$AP$9:$AP194),0)+IF($F195="sell_put",$AE195*$D195,IF(AND(OR($F195="buy_to_close",$F195="expire",$F195="roll",$F195="assignment",$F195="called_away"),$F195&lt;&gt;"roll",$AG195="put"),-$AE195*$D195,0)))</f>
        <v/>
      </c>
      <c r="AQ195" s="51" t="str">
        <f>IF($A195="","",IFERROR(LOOKUP(2,1/($B$9:$B$194=$B195),$AQ$9:$AQ194),0)+IF(OR($F195="sell_put",$F195="sell_call"),$AE195,0)-IF(AND(OR($F195="buy_to_close",$F195="expire",$F195="roll",$F195="assignment",$F195="called_away"),$F195&lt;&gt;"roll"),$AE195,0))</f>
        <v/>
      </c>
      <c r="AR195" t="str">
        <f t="shared" si="47"/>
        <v/>
      </c>
      <c r="AS195" s="50" t="str">
        <f t="shared" si="48"/>
        <v/>
      </c>
      <c r="AT195" s="50" t="str">
        <f>IF($A195="","",MAX(IF($T195=IFERROR(LOOKUP(2,1/($B$9:$B$194=$B195),$T$9:$T194),0),IFERROR(LOOKUP(2,1/($B$9:$B$194=$B195),$AT$9:$AT194),0),0),$AS195))</f>
        <v/>
      </c>
      <c r="AU195" t="str">
        <f t="shared" si="49"/>
        <v/>
      </c>
      <c r="AV195" s="51">
        <f>IF($AU195="",0,IF(AND(IFERROR(LOOKUP(2,1/($B$9:$B$194=$B195),$AR$9:$AR194),1),NOT(AND(OR($F195="dividend",$F195="fee"),IFERROR(LOOKUP(2,1/($B$9:$B$194=$B195),$T$9:$T194),0)&gt;0))),ROW(),0))</f>
        <v>0</v>
      </c>
      <c r="AW195">
        <f>IF($A195="",0,IF($AV195&gt;0,MAX($AW$9:$AW$194)+1,MAX($AW$9:$AW$194)))</f>
        <v>0</v>
      </c>
      <c r="AX195">
        <f>IF($AU195="",0,IF(AND($AR195,OR(NOT(IFERROR(LOOKUP(2,1/($B$9:$B$194=$B195),$AR$9:$AR194),1)),IFERROR(LOOKUP(2,1/($B$9:$B$194=$B195),$T$9:$T194),0)=0)),ROW(),0))</f>
        <v>0</v>
      </c>
      <c r="AY195" t="str">
        <f t="shared" si="50"/>
        <v/>
      </c>
    </row>
    <row r="196" spans="1:51" ht="15" x14ac:dyDescent="0.25">
      <c r="A196" s="52" t="str">
        <f>IF(Trades!$A196="","",Trades!O196)</f>
        <v/>
      </c>
      <c r="B196" s="52" t="str">
        <f>IF(Trades!$A196="","",Trades!B196)</f>
        <v/>
      </c>
      <c r="C196" s="52" t="str">
        <f>IF(Trades!$A196="","",Trades!C196)</f>
        <v/>
      </c>
      <c r="D196" s="53" t="str">
        <f>IF(Trades!$A196="","",IF(Trades!$L196&gt;0,Trades!$L196,Trades!$C$6))</f>
        <v/>
      </c>
      <c r="E196" s="54" t="str">
        <f>IF(Trades!$A196="","",Trades!A196)</f>
        <v/>
      </c>
      <c r="F196" s="52" t="str">
        <f>IF(Trades!$A196="","",IFERROR(INDEX(Trades!$V$2:$V$14,MATCH(Trades!$E196,Trades!$U$2:$U$14,0)),""))</f>
        <v/>
      </c>
      <c r="G196" s="52" t="str">
        <f>IF(Trades!$A196="","",Trades!N196)</f>
        <v/>
      </c>
      <c r="H196" s="53" t="str">
        <f>IF(Trades!$A196="","",Trades!F196)</f>
        <v/>
      </c>
      <c r="I196" s="55" t="str">
        <f>IF(Trades!$A196="","",Trades!G196)</f>
        <v/>
      </c>
      <c r="J196" s="55" t="str">
        <f>IF(Trades!$A196="","",Trades!I196)</f>
        <v/>
      </c>
      <c r="K196" s="55" t="str">
        <f>IF(Trades!$A196="","",Trades!Q196)</f>
        <v/>
      </c>
      <c r="L196" s="53" t="str">
        <f>IF(Trades!$A196="","",Trades!F196)</f>
        <v/>
      </c>
      <c r="M196" s="55" t="str">
        <f>IF(Trades!$A196="","",Trades!M196)</f>
        <v/>
      </c>
      <c r="N196" s="55" t="str">
        <f>IF(Trades!$A196="","",Trades!R196)</f>
        <v/>
      </c>
      <c r="O196" s="55" t="str">
        <f>IF(Trades!$A196="","",Trades!J196)</f>
        <v/>
      </c>
      <c r="P196" s="54" t="str">
        <f>IF(Trades!$A196="","",Trades!H196)</f>
        <v/>
      </c>
      <c r="Q196" s="52" t="str">
        <f>IF(Trades!$A196="","",Trades!P196)</f>
        <v/>
      </c>
      <c r="R196" s="56" t="str">
        <f t="shared" si="34"/>
        <v/>
      </c>
      <c r="S196" s="56" t="str">
        <f t="shared" si="35"/>
        <v/>
      </c>
      <c r="T196" s="57" t="str">
        <f>IF(OR($A196="",$B196=""),"",IF(AND(IFERROR(LOOKUP(2,1/($B$9:$B$195=$B196),$AR$9:$AR195),1),NOT(AND(OR($F196="dividend",$F196="fee"),IFERROR(LOOKUP(2,1/($B$9:$B$195=$B196),$T$9:$T195),0)&gt;0))),IFERROR(LOOKUP(2,1/($B$9:$B$195=$B196),$T$9:$T195),0)+1,IFERROR(LOOKUP(2,1/($B$9:$B$195=$B196),$T$9:$T195),0)))</f>
        <v/>
      </c>
      <c r="U196" s="58" t="str">
        <f t="shared" si="36"/>
        <v/>
      </c>
      <c r="V196" s="58" t="str">
        <f>IF($A196="","",IF(OR($B196="",$C196="",$D196="",$E196="",$F196=""),"Missing required field",IF(COUNTIFS($A$9:$A196,$A196,$B$9:$B196,$B196)&gt;1,"Duplicate event ID",IF(AND($E196&lt;&gt;IFERROR(LOOKUP(2,1/($B$9:$B$195=$B196),$E$9:$E195),0),IFERROR(LOOKUP(2,1/($B$9:$B$195=$B196),$E$9:$E195),0)&gt;$E196),"Date out of order",IF(AND(OR($F196="buy_to_close",$F196="expire",$F196="roll",$F196="assignment",$F196="called_away"),$AF196=0),"Unknown lot",IF(OR(AND($F196="assignment",$AF196&gt;0,IF($AF196&gt;0,INDEX($AG$9:$AG$195,$AF196),"")&lt;&gt;"put"),AND($F196="called_away",$AF196&gt;0,IF($AF196&gt;0,INDEX($AG$9:$AG$195,$AF196),"")&lt;&gt;"call")),"Wrong option leg",IF(OR(AND(OR($F196="sell_put",$F196="sell_call"),OR($H196&lt;=0,$I196&lt;=0,$J196&lt;0)),AND(OR($F196="buy_to_close",$F196="expire",$F196="assignment",$F196="called_away"),OR($H196&lt;=0,$J196&lt;0)),AND($F196="roll",OR($H196&lt;=0,$I196&lt;=0,$J196&lt;0,$K196&lt;0)),AND(OR($F196="buy_shares",$F196="sell_shares"),OR($L196&lt;=0,$M196&lt;0)),AND(OR($F196="dividend",$F196="fee"),$N196&lt;0)),"Invalid value",IF(AND(OR($F196="sell_shares",$F196="called_away"),$AL196&lt;IF($F196="called_away",$AE196*$D196,$L196)),"Insufficient shares (capped)",IF(AND(OR($F196="buy_to_close",$F196="expire",$F196="roll",$F196="assignment",$F196="called_away"),$AF196&gt;0,$H196&gt;IF($AF196&gt;0,MAX(0,INDEX($AI$9:$AI$195,$AF196)-SUMIFS($AE$9:$AE$195,$G$9:$G$195,$G196,$B$9:$B$195,$B196)),0)),"Close quantity capped","OK")))))))))</f>
        <v/>
      </c>
      <c r="W196" s="59" t="str">
        <f t="shared" si="37"/>
        <v/>
      </c>
      <c r="X196" s="60" t="str">
        <f t="shared" si="38"/>
        <v/>
      </c>
      <c r="Y196" s="50" t="str">
        <f t="shared" si="39"/>
        <v/>
      </c>
      <c r="Z196" s="50" t="str">
        <f t="shared" si="40"/>
        <v/>
      </c>
      <c r="AA196" s="50" t="str">
        <f t="shared" si="41"/>
        <v/>
      </c>
      <c r="AB196" s="50" t="str">
        <f t="shared" si="42"/>
        <v/>
      </c>
      <c r="AC196" s="50" t="str">
        <f>IF($A196="","",IF($F196="assignment",IF($AF196&gt;0,INDEX($AH$9:$AH$195,$AF196),0)*$AE196*$D196,IF($F196="buy_shares",$M196*$AL196,0)))</f>
        <v/>
      </c>
      <c r="AD196" s="50" t="str">
        <f>IF($A196="","",IF($F196="called_away",IF($AF196&gt;0,INDEX($AH$9:$AH$195,$AF196),0)*$AL196,IF($F196="sell_shares",$M196*$AL196,0)))</f>
        <v/>
      </c>
      <c r="AE196" s="51" t="str">
        <f>IF($A196="","",IF(OR($F196="sell_put",$F196="sell_call"),IF(AND($H196&gt;0,$I196&gt;0,$J196&gt;=0),$H196,0),IF(OR($F196="buy_to_close",$F196="expire",$F196="roll",$F196="assignment",$F196="called_away"),IF(AND($AF196&gt;0,$H196&gt;0,IF($F196="assignment",IF($AF196&gt;0,INDEX($AG$9:$AG$195,$AF196),"")="put",TRUE),IF($F196="called_away",IF($AF196&gt;0,INDEX($AG$9:$AG$195,$AF196),"")="call",TRUE)),MIN($H196,IF($AF196&gt;0,MAX(0,INDEX($AI$9:$AI$195,$AF196)-SUMIFS($AE$9:$AE$195,$G$9:$G$195,$G196,$B$9:$B$195,$B196)),0)),0),0)))</f>
        <v/>
      </c>
      <c r="AF196" t="str">
        <f>IF($A196="","",IFERROR(MATCH(LEN($B196)&amp;":"&amp;$B196&amp;$G196,$AY$9:$AY$195,0),0))</f>
        <v/>
      </c>
      <c r="AG196" t="str">
        <f>IF($A196="","",IF($F196="sell_put","put",IF($F196="sell_call","call",IF($F196="roll",IF($AF196&gt;0,IF($AF196&gt;0,INDEX($AG$9:$AG$195,$AF196),""),""),IF($AF196&gt;0,IF($AF196&gt;0,INDEX($AG$9:$AG$195,$AF196),""),"")))))</f>
        <v/>
      </c>
      <c r="AH196" t="str">
        <f>IF($A196="","",IF(OR($F196="sell_put",$F196="sell_call",$F196="roll"),$I196,IF($AF196&gt;0,IF($AF196&gt;0,INDEX($AH$9:$AH$195,$AF196),0),0)))</f>
        <v/>
      </c>
      <c r="AI196" s="51" t="str">
        <f t="shared" si="43"/>
        <v/>
      </c>
      <c r="AJ196" s="51" t="str">
        <f>IF($A196="","",IFERROR(LOOKUP(2,1/($B$9:$B$195=$B196),$AM$9:$AM195),0))</f>
        <v/>
      </c>
      <c r="AK196" t="str">
        <f>IF($A196="","",IFERROR(LOOKUP(2,1/($B$9:$B$195=$B196),$AN$9:$AN195),0))</f>
        <v/>
      </c>
      <c r="AL196" s="51" t="str">
        <f t="shared" si="44"/>
        <v/>
      </c>
      <c r="AM196" s="51" t="str">
        <f t="shared" si="45"/>
        <v/>
      </c>
      <c r="AN196" t="str">
        <f t="shared" si="46"/>
        <v/>
      </c>
      <c r="AO196" s="50" t="str">
        <f>IF($A196="","",IFERROR(LOOKUP(2,1/($B$9:$B$195=$B196),$AO$9:$AO195),0)+IF($F196="sell_put",$I196*$AE196*$D196,IF($F196="roll",IF($AG196="put",($I196-IF($AF196&gt;0,INDEX($AH$9:$AH$195,$AF196),0))*$AE196*$D196,0),IF(AND(OR($F196="buy_to_close",$F196="expire",$F196="roll",$F196="assignment",$F196="called_away"),$F196&lt;&gt;"roll",$AG196="put"),-IF($AF196&gt;0,INDEX($AH$9:$AH$195,$AF196),0)*$AE196*$D196,0))))</f>
        <v/>
      </c>
      <c r="AP196" s="51" t="str">
        <f>IF($A196="","",IFERROR(LOOKUP(2,1/($B$9:$B$195=$B196),$AP$9:$AP195),0)+IF($F196="sell_put",$AE196*$D196,IF(AND(OR($F196="buy_to_close",$F196="expire",$F196="roll",$F196="assignment",$F196="called_away"),$F196&lt;&gt;"roll",$AG196="put"),-$AE196*$D196,0)))</f>
        <v/>
      </c>
      <c r="AQ196" s="51" t="str">
        <f>IF($A196="","",IFERROR(LOOKUP(2,1/($B$9:$B$195=$B196),$AQ$9:$AQ195),0)+IF(OR($F196="sell_put",$F196="sell_call"),$AE196,0)-IF(AND(OR($F196="buy_to_close",$F196="expire",$F196="roll",$F196="assignment",$F196="called_away"),$F196&lt;&gt;"roll"),$AE196,0))</f>
        <v/>
      </c>
      <c r="AR196" t="str">
        <f t="shared" si="47"/>
        <v/>
      </c>
      <c r="AS196" s="50" t="str">
        <f t="shared" si="48"/>
        <v/>
      </c>
      <c r="AT196" s="50" t="str">
        <f>IF($A196="","",MAX(IF($T196=IFERROR(LOOKUP(2,1/($B$9:$B$195=$B196),$T$9:$T195),0),IFERROR(LOOKUP(2,1/($B$9:$B$195=$B196),$AT$9:$AT195),0),0),$AS196))</f>
        <v/>
      </c>
      <c r="AU196" t="str">
        <f t="shared" si="49"/>
        <v/>
      </c>
      <c r="AV196" s="51">
        <f>IF($AU196="",0,IF(AND(IFERROR(LOOKUP(2,1/($B$9:$B$195=$B196),$AR$9:$AR195),1),NOT(AND(OR($F196="dividend",$F196="fee"),IFERROR(LOOKUP(2,1/($B$9:$B$195=$B196),$T$9:$T195),0)&gt;0))),ROW(),0))</f>
        <v>0</v>
      </c>
      <c r="AW196">
        <f>IF($A196="",0,IF($AV196&gt;0,MAX($AW$9:$AW$195)+1,MAX($AW$9:$AW$195)))</f>
        <v>0</v>
      </c>
      <c r="AX196">
        <f>IF($AU196="",0,IF(AND($AR196,OR(NOT(IFERROR(LOOKUP(2,1/($B$9:$B$195=$B196),$AR$9:$AR195),1)),IFERROR(LOOKUP(2,1/($B$9:$B$195=$B196),$T$9:$T195),0)=0)),ROW(),0))</f>
        <v>0</v>
      </c>
      <c r="AY196" t="str">
        <f t="shared" si="50"/>
        <v/>
      </c>
    </row>
    <row r="197" spans="1:51" ht="15" x14ac:dyDescent="0.25">
      <c r="A197" s="41" t="str">
        <f>IF(Trades!$A197="","",Trades!O197)</f>
        <v/>
      </c>
      <c r="B197" s="41" t="str">
        <f>IF(Trades!$A197="","",Trades!B197)</f>
        <v/>
      </c>
      <c r="C197" s="41" t="str">
        <f>IF(Trades!$A197="","",Trades!C197)</f>
        <v/>
      </c>
      <c r="D197" s="42" t="str">
        <f>IF(Trades!$A197="","",IF(Trades!$L197&gt;0,Trades!$L197,Trades!$C$6))</f>
        <v/>
      </c>
      <c r="E197" s="43" t="str">
        <f>IF(Trades!$A197="","",Trades!A197)</f>
        <v/>
      </c>
      <c r="F197" s="41" t="str">
        <f>IF(Trades!$A197="","",IFERROR(INDEX(Trades!$V$2:$V$14,MATCH(Trades!$E197,Trades!$U$2:$U$14,0)),""))</f>
        <v/>
      </c>
      <c r="G197" s="41" t="str">
        <f>IF(Trades!$A197="","",Trades!N197)</f>
        <v/>
      </c>
      <c r="H197" s="42" t="str">
        <f>IF(Trades!$A197="","",Trades!F197)</f>
        <v/>
      </c>
      <c r="I197" s="44" t="str">
        <f>IF(Trades!$A197="","",Trades!G197)</f>
        <v/>
      </c>
      <c r="J197" s="44" t="str">
        <f>IF(Trades!$A197="","",Trades!I197)</f>
        <v/>
      </c>
      <c r="K197" s="44" t="str">
        <f>IF(Trades!$A197="","",Trades!Q197)</f>
        <v/>
      </c>
      <c r="L197" s="42" t="str">
        <f>IF(Trades!$A197="","",Trades!F197)</f>
        <v/>
      </c>
      <c r="M197" s="44" t="str">
        <f>IF(Trades!$A197="","",Trades!M197)</f>
        <v/>
      </c>
      <c r="N197" s="44" t="str">
        <f>IF(Trades!$A197="","",Trades!R197)</f>
        <v/>
      </c>
      <c r="O197" s="44" t="str">
        <f>IF(Trades!$A197="","",Trades!J197)</f>
        <v/>
      </c>
      <c r="P197" s="43" t="str">
        <f>IF(Trades!$A197="","",Trades!H197)</f>
        <v/>
      </c>
      <c r="Q197" s="41" t="str">
        <f>IF(Trades!$A197="","",Trades!P197)</f>
        <v/>
      </c>
      <c r="R197" s="45" t="str">
        <f t="shared" si="34"/>
        <v/>
      </c>
      <c r="S197" s="45" t="str">
        <f t="shared" si="35"/>
        <v/>
      </c>
      <c r="T197" s="46" t="str">
        <f>IF(OR($A197="",$B197=""),"",IF(AND(IFERROR(LOOKUP(2,1/($B$9:$B$196=$B197),$AR$9:$AR196),1),NOT(AND(OR($F197="dividend",$F197="fee"),IFERROR(LOOKUP(2,1/($B$9:$B$196=$B197),$T$9:$T196),0)&gt;0))),IFERROR(LOOKUP(2,1/($B$9:$B$196=$B197),$T$9:$T196),0)+1,IFERROR(LOOKUP(2,1/($B$9:$B$196=$B197),$T$9:$T196),0)))</f>
        <v/>
      </c>
      <c r="U197" s="47" t="str">
        <f t="shared" si="36"/>
        <v/>
      </c>
      <c r="V197" s="47" t="str">
        <f>IF($A197="","",IF(OR($B197="",$C197="",$D197="",$E197="",$F197=""),"Missing required field",IF(COUNTIFS($A$9:$A197,$A197,$B$9:$B197,$B197)&gt;1,"Duplicate event ID",IF(AND($E197&lt;&gt;IFERROR(LOOKUP(2,1/($B$9:$B$196=$B197),$E$9:$E196),0),IFERROR(LOOKUP(2,1/($B$9:$B$196=$B197),$E$9:$E196),0)&gt;$E197),"Date out of order",IF(AND(OR($F197="buy_to_close",$F197="expire",$F197="roll",$F197="assignment",$F197="called_away"),$AF197=0),"Unknown lot",IF(OR(AND($F197="assignment",$AF197&gt;0,IF($AF197&gt;0,INDEX($AG$9:$AG$196,$AF197),"")&lt;&gt;"put"),AND($F197="called_away",$AF197&gt;0,IF($AF197&gt;0,INDEX($AG$9:$AG$196,$AF197),"")&lt;&gt;"call")),"Wrong option leg",IF(OR(AND(OR($F197="sell_put",$F197="sell_call"),OR($H197&lt;=0,$I197&lt;=0,$J197&lt;0)),AND(OR($F197="buy_to_close",$F197="expire",$F197="assignment",$F197="called_away"),OR($H197&lt;=0,$J197&lt;0)),AND($F197="roll",OR($H197&lt;=0,$I197&lt;=0,$J197&lt;0,$K197&lt;0)),AND(OR($F197="buy_shares",$F197="sell_shares"),OR($L197&lt;=0,$M197&lt;0)),AND(OR($F197="dividend",$F197="fee"),$N197&lt;0)),"Invalid value",IF(AND(OR($F197="sell_shares",$F197="called_away"),$AL197&lt;IF($F197="called_away",$AE197*$D197,$L197)),"Insufficient shares (capped)",IF(AND(OR($F197="buy_to_close",$F197="expire",$F197="roll",$F197="assignment",$F197="called_away"),$AF197&gt;0,$H197&gt;IF($AF197&gt;0,MAX(0,INDEX($AI$9:$AI$196,$AF197)-SUMIFS($AE$9:$AE$196,$G$9:$G$196,$G197,$B$9:$B$196,$B197)),0)),"Close quantity capped","OK")))))))))</f>
        <v/>
      </c>
      <c r="W197" s="48" t="str">
        <f t="shared" si="37"/>
        <v/>
      </c>
      <c r="X197" s="49" t="str">
        <f t="shared" si="38"/>
        <v/>
      </c>
      <c r="Y197" s="50" t="str">
        <f t="shared" si="39"/>
        <v/>
      </c>
      <c r="Z197" s="50" t="str">
        <f t="shared" si="40"/>
        <v/>
      </c>
      <c r="AA197" s="50" t="str">
        <f t="shared" si="41"/>
        <v/>
      </c>
      <c r="AB197" s="50" t="str">
        <f t="shared" si="42"/>
        <v/>
      </c>
      <c r="AC197" s="50" t="str">
        <f>IF($A197="","",IF($F197="assignment",IF($AF197&gt;0,INDEX($AH$9:$AH$196,$AF197),0)*$AE197*$D197,IF($F197="buy_shares",$M197*$AL197,0)))</f>
        <v/>
      </c>
      <c r="AD197" s="50" t="str">
        <f>IF($A197="","",IF($F197="called_away",IF($AF197&gt;0,INDEX($AH$9:$AH$196,$AF197),0)*$AL197,IF($F197="sell_shares",$M197*$AL197,0)))</f>
        <v/>
      </c>
      <c r="AE197" s="51" t="str">
        <f>IF($A197="","",IF(OR($F197="sell_put",$F197="sell_call"),IF(AND($H197&gt;0,$I197&gt;0,$J197&gt;=0),$H197,0),IF(OR($F197="buy_to_close",$F197="expire",$F197="roll",$F197="assignment",$F197="called_away"),IF(AND($AF197&gt;0,$H197&gt;0,IF($F197="assignment",IF($AF197&gt;0,INDEX($AG$9:$AG$196,$AF197),"")="put",TRUE),IF($F197="called_away",IF($AF197&gt;0,INDEX($AG$9:$AG$196,$AF197),"")="call",TRUE)),MIN($H197,IF($AF197&gt;0,MAX(0,INDEX($AI$9:$AI$196,$AF197)-SUMIFS($AE$9:$AE$196,$G$9:$G$196,$G197,$B$9:$B$196,$B197)),0)),0),0)))</f>
        <v/>
      </c>
      <c r="AF197" t="str">
        <f>IF($A197="","",IFERROR(MATCH(LEN($B197)&amp;":"&amp;$B197&amp;$G197,$AY$9:$AY$196,0),0))</f>
        <v/>
      </c>
      <c r="AG197" t="str">
        <f>IF($A197="","",IF($F197="sell_put","put",IF($F197="sell_call","call",IF($F197="roll",IF($AF197&gt;0,IF($AF197&gt;0,INDEX($AG$9:$AG$196,$AF197),""),""),IF($AF197&gt;0,IF($AF197&gt;0,INDEX($AG$9:$AG$196,$AF197),""),"")))))</f>
        <v/>
      </c>
      <c r="AH197" t="str">
        <f>IF($A197="","",IF(OR($F197="sell_put",$F197="sell_call",$F197="roll"),$I197,IF($AF197&gt;0,IF($AF197&gt;0,INDEX($AH$9:$AH$196,$AF197),0),0)))</f>
        <v/>
      </c>
      <c r="AI197" s="51" t="str">
        <f t="shared" si="43"/>
        <v/>
      </c>
      <c r="AJ197" s="51" t="str">
        <f>IF($A197="","",IFERROR(LOOKUP(2,1/($B$9:$B$196=$B197),$AM$9:$AM196),0))</f>
        <v/>
      </c>
      <c r="AK197" t="str">
        <f>IF($A197="","",IFERROR(LOOKUP(2,1/($B$9:$B$196=$B197),$AN$9:$AN196),0))</f>
        <v/>
      </c>
      <c r="AL197" s="51" t="str">
        <f t="shared" si="44"/>
        <v/>
      </c>
      <c r="AM197" s="51" t="str">
        <f t="shared" si="45"/>
        <v/>
      </c>
      <c r="AN197" t="str">
        <f t="shared" si="46"/>
        <v/>
      </c>
      <c r="AO197" s="50" t="str">
        <f>IF($A197="","",IFERROR(LOOKUP(2,1/($B$9:$B$196=$B197),$AO$9:$AO196),0)+IF($F197="sell_put",$I197*$AE197*$D197,IF($F197="roll",IF($AG197="put",($I197-IF($AF197&gt;0,INDEX($AH$9:$AH$196,$AF197),0))*$AE197*$D197,0),IF(AND(OR($F197="buy_to_close",$F197="expire",$F197="roll",$F197="assignment",$F197="called_away"),$F197&lt;&gt;"roll",$AG197="put"),-IF($AF197&gt;0,INDEX($AH$9:$AH$196,$AF197),0)*$AE197*$D197,0))))</f>
        <v/>
      </c>
      <c r="AP197" s="51" t="str">
        <f>IF($A197="","",IFERROR(LOOKUP(2,1/($B$9:$B$196=$B197),$AP$9:$AP196),0)+IF($F197="sell_put",$AE197*$D197,IF(AND(OR($F197="buy_to_close",$F197="expire",$F197="roll",$F197="assignment",$F197="called_away"),$F197&lt;&gt;"roll",$AG197="put"),-$AE197*$D197,0)))</f>
        <v/>
      </c>
      <c r="AQ197" s="51" t="str">
        <f>IF($A197="","",IFERROR(LOOKUP(2,1/($B$9:$B$196=$B197),$AQ$9:$AQ196),0)+IF(OR($F197="sell_put",$F197="sell_call"),$AE197,0)-IF(AND(OR($F197="buy_to_close",$F197="expire",$F197="roll",$F197="assignment",$F197="called_away"),$F197&lt;&gt;"roll"),$AE197,0))</f>
        <v/>
      </c>
      <c r="AR197" t="str">
        <f t="shared" si="47"/>
        <v/>
      </c>
      <c r="AS197" s="50" t="str">
        <f t="shared" si="48"/>
        <v/>
      </c>
      <c r="AT197" s="50" t="str">
        <f>IF($A197="","",MAX(IF($T197=IFERROR(LOOKUP(2,1/($B$9:$B$196=$B197),$T$9:$T196),0),IFERROR(LOOKUP(2,1/($B$9:$B$196=$B197),$AT$9:$AT196),0),0),$AS197))</f>
        <v/>
      </c>
      <c r="AU197" t="str">
        <f t="shared" si="49"/>
        <v/>
      </c>
      <c r="AV197" s="51">
        <f>IF($AU197="",0,IF(AND(IFERROR(LOOKUP(2,1/($B$9:$B$196=$B197),$AR$9:$AR196),1),NOT(AND(OR($F197="dividend",$F197="fee"),IFERROR(LOOKUP(2,1/($B$9:$B$196=$B197),$T$9:$T196),0)&gt;0))),ROW(),0))</f>
        <v>0</v>
      </c>
      <c r="AW197">
        <f>IF($A197="",0,IF($AV197&gt;0,MAX($AW$9:$AW$196)+1,MAX($AW$9:$AW$196)))</f>
        <v>0</v>
      </c>
      <c r="AX197">
        <f>IF($AU197="",0,IF(AND($AR197,OR(NOT(IFERROR(LOOKUP(2,1/($B$9:$B$196=$B197),$AR$9:$AR196),1)),IFERROR(LOOKUP(2,1/($B$9:$B$196=$B197),$T$9:$T196),0)=0)),ROW(),0))</f>
        <v>0</v>
      </c>
      <c r="AY197" t="str">
        <f t="shared" si="50"/>
        <v/>
      </c>
    </row>
    <row r="198" spans="1:51" ht="15" x14ac:dyDescent="0.25">
      <c r="A198" s="52" t="str">
        <f>IF(Trades!$A198="","",Trades!O198)</f>
        <v/>
      </c>
      <c r="B198" s="52" t="str">
        <f>IF(Trades!$A198="","",Trades!B198)</f>
        <v/>
      </c>
      <c r="C198" s="52" t="str">
        <f>IF(Trades!$A198="","",Trades!C198)</f>
        <v/>
      </c>
      <c r="D198" s="53" t="str">
        <f>IF(Trades!$A198="","",IF(Trades!$L198&gt;0,Trades!$L198,Trades!$C$6))</f>
        <v/>
      </c>
      <c r="E198" s="54" t="str">
        <f>IF(Trades!$A198="","",Trades!A198)</f>
        <v/>
      </c>
      <c r="F198" s="52" t="str">
        <f>IF(Trades!$A198="","",IFERROR(INDEX(Trades!$V$2:$V$14,MATCH(Trades!$E198,Trades!$U$2:$U$14,0)),""))</f>
        <v/>
      </c>
      <c r="G198" s="52" t="str">
        <f>IF(Trades!$A198="","",Trades!N198)</f>
        <v/>
      </c>
      <c r="H198" s="53" t="str">
        <f>IF(Trades!$A198="","",Trades!F198)</f>
        <v/>
      </c>
      <c r="I198" s="55" t="str">
        <f>IF(Trades!$A198="","",Trades!G198)</f>
        <v/>
      </c>
      <c r="J198" s="55" t="str">
        <f>IF(Trades!$A198="","",Trades!I198)</f>
        <v/>
      </c>
      <c r="K198" s="55" t="str">
        <f>IF(Trades!$A198="","",Trades!Q198)</f>
        <v/>
      </c>
      <c r="L198" s="53" t="str">
        <f>IF(Trades!$A198="","",Trades!F198)</f>
        <v/>
      </c>
      <c r="M198" s="55" t="str">
        <f>IF(Trades!$A198="","",Trades!M198)</f>
        <v/>
      </c>
      <c r="N198" s="55" t="str">
        <f>IF(Trades!$A198="","",Trades!R198)</f>
        <v/>
      </c>
      <c r="O198" s="55" t="str">
        <f>IF(Trades!$A198="","",Trades!J198)</f>
        <v/>
      </c>
      <c r="P198" s="54" t="str">
        <f>IF(Trades!$A198="","",Trades!H198)</f>
        <v/>
      </c>
      <c r="Q198" s="52" t="str">
        <f>IF(Trades!$A198="","",Trades!P198)</f>
        <v/>
      </c>
      <c r="R198" s="56" t="str">
        <f t="shared" si="34"/>
        <v/>
      </c>
      <c r="S198" s="56" t="str">
        <f t="shared" si="35"/>
        <v/>
      </c>
      <c r="T198" s="57" t="str">
        <f>IF(OR($A198="",$B198=""),"",IF(AND(IFERROR(LOOKUP(2,1/($B$9:$B$197=$B198),$AR$9:$AR197),1),NOT(AND(OR($F198="dividend",$F198="fee"),IFERROR(LOOKUP(2,1/($B$9:$B$197=$B198),$T$9:$T197),0)&gt;0))),IFERROR(LOOKUP(2,1/($B$9:$B$197=$B198),$T$9:$T197),0)+1,IFERROR(LOOKUP(2,1/($B$9:$B$197=$B198),$T$9:$T197),0)))</f>
        <v/>
      </c>
      <c r="U198" s="58" t="str">
        <f t="shared" si="36"/>
        <v/>
      </c>
      <c r="V198" s="58" t="str">
        <f>IF($A198="","",IF(OR($B198="",$C198="",$D198="",$E198="",$F198=""),"Missing required field",IF(COUNTIFS($A$9:$A198,$A198,$B$9:$B198,$B198)&gt;1,"Duplicate event ID",IF(AND($E198&lt;&gt;IFERROR(LOOKUP(2,1/($B$9:$B$197=$B198),$E$9:$E197),0),IFERROR(LOOKUP(2,1/($B$9:$B$197=$B198),$E$9:$E197),0)&gt;$E198),"Date out of order",IF(AND(OR($F198="buy_to_close",$F198="expire",$F198="roll",$F198="assignment",$F198="called_away"),$AF198=0),"Unknown lot",IF(OR(AND($F198="assignment",$AF198&gt;0,IF($AF198&gt;0,INDEX($AG$9:$AG$197,$AF198),"")&lt;&gt;"put"),AND($F198="called_away",$AF198&gt;0,IF($AF198&gt;0,INDEX($AG$9:$AG$197,$AF198),"")&lt;&gt;"call")),"Wrong option leg",IF(OR(AND(OR($F198="sell_put",$F198="sell_call"),OR($H198&lt;=0,$I198&lt;=0,$J198&lt;0)),AND(OR($F198="buy_to_close",$F198="expire",$F198="assignment",$F198="called_away"),OR($H198&lt;=0,$J198&lt;0)),AND($F198="roll",OR($H198&lt;=0,$I198&lt;=0,$J198&lt;0,$K198&lt;0)),AND(OR($F198="buy_shares",$F198="sell_shares"),OR($L198&lt;=0,$M198&lt;0)),AND(OR($F198="dividend",$F198="fee"),$N198&lt;0)),"Invalid value",IF(AND(OR($F198="sell_shares",$F198="called_away"),$AL198&lt;IF($F198="called_away",$AE198*$D198,$L198)),"Insufficient shares (capped)",IF(AND(OR($F198="buy_to_close",$F198="expire",$F198="roll",$F198="assignment",$F198="called_away"),$AF198&gt;0,$H198&gt;IF($AF198&gt;0,MAX(0,INDEX($AI$9:$AI$197,$AF198)-SUMIFS($AE$9:$AE$197,$G$9:$G$197,$G198,$B$9:$B$197,$B198)),0)),"Close quantity capped","OK")))))))))</f>
        <v/>
      </c>
      <c r="W198" s="59" t="str">
        <f t="shared" si="37"/>
        <v/>
      </c>
      <c r="X198" s="60" t="str">
        <f t="shared" si="38"/>
        <v/>
      </c>
      <c r="Y198" s="50" t="str">
        <f t="shared" si="39"/>
        <v/>
      </c>
      <c r="Z198" s="50" t="str">
        <f t="shared" si="40"/>
        <v/>
      </c>
      <c r="AA198" s="50" t="str">
        <f t="shared" si="41"/>
        <v/>
      </c>
      <c r="AB198" s="50" t="str">
        <f t="shared" si="42"/>
        <v/>
      </c>
      <c r="AC198" s="50" t="str">
        <f>IF($A198="","",IF($F198="assignment",IF($AF198&gt;0,INDEX($AH$9:$AH$197,$AF198),0)*$AE198*$D198,IF($F198="buy_shares",$M198*$AL198,0)))</f>
        <v/>
      </c>
      <c r="AD198" s="50" t="str">
        <f>IF($A198="","",IF($F198="called_away",IF($AF198&gt;0,INDEX($AH$9:$AH$197,$AF198),0)*$AL198,IF($F198="sell_shares",$M198*$AL198,0)))</f>
        <v/>
      </c>
      <c r="AE198" s="51" t="str">
        <f>IF($A198="","",IF(OR($F198="sell_put",$F198="sell_call"),IF(AND($H198&gt;0,$I198&gt;0,$J198&gt;=0),$H198,0),IF(OR($F198="buy_to_close",$F198="expire",$F198="roll",$F198="assignment",$F198="called_away"),IF(AND($AF198&gt;0,$H198&gt;0,IF($F198="assignment",IF($AF198&gt;0,INDEX($AG$9:$AG$197,$AF198),"")="put",TRUE),IF($F198="called_away",IF($AF198&gt;0,INDEX($AG$9:$AG$197,$AF198),"")="call",TRUE)),MIN($H198,IF($AF198&gt;0,MAX(0,INDEX($AI$9:$AI$197,$AF198)-SUMIFS($AE$9:$AE$197,$G$9:$G$197,$G198,$B$9:$B$197,$B198)),0)),0),0)))</f>
        <v/>
      </c>
      <c r="AF198" t="str">
        <f>IF($A198="","",IFERROR(MATCH(LEN($B198)&amp;":"&amp;$B198&amp;$G198,$AY$9:$AY$197,0),0))</f>
        <v/>
      </c>
      <c r="AG198" t="str">
        <f>IF($A198="","",IF($F198="sell_put","put",IF($F198="sell_call","call",IF($F198="roll",IF($AF198&gt;0,IF($AF198&gt;0,INDEX($AG$9:$AG$197,$AF198),""),""),IF($AF198&gt;0,IF($AF198&gt;0,INDEX($AG$9:$AG$197,$AF198),""),"")))))</f>
        <v/>
      </c>
      <c r="AH198" t="str">
        <f>IF($A198="","",IF(OR($F198="sell_put",$F198="sell_call",$F198="roll"),$I198,IF($AF198&gt;0,IF($AF198&gt;0,INDEX($AH$9:$AH$197,$AF198),0),0)))</f>
        <v/>
      </c>
      <c r="AI198" s="51" t="str">
        <f t="shared" si="43"/>
        <v/>
      </c>
      <c r="AJ198" s="51" t="str">
        <f>IF($A198="","",IFERROR(LOOKUP(2,1/($B$9:$B$197=$B198),$AM$9:$AM197),0))</f>
        <v/>
      </c>
      <c r="AK198" t="str">
        <f>IF($A198="","",IFERROR(LOOKUP(2,1/($B$9:$B$197=$B198),$AN$9:$AN197),0))</f>
        <v/>
      </c>
      <c r="AL198" s="51" t="str">
        <f t="shared" si="44"/>
        <v/>
      </c>
      <c r="AM198" s="51" t="str">
        <f t="shared" si="45"/>
        <v/>
      </c>
      <c r="AN198" t="str">
        <f t="shared" si="46"/>
        <v/>
      </c>
      <c r="AO198" s="50" t="str">
        <f>IF($A198="","",IFERROR(LOOKUP(2,1/($B$9:$B$197=$B198),$AO$9:$AO197),0)+IF($F198="sell_put",$I198*$AE198*$D198,IF($F198="roll",IF($AG198="put",($I198-IF($AF198&gt;0,INDEX($AH$9:$AH$197,$AF198),0))*$AE198*$D198,0),IF(AND(OR($F198="buy_to_close",$F198="expire",$F198="roll",$F198="assignment",$F198="called_away"),$F198&lt;&gt;"roll",$AG198="put"),-IF($AF198&gt;0,INDEX($AH$9:$AH$197,$AF198),0)*$AE198*$D198,0))))</f>
        <v/>
      </c>
      <c r="AP198" s="51" t="str">
        <f>IF($A198="","",IFERROR(LOOKUP(2,1/($B$9:$B$197=$B198),$AP$9:$AP197),0)+IF($F198="sell_put",$AE198*$D198,IF(AND(OR($F198="buy_to_close",$F198="expire",$F198="roll",$F198="assignment",$F198="called_away"),$F198&lt;&gt;"roll",$AG198="put"),-$AE198*$D198,0)))</f>
        <v/>
      </c>
      <c r="AQ198" s="51" t="str">
        <f>IF($A198="","",IFERROR(LOOKUP(2,1/($B$9:$B$197=$B198),$AQ$9:$AQ197),0)+IF(OR($F198="sell_put",$F198="sell_call"),$AE198,0)-IF(AND(OR($F198="buy_to_close",$F198="expire",$F198="roll",$F198="assignment",$F198="called_away"),$F198&lt;&gt;"roll"),$AE198,0))</f>
        <v/>
      </c>
      <c r="AR198" t="str">
        <f t="shared" si="47"/>
        <v/>
      </c>
      <c r="AS198" s="50" t="str">
        <f t="shared" si="48"/>
        <v/>
      </c>
      <c r="AT198" s="50" t="str">
        <f>IF($A198="","",MAX(IF($T198=IFERROR(LOOKUP(2,1/($B$9:$B$197=$B198),$T$9:$T197),0),IFERROR(LOOKUP(2,1/($B$9:$B$197=$B198),$AT$9:$AT197),0),0),$AS198))</f>
        <v/>
      </c>
      <c r="AU198" t="str">
        <f t="shared" si="49"/>
        <v/>
      </c>
      <c r="AV198" s="51">
        <f>IF($AU198="",0,IF(AND(IFERROR(LOOKUP(2,1/($B$9:$B$197=$B198),$AR$9:$AR197),1),NOT(AND(OR($F198="dividend",$F198="fee"),IFERROR(LOOKUP(2,1/($B$9:$B$197=$B198),$T$9:$T197),0)&gt;0))),ROW(),0))</f>
        <v>0</v>
      </c>
      <c r="AW198">
        <f>IF($A198="",0,IF($AV198&gt;0,MAX($AW$9:$AW$197)+1,MAX($AW$9:$AW$197)))</f>
        <v>0</v>
      </c>
      <c r="AX198">
        <f>IF($AU198="",0,IF(AND($AR198,OR(NOT(IFERROR(LOOKUP(2,1/($B$9:$B$197=$B198),$AR$9:$AR197),1)),IFERROR(LOOKUP(2,1/($B$9:$B$197=$B198),$T$9:$T197),0)=0)),ROW(),0))</f>
        <v>0</v>
      </c>
      <c r="AY198" t="str">
        <f t="shared" si="50"/>
        <v/>
      </c>
    </row>
    <row r="199" spans="1:51" ht="15" x14ac:dyDescent="0.25">
      <c r="A199" s="41" t="str">
        <f>IF(Trades!$A199="","",Trades!O199)</f>
        <v/>
      </c>
      <c r="B199" s="41" t="str">
        <f>IF(Trades!$A199="","",Trades!B199)</f>
        <v/>
      </c>
      <c r="C199" s="41" t="str">
        <f>IF(Trades!$A199="","",Trades!C199)</f>
        <v/>
      </c>
      <c r="D199" s="42" t="str">
        <f>IF(Trades!$A199="","",IF(Trades!$L199&gt;0,Trades!$L199,Trades!$C$6))</f>
        <v/>
      </c>
      <c r="E199" s="43" t="str">
        <f>IF(Trades!$A199="","",Trades!A199)</f>
        <v/>
      </c>
      <c r="F199" s="41" t="str">
        <f>IF(Trades!$A199="","",IFERROR(INDEX(Trades!$V$2:$V$14,MATCH(Trades!$E199,Trades!$U$2:$U$14,0)),""))</f>
        <v/>
      </c>
      <c r="G199" s="41" t="str">
        <f>IF(Trades!$A199="","",Trades!N199)</f>
        <v/>
      </c>
      <c r="H199" s="42" t="str">
        <f>IF(Trades!$A199="","",Trades!F199)</f>
        <v/>
      </c>
      <c r="I199" s="44" t="str">
        <f>IF(Trades!$A199="","",Trades!G199)</f>
        <v/>
      </c>
      <c r="J199" s="44" t="str">
        <f>IF(Trades!$A199="","",Trades!I199)</f>
        <v/>
      </c>
      <c r="K199" s="44" t="str">
        <f>IF(Trades!$A199="","",Trades!Q199)</f>
        <v/>
      </c>
      <c r="L199" s="42" t="str">
        <f>IF(Trades!$A199="","",Trades!F199)</f>
        <v/>
      </c>
      <c r="M199" s="44" t="str">
        <f>IF(Trades!$A199="","",Trades!M199)</f>
        <v/>
      </c>
      <c r="N199" s="44" t="str">
        <f>IF(Trades!$A199="","",Trades!R199)</f>
        <v/>
      </c>
      <c r="O199" s="44" t="str">
        <f>IF(Trades!$A199="","",Trades!J199)</f>
        <v/>
      </c>
      <c r="P199" s="43" t="str">
        <f>IF(Trades!$A199="","",Trades!H199)</f>
        <v/>
      </c>
      <c r="Q199" s="41" t="str">
        <f>IF(Trades!$A199="","",Trades!P199)</f>
        <v/>
      </c>
      <c r="R199" s="45" t="str">
        <f t="shared" si="34"/>
        <v/>
      </c>
      <c r="S199" s="45" t="str">
        <f t="shared" si="35"/>
        <v/>
      </c>
      <c r="T199" s="46" t="str">
        <f>IF(OR($A199="",$B199=""),"",IF(AND(IFERROR(LOOKUP(2,1/($B$9:$B$198=$B199),$AR$9:$AR198),1),NOT(AND(OR($F199="dividend",$F199="fee"),IFERROR(LOOKUP(2,1/($B$9:$B$198=$B199),$T$9:$T198),0)&gt;0))),IFERROR(LOOKUP(2,1/($B$9:$B$198=$B199),$T$9:$T198),0)+1,IFERROR(LOOKUP(2,1/($B$9:$B$198=$B199),$T$9:$T198),0)))</f>
        <v/>
      </c>
      <c r="U199" s="47" t="str">
        <f t="shared" si="36"/>
        <v/>
      </c>
      <c r="V199" s="47" t="str">
        <f>IF($A199="","",IF(OR($B199="",$C199="",$D199="",$E199="",$F199=""),"Missing required field",IF(COUNTIFS($A$9:$A199,$A199,$B$9:$B199,$B199)&gt;1,"Duplicate event ID",IF(AND($E199&lt;&gt;IFERROR(LOOKUP(2,1/($B$9:$B$198=$B199),$E$9:$E198),0),IFERROR(LOOKUP(2,1/($B$9:$B$198=$B199),$E$9:$E198),0)&gt;$E199),"Date out of order",IF(AND(OR($F199="buy_to_close",$F199="expire",$F199="roll",$F199="assignment",$F199="called_away"),$AF199=0),"Unknown lot",IF(OR(AND($F199="assignment",$AF199&gt;0,IF($AF199&gt;0,INDEX($AG$9:$AG$198,$AF199),"")&lt;&gt;"put"),AND($F199="called_away",$AF199&gt;0,IF($AF199&gt;0,INDEX($AG$9:$AG$198,$AF199),"")&lt;&gt;"call")),"Wrong option leg",IF(OR(AND(OR($F199="sell_put",$F199="sell_call"),OR($H199&lt;=0,$I199&lt;=0,$J199&lt;0)),AND(OR($F199="buy_to_close",$F199="expire",$F199="assignment",$F199="called_away"),OR($H199&lt;=0,$J199&lt;0)),AND($F199="roll",OR($H199&lt;=0,$I199&lt;=0,$J199&lt;0,$K199&lt;0)),AND(OR($F199="buy_shares",$F199="sell_shares"),OR($L199&lt;=0,$M199&lt;0)),AND(OR($F199="dividend",$F199="fee"),$N199&lt;0)),"Invalid value",IF(AND(OR($F199="sell_shares",$F199="called_away"),$AL199&lt;IF($F199="called_away",$AE199*$D199,$L199)),"Insufficient shares (capped)",IF(AND(OR($F199="buy_to_close",$F199="expire",$F199="roll",$F199="assignment",$F199="called_away"),$AF199&gt;0,$H199&gt;IF($AF199&gt;0,MAX(0,INDEX($AI$9:$AI$198,$AF199)-SUMIFS($AE$9:$AE$198,$G$9:$G$198,$G199,$B$9:$B$198,$B199)),0)),"Close quantity capped","OK")))))))))</f>
        <v/>
      </c>
      <c r="W199" s="48" t="str">
        <f t="shared" si="37"/>
        <v/>
      </c>
      <c r="X199" s="49" t="str">
        <f t="shared" si="38"/>
        <v/>
      </c>
      <c r="Y199" s="50" t="str">
        <f t="shared" si="39"/>
        <v/>
      </c>
      <c r="Z199" s="50" t="str">
        <f t="shared" si="40"/>
        <v/>
      </c>
      <c r="AA199" s="50" t="str">
        <f t="shared" si="41"/>
        <v/>
      </c>
      <c r="AB199" s="50" t="str">
        <f t="shared" si="42"/>
        <v/>
      </c>
      <c r="AC199" s="50" t="str">
        <f>IF($A199="","",IF($F199="assignment",IF($AF199&gt;0,INDEX($AH$9:$AH$198,$AF199),0)*$AE199*$D199,IF($F199="buy_shares",$M199*$AL199,0)))</f>
        <v/>
      </c>
      <c r="AD199" s="50" t="str">
        <f>IF($A199="","",IF($F199="called_away",IF($AF199&gt;0,INDEX($AH$9:$AH$198,$AF199),0)*$AL199,IF($F199="sell_shares",$M199*$AL199,0)))</f>
        <v/>
      </c>
      <c r="AE199" s="51" t="str">
        <f>IF($A199="","",IF(OR($F199="sell_put",$F199="sell_call"),IF(AND($H199&gt;0,$I199&gt;0,$J199&gt;=0),$H199,0),IF(OR($F199="buy_to_close",$F199="expire",$F199="roll",$F199="assignment",$F199="called_away"),IF(AND($AF199&gt;0,$H199&gt;0,IF($F199="assignment",IF($AF199&gt;0,INDEX($AG$9:$AG$198,$AF199),"")="put",TRUE),IF($F199="called_away",IF($AF199&gt;0,INDEX($AG$9:$AG$198,$AF199),"")="call",TRUE)),MIN($H199,IF($AF199&gt;0,MAX(0,INDEX($AI$9:$AI$198,$AF199)-SUMIFS($AE$9:$AE$198,$G$9:$G$198,$G199,$B$9:$B$198,$B199)),0)),0),0)))</f>
        <v/>
      </c>
      <c r="AF199" t="str">
        <f>IF($A199="","",IFERROR(MATCH(LEN($B199)&amp;":"&amp;$B199&amp;$G199,$AY$9:$AY$198,0),0))</f>
        <v/>
      </c>
      <c r="AG199" t="str">
        <f>IF($A199="","",IF($F199="sell_put","put",IF($F199="sell_call","call",IF($F199="roll",IF($AF199&gt;0,IF($AF199&gt;0,INDEX($AG$9:$AG$198,$AF199),""),""),IF($AF199&gt;0,IF($AF199&gt;0,INDEX($AG$9:$AG$198,$AF199),""),"")))))</f>
        <v/>
      </c>
      <c r="AH199" t="str">
        <f>IF($A199="","",IF(OR($F199="sell_put",$F199="sell_call",$F199="roll"),$I199,IF($AF199&gt;0,IF($AF199&gt;0,INDEX($AH$9:$AH$198,$AF199),0),0)))</f>
        <v/>
      </c>
      <c r="AI199" s="51" t="str">
        <f t="shared" si="43"/>
        <v/>
      </c>
      <c r="AJ199" s="51" t="str">
        <f>IF($A199="","",IFERROR(LOOKUP(2,1/($B$9:$B$198=$B199),$AM$9:$AM198),0))</f>
        <v/>
      </c>
      <c r="AK199" t="str">
        <f>IF($A199="","",IFERROR(LOOKUP(2,1/($B$9:$B$198=$B199),$AN$9:$AN198),0))</f>
        <v/>
      </c>
      <c r="AL199" s="51" t="str">
        <f t="shared" si="44"/>
        <v/>
      </c>
      <c r="AM199" s="51" t="str">
        <f t="shared" si="45"/>
        <v/>
      </c>
      <c r="AN199" t="str">
        <f t="shared" si="46"/>
        <v/>
      </c>
      <c r="AO199" s="50" t="str">
        <f>IF($A199="","",IFERROR(LOOKUP(2,1/($B$9:$B$198=$B199),$AO$9:$AO198),0)+IF($F199="sell_put",$I199*$AE199*$D199,IF($F199="roll",IF($AG199="put",($I199-IF($AF199&gt;0,INDEX($AH$9:$AH$198,$AF199),0))*$AE199*$D199,0),IF(AND(OR($F199="buy_to_close",$F199="expire",$F199="roll",$F199="assignment",$F199="called_away"),$F199&lt;&gt;"roll",$AG199="put"),-IF($AF199&gt;0,INDEX($AH$9:$AH$198,$AF199),0)*$AE199*$D199,0))))</f>
        <v/>
      </c>
      <c r="AP199" s="51" t="str">
        <f>IF($A199="","",IFERROR(LOOKUP(2,1/($B$9:$B$198=$B199),$AP$9:$AP198),0)+IF($F199="sell_put",$AE199*$D199,IF(AND(OR($F199="buy_to_close",$F199="expire",$F199="roll",$F199="assignment",$F199="called_away"),$F199&lt;&gt;"roll",$AG199="put"),-$AE199*$D199,0)))</f>
        <v/>
      </c>
      <c r="AQ199" s="51" t="str">
        <f>IF($A199="","",IFERROR(LOOKUP(2,1/($B$9:$B$198=$B199),$AQ$9:$AQ198),0)+IF(OR($F199="sell_put",$F199="sell_call"),$AE199,0)-IF(AND(OR($F199="buy_to_close",$F199="expire",$F199="roll",$F199="assignment",$F199="called_away"),$F199&lt;&gt;"roll"),$AE199,0))</f>
        <v/>
      </c>
      <c r="AR199" t="str">
        <f t="shared" si="47"/>
        <v/>
      </c>
      <c r="AS199" s="50" t="str">
        <f t="shared" si="48"/>
        <v/>
      </c>
      <c r="AT199" s="50" t="str">
        <f>IF($A199="","",MAX(IF($T199=IFERROR(LOOKUP(2,1/($B$9:$B$198=$B199),$T$9:$T198),0),IFERROR(LOOKUP(2,1/($B$9:$B$198=$B199),$AT$9:$AT198),0),0),$AS199))</f>
        <v/>
      </c>
      <c r="AU199" t="str">
        <f t="shared" si="49"/>
        <v/>
      </c>
      <c r="AV199" s="51">
        <f>IF($AU199="",0,IF(AND(IFERROR(LOOKUP(2,1/($B$9:$B$198=$B199),$AR$9:$AR198),1),NOT(AND(OR($F199="dividend",$F199="fee"),IFERROR(LOOKUP(2,1/($B$9:$B$198=$B199),$T$9:$T198),0)&gt;0))),ROW(),0))</f>
        <v>0</v>
      </c>
      <c r="AW199">
        <f>IF($A199="",0,IF($AV199&gt;0,MAX($AW$9:$AW$198)+1,MAX($AW$9:$AW$198)))</f>
        <v>0</v>
      </c>
      <c r="AX199">
        <f>IF($AU199="",0,IF(AND($AR199,OR(NOT(IFERROR(LOOKUP(2,1/($B$9:$B$198=$B199),$AR$9:$AR198),1)),IFERROR(LOOKUP(2,1/($B$9:$B$198=$B199),$T$9:$T198),0)=0)),ROW(),0))</f>
        <v>0</v>
      </c>
      <c r="AY199" t="str">
        <f t="shared" si="50"/>
        <v/>
      </c>
    </row>
    <row r="200" spans="1:51" ht="15" x14ac:dyDescent="0.25">
      <c r="A200" s="52" t="str">
        <f>IF(Trades!$A200="","",Trades!O200)</f>
        <v/>
      </c>
      <c r="B200" s="52" t="str">
        <f>IF(Trades!$A200="","",Trades!B200)</f>
        <v/>
      </c>
      <c r="C200" s="52" t="str">
        <f>IF(Trades!$A200="","",Trades!C200)</f>
        <v/>
      </c>
      <c r="D200" s="53" t="str">
        <f>IF(Trades!$A200="","",IF(Trades!$L200&gt;0,Trades!$L200,Trades!$C$6))</f>
        <v/>
      </c>
      <c r="E200" s="54" t="str">
        <f>IF(Trades!$A200="","",Trades!A200)</f>
        <v/>
      </c>
      <c r="F200" s="52" t="str">
        <f>IF(Trades!$A200="","",IFERROR(INDEX(Trades!$V$2:$V$14,MATCH(Trades!$E200,Trades!$U$2:$U$14,0)),""))</f>
        <v/>
      </c>
      <c r="G200" s="52" t="str">
        <f>IF(Trades!$A200="","",Trades!N200)</f>
        <v/>
      </c>
      <c r="H200" s="53" t="str">
        <f>IF(Trades!$A200="","",Trades!F200)</f>
        <v/>
      </c>
      <c r="I200" s="55" t="str">
        <f>IF(Trades!$A200="","",Trades!G200)</f>
        <v/>
      </c>
      <c r="J200" s="55" t="str">
        <f>IF(Trades!$A200="","",Trades!I200)</f>
        <v/>
      </c>
      <c r="K200" s="55" t="str">
        <f>IF(Trades!$A200="","",Trades!Q200)</f>
        <v/>
      </c>
      <c r="L200" s="53" t="str">
        <f>IF(Trades!$A200="","",Trades!F200)</f>
        <v/>
      </c>
      <c r="M200" s="55" t="str">
        <f>IF(Trades!$A200="","",Trades!M200)</f>
        <v/>
      </c>
      <c r="N200" s="55" t="str">
        <f>IF(Trades!$A200="","",Trades!R200)</f>
        <v/>
      </c>
      <c r="O200" s="55" t="str">
        <f>IF(Trades!$A200="","",Trades!J200)</f>
        <v/>
      </c>
      <c r="P200" s="54" t="str">
        <f>IF(Trades!$A200="","",Trades!H200)</f>
        <v/>
      </c>
      <c r="Q200" s="52" t="str">
        <f>IF(Trades!$A200="","",Trades!P200)</f>
        <v/>
      </c>
      <c r="R200" s="56" t="str">
        <f t="shared" si="34"/>
        <v/>
      </c>
      <c r="S200" s="56" t="str">
        <f t="shared" si="35"/>
        <v/>
      </c>
      <c r="T200" s="57" t="str">
        <f>IF(OR($A200="",$B200=""),"",IF(AND(IFERROR(LOOKUP(2,1/($B$9:$B$199=$B200),$AR$9:$AR199),1),NOT(AND(OR($F200="dividend",$F200="fee"),IFERROR(LOOKUP(2,1/($B$9:$B$199=$B200),$T$9:$T199),0)&gt;0))),IFERROR(LOOKUP(2,1/($B$9:$B$199=$B200),$T$9:$T199),0)+1,IFERROR(LOOKUP(2,1/($B$9:$B$199=$B200),$T$9:$T199),0)))</f>
        <v/>
      </c>
      <c r="U200" s="58" t="str">
        <f t="shared" si="36"/>
        <v/>
      </c>
      <c r="V200" s="58" t="str">
        <f>IF($A200="","",IF(OR($B200="",$C200="",$D200="",$E200="",$F200=""),"Missing required field",IF(COUNTIFS($A$9:$A200,$A200,$B$9:$B200,$B200)&gt;1,"Duplicate event ID",IF(AND($E200&lt;&gt;IFERROR(LOOKUP(2,1/($B$9:$B$199=$B200),$E$9:$E199),0),IFERROR(LOOKUP(2,1/($B$9:$B$199=$B200),$E$9:$E199),0)&gt;$E200),"Date out of order",IF(AND(OR($F200="buy_to_close",$F200="expire",$F200="roll",$F200="assignment",$F200="called_away"),$AF200=0),"Unknown lot",IF(OR(AND($F200="assignment",$AF200&gt;0,IF($AF200&gt;0,INDEX($AG$9:$AG$199,$AF200),"")&lt;&gt;"put"),AND($F200="called_away",$AF200&gt;0,IF($AF200&gt;0,INDEX($AG$9:$AG$199,$AF200),"")&lt;&gt;"call")),"Wrong option leg",IF(OR(AND(OR($F200="sell_put",$F200="sell_call"),OR($H200&lt;=0,$I200&lt;=0,$J200&lt;0)),AND(OR($F200="buy_to_close",$F200="expire",$F200="assignment",$F200="called_away"),OR($H200&lt;=0,$J200&lt;0)),AND($F200="roll",OR($H200&lt;=0,$I200&lt;=0,$J200&lt;0,$K200&lt;0)),AND(OR($F200="buy_shares",$F200="sell_shares"),OR($L200&lt;=0,$M200&lt;0)),AND(OR($F200="dividend",$F200="fee"),$N200&lt;0)),"Invalid value",IF(AND(OR($F200="sell_shares",$F200="called_away"),$AL200&lt;IF($F200="called_away",$AE200*$D200,$L200)),"Insufficient shares (capped)",IF(AND(OR($F200="buy_to_close",$F200="expire",$F200="roll",$F200="assignment",$F200="called_away"),$AF200&gt;0,$H200&gt;IF($AF200&gt;0,MAX(0,INDEX($AI$9:$AI$199,$AF200)-SUMIFS($AE$9:$AE$199,$G$9:$G$199,$G200,$B$9:$B$199,$B200)),0)),"Close quantity capped","OK")))))))))</f>
        <v/>
      </c>
      <c r="W200" s="59" t="str">
        <f t="shared" si="37"/>
        <v/>
      </c>
      <c r="X200" s="60" t="str">
        <f t="shared" si="38"/>
        <v/>
      </c>
      <c r="Y200" s="50" t="str">
        <f t="shared" si="39"/>
        <v/>
      </c>
      <c r="Z200" s="50" t="str">
        <f t="shared" si="40"/>
        <v/>
      </c>
      <c r="AA200" s="50" t="str">
        <f t="shared" si="41"/>
        <v/>
      </c>
      <c r="AB200" s="50" t="str">
        <f t="shared" si="42"/>
        <v/>
      </c>
      <c r="AC200" s="50" t="str">
        <f>IF($A200="","",IF($F200="assignment",IF($AF200&gt;0,INDEX($AH$9:$AH$199,$AF200),0)*$AE200*$D200,IF($F200="buy_shares",$M200*$AL200,0)))</f>
        <v/>
      </c>
      <c r="AD200" s="50" t="str">
        <f>IF($A200="","",IF($F200="called_away",IF($AF200&gt;0,INDEX($AH$9:$AH$199,$AF200),0)*$AL200,IF($F200="sell_shares",$M200*$AL200,0)))</f>
        <v/>
      </c>
      <c r="AE200" s="51" t="str">
        <f>IF($A200="","",IF(OR($F200="sell_put",$F200="sell_call"),IF(AND($H200&gt;0,$I200&gt;0,$J200&gt;=0),$H200,0),IF(OR($F200="buy_to_close",$F200="expire",$F200="roll",$F200="assignment",$F200="called_away"),IF(AND($AF200&gt;0,$H200&gt;0,IF($F200="assignment",IF($AF200&gt;0,INDEX($AG$9:$AG$199,$AF200),"")="put",TRUE),IF($F200="called_away",IF($AF200&gt;0,INDEX($AG$9:$AG$199,$AF200),"")="call",TRUE)),MIN($H200,IF($AF200&gt;0,MAX(0,INDEX($AI$9:$AI$199,$AF200)-SUMIFS($AE$9:$AE$199,$G$9:$G$199,$G200,$B$9:$B$199,$B200)),0)),0),0)))</f>
        <v/>
      </c>
      <c r="AF200" t="str">
        <f>IF($A200="","",IFERROR(MATCH(LEN($B200)&amp;":"&amp;$B200&amp;$G200,$AY$9:$AY$199,0),0))</f>
        <v/>
      </c>
      <c r="AG200" t="str">
        <f>IF($A200="","",IF($F200="sell_put","put",IF($F200="sell_call","call",IF($F200="roll",IF($AF200&gt;0,IF($AF200&gt;0,INDEX($AG$9:$AG$199,$AF200),""),""),IF($AF200&gt;0,IF($AF200&gt;0,INDEX($AG$9:$AG$199,$AF200),""),"")))))</f>
        <v/>
      </c>
      <c r="AH200" t="str">
        <f>IF($A200="","",IF(OR($F200="sell_put",$F200="sell_call",$F200="roll"),$I200,IF($AF200&gt;0,IF($AF200&gt;0,INDEX($AH$9:$AH$199,$AF200),0),0)))</f>
        <v/>
      </c>
      <c r="AI200" s="51" t="str">
        <f t="shared" si="43"/>
        <v/>
      </c>
      <c r="AJ200" s="51" t="str">
        <f>IF($A200="","",IFERROR(LOOKUP(2,1/($B$9:$B$199=$B200),$AM$9:$AM199),0))</f>
        <v/>
      </c>
      <c r="AK200" t="str">
        <f>IF($A200="","",IFERROR(LOOKUP(2,1/($B$9:$B$199=$B200),$AN$9:$AN199),0))</f>
        <v/>
      </c>
      <c r="AL200" s="51" t="str">
        <f t="shared" si="44"/>
        <v/>
      </c>
      <c r="AM200" s="51" t="str">
        <f t="shared" si="45"/>
        <v/>
      </c>
      <c r="AN200" t="str">
        <f t="shared" si="46"/>
        <v/>
      </c>
      <c r="AO200" s="50" t="str">
        <f>IF($A200="","",IFERROR(LOOKUP(2,1/($B$9:$B$199=$B200),$AO$9:$AO199),0)+IF($F200="sell_put",$I200*$AE200*$D200,IF($F200="roll",IF($AG200="put",($I200-IF($AF200&gt;0,INDEX($AH$9:$AH$199,$AF200),0))*$AE200*$D200,0),IF(AND(OR($F200="buy_to_close",$F200="expire",$F200="roll",$F200="assignment",$F200="called_away"),$F200&lt;&gt;"roll",$AG200="put"),-IF($AF200&gt;0,INDEX($AH$9:$AH$199,$AF200),0)*$AE200*$D200,0))))</f>
        <v/>
      </c>
      <c r="AP200" s="51" t="str">
        <f>IF($A200="","",IFERROR(LOOKUP(2,1/($B$9:$B$199=$B200),$AP$9:$AP199),0)+IF($F200="sell_put",$AE200*$D200,IF(AND(OR($F200="buy_to_close",$F200="expire",$F200="roll",$F200="assignment",$F200="called_away"),$F200&lt;&gt;"roll",$AG200="put"),-$AE200*$D200,0)))</f>
        <v/>
      </c>
      <c r="AQ200" s="51" t="str">
        <f>IF($A200="","",IFERROR(LOOKUP(2,1/($B$9:$B$199=$B200),$AQ$9:$AQ199),0)+IF(OR($F200="sell_put",$F200="sell_call"),$AE200,0)-IF(AND(OR($F200="buy_to_close",$F200="expire",$F200="roll",$F200="assignment",$F200="called_away"),$F200&lt;&gt;"roll"),$AE200,0))</f>
        <v/>
      </c>
      <c r="AR200" t="str">
        <f t="shared" si="47"/>
        <v/>
      </c>
      <c r="AS200" s="50" t="str">
        <f t="shared" si="48"/>
        <v/>
      </c>
      <c r="AT200" s="50" t="str">
        <f>IF($A200="","",MAX(IF($T200=IFERROR(LOOKUP(2,1/($B$9:$B$199=$B200),$T$9:$T199),0),IFERROR(LOOKUP(2,1/($B$9:$B$199=$B200),$AT$9:$AT199),0),0),$AS200))</f>
        <v/>
      </c>
      <c r="AU200" t="str">
        <f t="shared" si="49"/>
        <v/>
      </c>
      <c r="AV200" s="51">
        <f>IF($AU200="",0,IF(AND(IFERROR(LOOKUP(2,1/($B$9:$B$199=$B200),$AR$9:$AR199),1),NOT(AND(OR($F200="dividend",$F200="fee"),IFERROR(LOOKUP(2,1/($B$9:$B$199=$B200),$T$9:$T199),0)&gt;0))),ROW(),0))</f>
        <v>0</v>
      </c>
      <c r="AW200">
        <f>IF($A200="",0,IF($AV200&gt;0,MAX($AW$9:$AW$199)+1,MAX($AW$9:$AW$199)))</f>
        <v>0</v>
      </c>
      <c r="AX200">
        <f>IF($AU200="",0,IF(AND($AR200,OR(NOT(IFERROR(LOOKUP(2,1/($B$9:$B$199=$B200),$AR$9:$AR199),1)),IFERROR(LOOKUP(2,1/($B$9:$B$199=$B200),$T$9:$T199),0)=0)),ROW(),0))</f>
        <v>0</v>
      </c>
      <c r="AY200" t="str">
        <f t="shared" si="50"/>
        <v/>
      </c>
    </row>
    <row r="201" spans="1:51" ht="15" x14ac:dyDescent="0.25">
      <c r="A201" s="41" t="str">
        <f>IF(Trades!$A201="","",Trades!O201)</f>
        <v/>
      </c>
      <c r="B201" s="41" t="str">
        <f>IF(Trades!$A201="","",Trades!B201)</f>
        <v/>
      </c>
      <c r="C201" s="41" t="str">
        <f>IF(Trades!$A201="","",Trades!C201)</f>
        <v/>
      </c>
      <c r="D201" s="42" t="str">
        <f>IF(Trades!$A201="","",IF(Trades!$L201&gt;0,Trades!$L201,Trades!$C$6))</f>
        <v/>
      </c>
      <c r="E201" s="43" t="str">
        <f>IF(Trades!$A201="","",Trades!A201)</f>
        <v/>
      </c>
      <c r="F201" s="41" t="str">
        <f>IF(Trades!$A201="","",IFERROR(INDEX(Trades!$V$2:$V$14,MATCH(Trades!$E201,Trades!$U$2:$U$14,0)),""))</f>
        <v/>
      </c>
      <c r="G201" s="41" t="str">
        <f>IF(Trades!$A201="","",Trades!N201)</f>
        <v/>
      </c>
      <c r="H201" s="42" t="str">
        <f>IF(Trades!$A201="","",Trades!F201)</f>
        <v/>
      </c>
      <c r="I201" s="44" t="str">
        <f>IF(Trades!$A201="","",Trades!G201)</f>
        <v/>
      </c>
      <c r="J201" s="44" t="str">
        <f>IF(Trades!$A201="","",Trades!I201)</f>
        <v/>
      </c>
      <c r="K201" s="44" t="str">
        <f>IF(Trades!$A201="","",Trades!Q201)</f>
        <v/>
      </c>
      <c r="L201" s="42" t="str">
        <f>IF(Trades!$A201="","",Trades!F201)</f>
        <v/>
      </c>
      <c r="M201" s="44" t="str">
        <f>IF(Trades!$A201="","",Trades!M201)</f>
        <v/>
      </c>
      <c r="N201" s="44" t="str">
        <f>IF(Trades!$A201="","",Trades!R201)</f>
        <v/>
      </c>
      <c r="O201" s="44" t="str">
        <f>IF(Trades!$A201="","",Trades!J201)</f>
        <v/>
      </c>
      <c r="P201" s="43" t="str">
        <f>IF(Trades!$A201="","",Trades!H201)</f>
        <v/>
      </c>
      <c r="Q201" s="41" t="str">
        <f>IF(Trades!$A201="","",Trades!P201)</f>
        <v/>
      </c>
      <c r="R201" s="45" t="str">
        <f t="shared" ref="R201:R264" si="51">IF($A201="","",$Y201-$Z201)</f>
        <v/>
      </c>
      <c r="S201" s="45" t="str">
        <f t="shared" ref="S201:S264" si="52">IF($A201="","",$R201+$AA201-$AB201-$AC201+$AD201)</f>
        <v/>
      </c>
      <c r="T201" s="46" t="str">
        <f>IF(OR($A201="",$B201=""),"",IF(AND(IFERROR(LOOKUP(2,1/($B$9:$B$200=$B201),$AR$9:$AR200),1),NOT(AND(OR($F201="dividend",$F201="fee"),IFERROR(LOOKUP(2,1/($B$9:$B$200=$B201),$T$9:$T200),0)&gt;0))),IFERROR(LOOKUP(2,1/($B$9:$B$200=$B201),$T$9:$T200),0)+1,IFERROR(LOOKUP(2,1/($B$9:$B$200=$B201),$T$9:$T200),0)))</f>
        <v/>
      </c>
      <c r="U201" s="47" t="str">
        <f t="shared" ref="U201:U264" si="53">IF($A201="","",IF($AR201,"Flat / cycle closed",IF($AM201&gt;0,"Shares held","Short option open")))</f>
        <v/>
      </c>
      <c r="V201" s="47" t="str">
        <f>IF($A201="","",IF(OR($B201="",$C201="",$D201="",$E201="",$F201=""),"Missing required field",IF(COUNTIFS($A$9:$A201,$A201,$B$9:$B201,$B201)&gt;1,"Duplicate event ID",IF(AND($E201&lt;&gt;IFERROR(LOOKUP(2,1/($B$9:$B$200=$B201),$E$9:$E200),0),IFERROR(LOOKUP(2,1/($B$9:$B$200=$B201),$E$9:$E200),0)&gt;$E201),"Date out of order",IF(AND(OR($F201="buy_to_close",$F201="expire",$F201="roll",$F201="assignment",$F201="called_away"),$AF201=0),"Unknown lot",IF(OR(AND($F201="assignment",$AF201&gt;0,IF($AF201&gt;0,INDEX($AG$9:$AG$200,$AF201),"")&lt;&gt;"put"),AND($F201="called_away",$AF201&gt;0,IF($AF201&gt;0,INDEX($AG$9:$AG$200,$AF201),"")&lt;&gt;"call")),"Wrong option leg",IF(OR(AND(OR($F201="sell_put",$F201="sell_call"),OR($H201&lt;=0,$I201&lt;=0,$J201&lt;0)),AND(OR($F201="buy_to_close",$F201="expire",$F201="assignment",$F201="called_away"),OR($H201&lt;=0,$J201&lt;0)),AND($F201="roll",OR($H201&lt;=0,$I201&lt;=0,$J201&lt;0,$K201&lt;0)),AND(OR($F201="buy_shares",$F201="sell_shares"),OR($L201&lt;=0,$M201&lt;0)),AND(OR($F201="dividend",$F201="fee"),$N201&lt;0)),"Invalid value",IF(AND(OR($F201="sell_shares",$F201="called_away"),$AL201&lt;IF($F201="called_away",$AE201*$D201,$L201)),"Insufficient shares (capped)",IF(AND(OR($F201="buy_to_close",$F201="expire",$F201="roll",$F201="assignment",$F201="called_away"),$AF201&gt;0,$H201&gt;IF($AF201&gt;0,MAX(0,INDEX($AI$9:$AI$200,$AF201)-SUMIFS($AE$9:$AE$200,$G$9:$G$200,$G201,$B$9:$B$200,$B201)),0)),"Close quantity capped","OK")))))))))</f>
        <v/>
      </c>
      <c r="W201" s="48" t="str">
        <f t="shared" ref="W201:W264" si="54">IF($A201="","",$AM201)</f>
        <v/>
      </c>
      <c r="X201" s="49" t="str">
        <f t="shared" ref="X201:X264" si="55">IF($A201="","",$AS201)</f>
        <v/>
      </c>
      <c r="Y201" s="50" t="str">
        <f t="shared" ref="Y201:Y264" si="56">IF($A201="","",IF(OR($F201="sell_put",$F201="sell_call"),$J201*$AE201*$D201,IF($F201="roll",$J201*$AE201*$D201,0)))</f>
        <v/>
      </c>
      <c r="Z201" s="50" t="str">
        <f t="shared" ref="Z201:Z264" si="57">IF($A201="","",IF($F201="buy_to_close",$J201*$AE201*$D201,IF($F201="roll",$K201*$AE201*$D201,0)))</f>
        <v/>
      </c>
      <c r="AA201" s="50" t="str">
        <f t="shared" ref="AA201:AA264" si="58">IF($A201="","",IF(AND($F201="dividend",$N201&gt;=0),$N201,0))</f>
        <v/>
      </c>
      <c r="AB201" s="50" t="str">
        <f t="shared" ref="AB201:AB264" si="59">IF($A201="","",IF($O201&gt;=0,$O201,0)+IF(AND($F201="fee",$N201&gt;=0),$N201,0))</f>
        <v/>
      </c>
      <c r="AC201" s="50" t="str">
        <f>IF($A201="","",IF($F201="assignment",IF($AF201&gt;0,INDEX($AH$9:$AH$200,$AF201),0)*$AE201*$D201,IF($F201="buy_shares",$M201*$AL201,0)))</f>
        <v/>
      </c>
      <c r="AD201" s="50" t="str">
        <f>IF($A201="","",IF($F201="called_away",IF($AF201&gt;0,INDEX($AH$9:$AH$200,$AF201),0)*$AL201,IF($F201="sell_shares",$M201*$AL201,0)))</f>
        <v/>
      </c>
      <c r="AE201" s="51" t="str">
        <f>IF($A201="","",IF(OR($F201="sell_put",$F201="sell_call"),IF(AND($H201&gt;0,$I201&gt;0,$J201&gt;=0),$H201,0),IF(OR($F201="buy_to_close",$F201="expire",$F201="roll",$F201="assignment",$F201="called_away"),IF(AND($AF201&gt;0,$H201&gt;0,IF($F201="assignment",IF($AF201&gt;0,INDEX($AG$9:$AG$200,$AF201),"")="put",TRUE),IF($F201="called_away",IF($AF201&gt;0,INDEX($AG$9:$AG$200,$AF201),"")="call",TRUE)),MIN($H201,IF($AF201&gt;0,MAX(0,INDEX($AI$9:$AI$200,$AF201)-SUMIFS($AE$9:$AE$200,$G$9:$G$200,$G201,$B$9:$B$200,$B201)),0)),0),0)))</f>
        <v/>
      </c>
      <c r="AF201" t="str">
        <f>IF($A201="","",IFERROR(MATCH(LEN($B201)&amp;":"&amp;$B201&amp;$G201,$AY$9:$AY$200,0),0))</f>
        <v/>
      </c>
      <c r="AG201" t="str">
        <f>IF($A201="","",IF($F201="sell_put","put",IF($F201="sell_call","call",IF($F201="roll",IF($AF201&gt;0,IF($AF201&gt;0,INDEX($AG$9:$AG$200,$AF201),""),""),IF($AF201&gt;0,IF($AF201&gt;0,INDEX($AG$9:$AG$200,$AF201),""),"")))))</f>
        <v/>
      </c>
      <c r="AH201" t="str">
        <f>IF($A201="","",IF(OR($F201="sell_put",$F201="sell_call",$F201="roll"),$I201,IF($AF201&gt;0,IF($AF201&gt;0,INDEX($AH$9:$AH$200,$AF201),0),0)))</f>
        <v/>
      </c>
      <c r="AI201" s="51" t="str">
        <f t="shared" ref="AI201:AI264" si="60">IF($A201="","",IF(OR($F201="sell_put",$F201="sell_call"),IF(AND($H201&gt;0,$I201&gt;0,$J201&gt;=0),$H201,0),IF($F201="roll",$AE201,0)))</f>
        <v/>
      </c>
      <c r="AJ201" s="51" t="str">
        <f>IF($A201="","",IFERROR(LOOKUP(2,1/($B$9:$B$200=$B201),$AM$9:$AM200),0))</f>
        <v/>
      </c>
      <c r="AK201" t="str">
        <f>IF($A201="","",IFERROR(LOOKUP(2,1/($B$9:$B$200=$B201),$AN$9:$AN200),0))</f>
        <v/>
      </c>
      <c r="AL201" s="51" t="str">
        <f t="shared" ref="AL201:AL264" si="61">IF($A201="","",IF($F201="assignment",$AE201*$D201,IF($F201="called_away",MIN(MAX(0,$AE201*$D201),MAX(0,$AJ201)),IF($F201="buy_shares",IF(AND($L201&gt;0,$M201&gt;=0),$L201,0),IF($F201="sell_shares",IF(AND($L201&gt;0,$M201&gt;=0),MIN($L201,MAX(0,$AJ201)),0),0)))))</f>
        <v/>
      </c>
      <c r="AM201" s="51" t="str">
        <f t="shared" ref="AM201:AM264" si="62">IF($A201="","",MAX(0,$AJ201+IF(OR($F201="assignment",$F201="buy_shares"),$AL201,-$AL201)))</f>
        <v/>
      </c>
      <c r="AN201" t="str">
        <f t="shared" ref="AN201:AN264" si="63">IF($A201="","",IF($AM201&lt;=0.000000001,0,MAX(0,$AK201+$AC201-IF(OR($F201="called_away",$F201="sell_shares"),IF($AJ201&gt;0,$AK201/$AJ201*$AL201,0),0))))</f>
        <v/>
      </c>
      <c r="AO201" s="50" t="str">
        <f>IF($A201="","",IFERROR(LOOKUP(2,1/($B$9:$B$200=$B201),$AO$9:$AO200),0)+IF($F201="sell_put",$I201*$AE201*$D201,IF($F201="roll",IF($AG201="put",($I201-IF($AF201&gt;0,INDEX($AH$9:$AH$200,$AF201),0))*$AE201*$D201,0),IF(AND(OR($F201="buy_to_close",$F201="expire",$F201="roll",$F201="assignment",$F201="called_away"),$F201&lt;&gt;"roll",$AG201="put"),-IF($AF201&gt;0,INDEX($AH$9:$AH$200,$AF201),0)*$AE201*$D201,0))))</f>
        <v/>
      </c>
      <c r="AP201" s="51" t="str">
        <f>IF($A201="","",IFERROR(LOOKUP(2,1/($B$9:$B$200=$B201),$AP$9:$AP200),0)+IF($F201="sell_put",$AE201*$D201,IF(AND(OR($F201="buy_to_close",$F201="expire",$F201="roll",$F201="assignment",$F201="called_away"),$F201&lt;&gt;"roll",$AG201="put"),-$AE201*$D201,0)))</f>
        <v/>
      </c>
      <c r="AQ201" s="51" t="str">
        <f>IF($A201="","",IFERROR(LOOKUP(2,1/($B$9:$B$200=$B201),$AQ$9:$AQ200),0)+IF(OR($F201="sell_put",$F201="sell_call"),$AE201,0)-IF(AND(OR($F201="buy_to_close",$F201="expire",$F201="roll",$F201="assignment",$F201="called_away"),$F201&lt;&gt;"roll"),$AE201,0))</f>
        <v/>
      </c>
      <c r="AR201" t="str">
        <f t="shared" ref="AR201:AR264" si="64">IF($A201="","",AND($AM201&lt;=0.000000001,$AQ201&lt;=0.000000001))</f>
        <v/>
      </c>
      <c r="AS201" s="50" t="str">
        <f t="shared" ref="AS201:AS264" si="65">IF($A201="","",$AO201+$AN201)</f>
        <v/>
      </c>
      <c r="AT201" s="50" t="str">
        <f>IF($A201="","",MAX(IF($T201=IFERROR(LOOKUP(2,1/($B$9:$B$200=$B201),$T$9:$T200),0),IFERROR(LOOKUP(2,1/($B$9:$B$200=$B201),$AT$9:$AT200),0),0),$AS201))</f>
        <v/>
      </c>
      <c r="AU201" t="str">
        <f t="shared" ref="AU201:AU264" si="66">IF(OR($A201="",$B201="",$T201=""),"",$B201&amp;"¦"&amp;$T201)</f>
        <v/>
      </c>
      <c r="AV201" s="51">
        <f>IF($AU201="",0,IF(AND(IFERROR(LOOKUP(2,1/($B$9:$B$200=$B201),$AR$9:$AR200),1),NOT(AND(OR($F201="dividend",$F201="fee"),IFERROR(LOOKUP(2,1/($B$9:$B$200=$B201),$T$9:$T200),0)&gt;0))),ROW(),0))</f>
        <v>0</v>
      </c>
      <c r="AW201">
        <f>IF($A201="",0,IF($AV201&gt;0,MAX($AW$9:$AW$200)+1,MAX($AW$9:$AW$200)))</f>
        <v>0</v>
      </c>
      <c r="AX201">
        <f>IF($AU201="",0,IF(AND($AR201,OR(NOT(IFERROR(LOOKUP(2,1/($B$9:$B$200=$B201),$AR$9:$AR200),1)),IFERROR(LOOKUP(2,1/($B$9:$B$200=$B201),$T$9:$T200),0)=0)),ROW(),0))</f>
        <v>0</v>
      </c>
      <c r="AY201" t="str">
        <f t="shared" ref="AY201:AY264" si="67">IF(OR($A201="",$B201=""),"",LEN($B201)&amp;":"&amp;$B201&amp;$A201)</f>
        <v/>
      </c>
    </row>
    <row r="202" spans="1:51" ht="15" x14ac:dyDescent="0.25">
      <c r="A202" s="52" t="str">
        <f>IF(Trades!$A202="","",Trades!O202)</f>
        <v/>
      </c>
      <c r="B202" s="52" t="str">
        <f>IF(Trades!$A202="","",Trades!B202)</f>
        <v/>
      </c>
      <c r="C202" s="52" t="str">
        <f>IF(Trades!$A202="","",Trades!C202)</f>
        <v/>
      </c>
      <c r="D202" s="53" t="str">
        <f>IF(Trades!$A202="","",IF(Trades!$L202&gt;0,Trades!$L202,Trades!$C$6))</f>
        <v/>
      </c>
      <c r="E202" s="54" t="str">
        <f>IF(Trades!$A202="","",Trades!A202)</f>
        <v/>
      </c>
      <c r="F202" s="52" t="str">
        <f>IF(Trades!$A202="","",IFERROR(INDEX(Trades!$V$2:$V$14,MATCH(Trades!$E202,Trades!$U$2:$U$14,0)),""))</f>
        <v/>
      </c>
      <c r="G202" s="52" t="str">
        <f>IF(Trades!$A202="","",Trades!N202)</f>
        <v/>
      </c>
      <c r="H202" s="53" t="str">
        <f>IF(Trades!$A202="","",Trades!F202)</f>
        <v/>
      </c>
      <c r="I202" s="55" t="str">
        <f>IF(Trades!$A202="","",Trades!G202)</f>
        <v/>
      </c>
      <c r="J202" s="55" t="str">
        <f>IF(Trades!$A202="","",Trades!I202)</f>
        <v/>
      </c>
      <c r="K202" s="55" t="str">
        <f>IF(Trades!$A202="","",Trades!Q202)</f>
        <v/>
      </c>
      <c r="L202" s="53" t="str">
        <f>IF(Trades!$A202="","",Trades!F202)</f>
        <v/>
      </c>
      <c r="M202" s="55" t="str">
        <f>IF(Trades!$A202="","",Trades!M202)</f>
        <v/>
      </c>
      <c r="N202" s="55" t="str">
        <f>IF(Trades!$A202="","",Trades!R202)</f>
        <v/>
      </c>
      <c r="O202" s="55" t="str">
        <f>IF(Trades!$A202="","",Trades!J202)</f>
        <v/>
      </c>
      <c r="P202" s="54" t="str">
        <f>IF(Trades!$A202="","",Trades!H202)</f>
        <v/>
      </c>
      <c r="Q202" s="52" t="str">
        <f>IF(Trades!$A202="","",Trades!P202)</f>
        <v/>
      </c>
      <c r="R202" s="56" t="str">
        <f t="shared" si="51"/>
        <v/>
      </c>
      <c r="S202" s="56" t="str">
        <f t="shared" si="52"/>
        <v/>
      </c>
      <c r="T202" s="57" t="str">
        <f>IF(OR($A202="",$B202=""),"",IF(AND(IFERROR(LOOKUP(2,1/($B$9:$B$201=$B202),$AR$9:$AR201),1),NOT(AND(OR($F202="dividend",$F202="fee"),IFERROR(LOOKUP(2,1/($B$9:$B$201=$B202),$T$9:$T201),0)&gt;0))),IFERROR(LOOKUP(2,1/($B$9:$B$201=$B202),$T$9:$T201),0)+1,IFERROR(LOOKUP(2,1/($B$9:$B$201=$B202),$T$9:$T201),0)))</f>
        <v/>
      </c>
      <c r="U202" s="58" t="str">
        <f t="shared" si="53"/>
        <v/>
      </c>
      <c r="V202" s="58" t="str">
        <f>IF($A202="","",IF(OR($B202="",$C202="",$D202="",$E202="",$F202=""),"Missing required field",IF(COUNTIFS($A$9:$A202,$A202,$B$9:$B202,$B202)&gt;1,"Duplicate event ID",IF(AND($E202&lt;&gt;IFERROR(LOOKUP(2,1/($B$9:$B$201=$B202),$E$9:$E201),0),IFERROR(LOOKUP(2,1/($B$9:$B$201=$B202),$E$9:$E201),0)&gt;$E202),"Date out of order",IF(AND(OR($F202="buy_to_close",$F202="expire",$F202="roll",$F202="assignment",$F202="called_away"),$AF202=0),"Unknown lot",IF(OR(AND($F202="assignment",$AF202&gt;0,IF($AF202&gt;0,INDEX($AG$9:$AG$201,$AF202),"")&lt;&gt;"put"),AND($F202="called_away",$AF202&gt;0,IF($AF202&gt;0,INDEX($AG$9:$AG$201,$AF202),"")&lt;&gt;"call")),"Wrong option leg",IF(OR(AND(OR($F202="sell_put",$F202="sell_call"),OR($H202&lt;=0,$I202&lt;=0,$J202&lt;0)),AND(OR($F202="buy_to_close",$F202="expire",$F202="assignment",$F202="called_away"),OR($H202&lt;=0,$J202&lt;0)),AND($F202="roll",OR($H202&lt;=0,$I202&lt;=0,$J202&lt;0,$K202&lt;0)),AND(OR($F202="buy_shares",$F202="sell_shares"),OR($L202&lt;=0,$M202&lt;0)),AND(OR($F202="dividend",$F202="fee"),$N202&lt;0)),"Invalid value",IF(AND(OR($F202="sell_shares",$F202="called_away"),$AL202&lt;IF($F202="called_away",$AE202*$D202,$L202)),"Insufficient shares (capped)",IF(AND(OR($F202="buy_to_close",$F202="expire",$F202="roll",$F202="assignment",$F202="called_away"),$AF202&gt;0,$H202&gt;IF($AF202&gt;0,MAX(0,INDEX($AI$9:$AI$201,$AF202)-SUMIFS($AE$9:$AE$201,$G$9:$G$201,$G202,$B$9:$B$201,$B202)),0)),"Close quantity capped","OK")))))))))</f>
        <v/>
      </c>
      <c r="W202" s="59" t="str">
        <f t="shared" si="54"/>
        <v/>
      </c>
      <c r="X202" s="60" t="str">
        <f t="shared" si="55"/>
        <v/>
      </c>
      <c r="Y202" s="50" t="str">
        <f t="shared" si="56"/>
        <v/>
      </c>
      <c r="Z202" s="50" t="str">
        <f t="shared" si="57"/>
        <v/>
      </c>
      <c r="AA202" s="50" t="str">
        <f t="shared" si="58"/>
        <v/>
      </c>
      <c r="AB202" s="50" t="str">
        <f t="shared" si="59"/>
        <v/>
      </c>
      <c r="AC202" s="50" t="str">
        <f>IF($A202="","",IF($F202="assignment",IF($AF202&gt;0,INDEX($AH$9:$AH$201,$AF202),0)*$AE202*$D202,IF($F202="buy_shares",$M202*$AL202,0)))</f>
        <v/>
      </c>
      <c r="AD202" s="50" t="str">
        <f>IF($A202="","",IF($F202="called_away",IF($AF202&gt;0,INDEX($AH$9:$AH$201,$AF202),0)*$AL202,IF($F202="sell_shares",$M202*$AL202,0)))</f>
        <v/>
      </c>
      <c r="AE202" s="51" t="str">
        <f>IF($A202="","",IF(OR($F202="sell_put",$F202="sell_call"),IF(AND($H202&gt;0,$I202&gt;0,$J202&gt;=0),$H202,0),IF(OR($F202="buy_to_close",$F202="expire",$F202="roll",$F202="assignment",$F202="called_away"),IF(AND($AF202&gt;0,$H202&gt;0,IF($F202="assignment",IF($AF202&gt;0,INDEX($AG$9:$AG$201,$AF202),"")="put",TRUE),IF($F202="called_away",IF($AF202&gt;0,INDEX($AG$9:$AG$201,$AF202),"")="call",TRUE)),MIN($H202,IF($AF202&gt;0,MAX(0,INDEX($AI$9:$AI$201,$AF202)-SUMIFS($AE$9:$AE$201,$G$9:$G$201,$G202,$B$9:$B$201,$B202)),0)),0),0)))</f>
        <v/>
      </c>
      <c r="AF202" t="str">
        <f>IF($A202="","",IFERROR(MATCH(LEN($B202)&amp;":"&amp;$B202&amp;$G202,$AY$9:$AY$201,0),0))</f>
        <v/>
      </c>
      <c r="AG202" t="str">
        <f>IF($A202="","",IF($F202="sell_put","put",IF($F202="sell_call","call",IF($F202="roll",IF($AF202&gt;0,IF($AF202&gt;0,INDEX($AG$9:$AG$201,$AF202),""),""),IF($AF202&gt;0,IF($AF202&gt;0,INDEX($AG$9:$AG$201,$AF202),""),"")))))</f>
        <v/>
      </c>
      <c r="AH202" t="str">
        <f>IF($A202="","",IF(OR($F202="sell_put",$F202="sell_call",$F202="roll"),$I202,IF($AF202&gt;0,IF($AF202&gt;0,INDEX($AH$9:$AH$201,$AF202),0),0)))</f>
        <v/>
      </c>
      <c r="AI202" s="51" t="str">
        <f t="shared" si="60"/>
        <v/>
      </c>
      <c r="AJ202" s="51" t="str">
        <f>IF($A202="","",IFERROR(LOOKUP(2,1/($B$9:$B$201=$B202),$AM$9:$AM201),0))</f>
        <v/>
      </c>
      <c r="AK202" t="str">
        <f>IF($A202="","",IFERROR(LOOKUP(2,1/($B$9:$B$201=$B202),$AN$9:$AN201),0))</f>
        <v/>
      </c>
      <c r="AL202" s="51" t="str">
        <f t="shared" si="61"/>
        <v/>
      </c>
      <c r="AM202" s="51" t="str">
        <f t="shared" si="62"/>
        <v/>
      </c>
      <c r="AN202" t="str">
        <f t="shared" si="63"/>
        <v/>
      </c>
      <c r="AO202" s="50" t="str">
        <f>IF($A202="","",IFERROR(LOOKUP(2,1/($B$9:$B$201=$B202),$AO$9:$AO201),0)+IF($F202="sell_put",$I202*$AE202*$D202,IF($F202="roll",IF($AG202="put",($I202-IF($AF202&gt;0,INDEX($AH$9:$AH$201,$AF202),0))*$AE202*$D202,0),IF(AND(OR($F202="buy_to_close",$F202="expire",$F202="roll",$F202="assignment",$F202="called_away"),$F202&lt;&gt;"roll",$AG202="put"),-IF($AF202&gt;0,INDEX($AH$9:$AH$201,$AF202),0)*$AE202*$D202,0))))</f>
        <v/>
      </c>
      <c r="AP202" s="51" t="str">
        <f>IF($A202="","",IFERROR(LOOKUP(2,1/($B$9:$B$201=$B202),$AP$9:$AP201),0)+IF($F202="sell_put",$AE202*$D202,IF(AND(OR($F202="buy_to_close",$F202="expire",$F202="roll",$F202="assignment",$F202="called_away"),$F202&lt;&gt;"roll",$AG202="put"),-$AE202*$D202,0)))</f>
        <v/>
      </c>
      <c r="AQ202" s="51" t="str">
        <f>IF($A202="","",IFERROR(LOOKUP(2,1/($B$9:$B$201=$B202),$AQ$9:$AQ201),0)+IF(OR($F202="sell_put",$F202="sell_call"),$AE202,0)-IF(AND(OR($F202="buy_to_close",$F202="expire",$F202="roll",$F202="assignment",$F202="called_away"),$F202&lt;&gt;"roll"),$AE202,0))</f>
        <v/>
      </c>
      <c r="AR202" t="str">
        <f t="shared" si="64"/>
        <v/>
      </c>
      <c r="AS202" s="50" t="str">
        <f t="shared" si="65"/>
        <v/>
      </c>
      <c r="AT202" s="50" t="str">
        <f>IF($A202="","",MAX(IF($T202=IFERROR(LOOKUP(2,1/($B$9:$B$201=$B202),$T$9:$T201),0),IFERROR(LOOKUP(2,1/($B$9:$B$201=$B202),$AT$9:$AT201),0),0),$AS202))</f>
        <v/>
      </c>
      <c r="AU202" t="str">
        <f t="shared" si="66"/>
        <v/>
      </c>
      <c r="AV202" s="51">
        <f>IF($AU202="",0,IF(AND(IFERROR(LOOKUP(2,1/($B$9:$B$201=$B202),$AR$9:$AR201),1),NOT(AND(OR($F202="dividend",$F202="fee"),IFERROR(LOOKUP(2,1/($B$9:$B$201=$B202),$T$9:$T201),0)&gt;0))),ROW(),0))</f>
        <v>0</v>
      </c>
      <c r="AW202">
        <f>IF($A202="",0,IF($AV202&gt;0,MAX($AW$9:$AW$201)+1,MAX($AW$9:$AW$201)))</f>
        <v>0</v>
      </c>
      <c r="AX202">
        <f>IF($AU202="",0,IF(AND($AR202,OR(NOT(IFERROR(LOOKUP(2,1/($B$9:$B$201=$B202),$AR$9:$AR201),1)),IFERROR(LOOKUP(2,1/($B$9:$B$201=$B202),$T$9:$T201),0)=0)),ROW(),0))</f>
        <v>0</v>
      </c>
      <c r="AY202" t="str">
        <f t="shared" si="67"/>
        <v/>
      </c>
    </row>
    <row r="203" spans="1:51" ht="15" x14ac:dyDescent="0.25">
      <c r="A203" s="41" t="str">
        <f>IF(Trades!$A203="","",Trades!O203)</f>
        <v/>
      </c>
      <c r="B203" s="41" t="str">
        <f>IF(Trades!$A203="","",Trades!B203)</f>
        <v/>
      </c>
      <c r="C203" s="41" t="str">
        <f>IF(Trades!$A203="","",Trades!C203)</f>
        <v/>
      </c>
      <c r="D203" s="42" t="str">
        <f>IF(Trades!$A203="","",IF(Trades!$L203&gt;0,Trades!$L203,Trades!$C$6))</f>
        <v/>
      </c>
      <c r="E203" s="43" t="str">
        <f>IF(Trades!$A203="","",Trades!A203)</f>
        <v/>
      </c>
      <c r="F203" s="41" t="str">
        <f>IF(Trades!$A203="","",IFERROR(INDEX(Trades!$V$2:$V$14,MATCH(Trades!$E203,Trades!$U$2:$U$14,0)),""))</f>
        <v/>
      </c>
      <c r="G203" s="41" t="str">
        <f>IF(Trades!$A203="","",Trades!N203)</f>
        <v/>
      </c>
      <c r="H203" s="42" t="str">
        <f>IF(Trades!$A203="","",Trades!F203)</f>
        <v/>
      </c>
      <c r="I203" s="44" t="str">
        <f>IF(Trades!$A203="","",Trades!G203)</f>
        <v/>
      </c>
      <c r="J203" s="44" t="str">
        <f>IF(Trades!$A203="","",Trades!I203)</f>
        <v/>
      </c>
      <c r="K203" s="44" t="str">
        <f>IF(Trades!$A203="","",Trades!Q203)</f>
        <v/>
      </c>
      <c r="L203" s="42" t="str">
        <f>IF(Trades!$A203="","",Trades!F203)</f>
        <v/>
      </c>
      <c r="M203" s="44" t="str">
        <f>IF(Trades!$A203="","",Trades!M203)</f>
        <v/>
      </c>
      <c r="N203" s="44" t="str">
        <f>IF(Trades!$A203="","",Trades!R203)</f>
        <v/>
      </c>
      <c r="O203" s="44" t="str">
        <f>IF(Trades!$A203="","",Trades!J203)</f>
        <v/>
      </c>
      <c r="P203" s="43" t="str">
        <f>IF(Trades!$A203="","",Trades!H203)</f>
        <v/>
      </c>
      <c r="Q203" s="41" t="str">
        <f>IF(Trades!$A203="","",Trades!P203)</f>
        <v/>
      </c>
      <c r="R203" s="45" t="str">
        <f t="shared" si="51"/>
        <v/>
      </c>
      <c r="S203" s="45" t="str">
        <f t="shared" si="52"/>
        <v/>
      </c>
      <c r="T203" s="46" t="str">
        <f>IF(OR($A203="",$B203=""),"",IF(AND(IFERROR(LOOKUP(2,1/($B$9:$B$202=$B203),$AR$9:$AR202),1),NOT(AND(OR($F203="dividend",$F203="fee"),IFERROR(LOOKUP(2,1/($B$9:$B$202=$B203),$T$9:$T202),0)&gt;0))),IFERROR(LOOKUP(2,1/($B$9:$B$202=$B203),$T$9:$T202),0)+1,IFERROR(LOOKUP(2,1/($B$9:$B$202=$B203),$T$9:$T202),0)))</f>
        <v/>
      </c>
      <c r="U203" s="47" t="str">
        <f t="shared" si="53"/>
        <v/>
      </c>
      <c r="V203" s="47" t="str">
        <f>IF($A203="","",IF(OR($B203="",$C203="",$D203="",$E203="",$F203=""),"Missing required field",IF(COUNTIFS($A$9:$A203,$A203,$B$9:$B203,$B203)&gt;1,"Duplicate event ID",IF(AND($E203&lt;&gt;IFERROR(LOOKUP(2,1/($B$9:$B$202=$B203),$E$9:$E202),0),IFERROR(LOOKUP(2,1/($B$9:$B$202=$B203),$E$9:$E202),0)&gt;$E203),"Date out of order",IF(AND(OR($F203="buy_to_close",$F203="expire",$F203="roll",$F203="assignment",$F203="called_away"),$AF203=0),"Unknown lot",IF(OR(AND($F203="assignment",$AF203&gt;0,IF($AF203&gt;0,INDEX($AG$9:$AG$202,$AF203),"")&lt;&gt;"put"),AND($F203="called_away",$AF203&gt;0,IF($AF203&gt;0,INDEX($AG$9:$AG$202,$AF203),"")&lt;&gt;"call")),"Wrong option leg",IF(OR(AND(OR($F203="sell_put",$F203="sell_call"),OR($H203&lt;=0,$I203&lt;=0,$J203&lt;0)),AND(OR($F203="buy_to_close",$F203="expire",$F203="assignment",$F203="called_away"),OR($H203&lt;=0,$J203&lt;0)),AND($F203="roll",OR($H203&lt;=0,$I203&lt;=0,$J203&lt;0,$K203&lt;0)),AND(OR($F203="buy_shares",$F203="sell_shares"),OR($L203&lt;=0,$M203&lt;0)),AND(OR($F203="dividend",$F203="fee"),$N203&lt;0)),"Invalid value",IF(AND(OR($F203="sell_shares",$F203="called_away"),$AL203&lt;IF($F203="called_away",$AE203*$D203,$L203)),"Insufficient shares (capped)",IF(AND(OR($F203="buy_to_close",$F203="expire",$F203="roll",$F203="assignment",$F203="called_away"),$AF203&gt;0,$H203&gt;IF($AF203&gt;0,MAX(0,INDEX($AI$9:$AI$202,$AF203)-SUMIFS($AE$9:$AE$202,$G$9:$G$202,$G203,$B$9:$B$202,$B203)),0)),"Close quantity capped","OK")))))))))</f>
        <v/>
      </c>
      <c r="W203" s="48" t="str">
        <f t="shared" si="54"/>
        <v/>
      </c>
      <c r="X203" s="49" t="str">
        <f t="shared" si="55"/>
        <v/>
      </c>
      <c r="Y203" s="50" t="str">
        <f t="shared" si="56"/>
        <v/>
      </c>
      <c r="Z203" s="50" t="str">
        <f t="shared" si="57"/>
        <v/>
      </c>
      <c r="AA203" s="50" t="str">
        <f t="shared" si="58"/>
        <v/>
      </c>
      <c r="AB203" s="50" t="str">
        <f t="shared" si="59"/>
        <v/>
      </c>
      <c r="AC203" s="50" t="str">
        <f>IF($A203="","",IF($F203="assignment",IF($AF203&gt;0,INDEX($AH$9:$AH$202,$AF203),0)*$AE203*$D203,IF($F203="buy_shares",$M203*$AL203,0)))</f>
        <v/>
      </c>
      <c r="AD203" s="50" t="str">
        <f>IF($A203="","",IF($F203="called_away",IF($AF203&gt;0,INDEX($AH$9:$AH$202,$AF203),0)*$AL203,IF($F203="sell_shares",$M203*$AL203,0)))</f>
        <v/>
      </c>
      <c r="AE203" s="51" t="str">
        <f>IF($A203="","",IF(OR($F203="sell_put",$F203="sell_call"),IF(AND($H203&gt;0,$I203&gt;0,$J203&gt;=0),$H203,0),IF(OR($F203="buy_to_close",$F203="expire",$F203="roll",$F203="assignment",$F203="called_away"),IF(AND($AF203&gt;0,$H203&gt;0,IF($F203="assignment",IF($AF203&gt;0,INDEX($AG$9:$AG$202,$AF203),"")="put",TRUE),IF($F203="called_away",IF($AF203&gt;0,INDEX($AG$9:$AG$202,$AF203),"")="call",TRUE)),MIN($H203,IF($AF203&gt;0,MAX(0,INDEX($AI$9:$AI$202,$AF203)-SUMIFS($AE$9:$AE$202,$G$9:$G$202,$G203,$B$9:$B$202,$B203)),0)),0),0)))</f>
        <v/>
      </c>
      <c r="AF203" t="str">
        <f>IF($A203="","",IFERROR(MATCH(LEN($B203)&amp;":"&amp;$B203&amp;$G203,$AY$9:$AY$202,0),0))</f>
        <v/>
      </c>
      <c r="AG203" t="str">
        <f>IF($A203="","",IF($F203="sell_put","put",IF($F203="sell_call","call",IF($F203="roll",IF($AF203&gt;0,IF($AF203&gt;0,INDEX($AG$9:$AG$202,$AF203),""),""),IF($AF203&gt;0,IF($AF203&gt;0,INDEX($AG$9:$AG$202,$AF203),""),"")))))</f>
        <v/>
      </c>
      <c r="AH203" t="str">
        <f>IF($A203="","",IF(OR($F203="sell_put",$F203="sell_call",$F203="roll"),$I203,IF($AF203&gt;0,IF($AF203&gt;0,INDEX($AH$9:$AH$202,$AF203),0),0)))</f>
        <v/>
      </c>
      <c r="AI203" s="51" t="str">
        <f t="shared" si="60"/>
        <v/>
      </c>
      <c r="AJ203" s="51" t="str">
        <f>IF($A203="","",IFERROR(LOOKUP(2,1/($B$9:$B$202=$B203),$AM$9:$AM202),0))</f>
        <v/>
      </c>
      <c r="AK203" t="str">
        <f>IF($A203="","",IFERROR(LOOKUP(2,1/($B$9:$B$202=$B203),$AN$9:$AN202),0))</f>
        <v/>
      </c>
      <c r="AL203" s="51" t="str">
        <f t="shared" si="61"/>
        <v/>
      </c>
      <c r="AM203" s="51" t="str">
        <f t="shared" si="62"/>
        <v/>
      </c>
      <c r="AN203" t="str">
        <f t="shared" si="63"/>
        <v/>
      </c>
      <c r="AO203" s="50" t="str">
        <f>IF($A203="","",IFERROR(LOOKUP(2,1/($B$9:$B$202=$B203),$AO$9:$AO202),0)+IF($F203="sell_put",$I203*$AE203*$D203,IF($F203="roll",IF($AG203="put",($I203-IF($AF203&gt;0,INDEX($AH$9:$AH$202,$AF203),0))*$AE203*$D203,0),IF(AND(OR($F203="buy_to_close",$F203="expire",$F203="roll",$F203="assignment",$F203="called_away"),$F203&lt;&gt;"roll",$AG203="put"),-IF($AF203&gt;0,INDEX($AH$9:$AH$202,$AF203),0)*$AE203*$D203,0))))</f>
        <v/>
      </c>
      <c r="AP203" s="51" t="str">
        <f>IF($A203="","",IFERROR(LOOKUP(2,1/($B$9:$B$202=$B203),$AP$9:$AP202),0)+IF($F203="sell_put",$AE203*$D203,IF(AND(OR($F203="buy_to_close",$F203="expire",$F203="roll",$F203="assignment",$F203="called_away"),$F203&lt;&gt;"roll",$AG203="put"),-$AE203*$D203,0)))</f>
        <v/>
      </c>
      <c r="AQ203" s="51" t="str">
        <f>IF($A203="","",IFERROR(LOOKUP(2,1/($B$9:$B$202=$B203),$AQ$9:$AQ202),0)+IF(OR($F203="sell_put",$F203="sell_call"),$AE203,0)-IF(AND(OR($F203="buy_to_close",$F203="expire",$F203="roll",$F203="assignment",$F203="called_away"),$F203&lt;&gt;"roll"),$AE203,0))</f>
        <v/>
      </c>
      <c r="AR203" t="str">
        <f t="shared" si="64"/>
        <v/>
      </c>
      <c r="AS203" s="50" t="str">
        <f t="shared" si="65"/>
        <v/>
      </c>
      <c r="AT203" s="50" t="str">
        <f>IF($A203="","",MAX(IF($T203=IFERROR(LOOKUP(2,1/($B$9:$B$202=$B203),$T$9:$T202),0),IFERROR(LOOKUP(2,1/($B$9:$B$202=$B203),$AT$9:$AT202),0),0),$AS203))</f>
        <v/>
      </c>
      <c r="AU203" t="str">
        <f t="shared" si="66"/>
        <v/>
      </c>
      <c r="AV203" s="51">
        <f>IF($AU203="",0,IF(AND(IFERROR(LOOKUP(2,1/($B$9:$B$202=$B203),$AR$9:$AR202),1),NOT(AND(OR($F203="dividend",$F203="fee"),IFERROR(LOOKUP(2,1/($B$9:$B$202=$B203),$T$9:$T202),0)&gt;0))),ROW(),0))</f>
        <v>0</v>
      </c>
      <c r="AW203">
        <f>IF($A203="",0,IF($AV203&gt;0,MAX($AW$9:$AW$202)+1,MAX($AW$9:$AW$202)))</f>
        <v>0</v>
      </c>
      <c r="AX203">
        <f>IF($AU203="",0,IF(AND($AR203,OR(NOT(IFERROR(LOOKUP(2,1/($B$9:$B$202=$B203),$AR$9:$AR202),1)),IFERROR(LOOKUP(2,1/($B$9:$B$202=$B203),$T$9:$T202),0)=0)),ROW(),0))</f>
        <v>0</v>
      </c>
      <c r="AY203" t="str">
        <f t="shared" si="67"/>
        <v/>
      </c>
    </row>
    <row r="204" spans="1:51" ht="15" x14ac:dyDescent="0.25">
      <c r="A204" s="52" t="str">
        <f>IF(Trades!$A204="","",Trades!O204)</f>
        <v/>
      </c>
      <c r="B204" s="52" t="str">
        <f>IF(Trades!$A204="","",Trades!B204)</f>
        <v/>
      </c>
      <c r="C204" s="52" t="str">
        <f>IF(Trades!$A204="","",Trades!C204)</f>
        <v/>
      </c>
      <c r="D204" s="53" t="str">
        <f>IF(Trades!$A204="","",IF(Trades!$L204&gt;0,Trades!$L204,Trades!$C$6))</f>
        <v/>
      </c>
      <c r="E204" s="54" t="str">
        <f>IF(Trades!$A204="","",Trades!A204)</f>
        <v/>
      </c>
      <c r="F204" s="52" t="str">
        <f>IF(Trades!$A204="","",IFERROR(INDEX(Trades!$V$2:$V$14,MATCH(Trades!$E204,Trades!$U$2:$U$14,0)),""))</f>
        <v/>
      </c>
      <c r="G204" s="52" t="str">
        <f>IF(Trades!$A204="","",Trades!N204)</f>
        <v/>
      </c>
      <c r="H204" s="53" t="str">
        <f>IF(Trades!$A204="","",Trades!F204)</f>
        <v/>
      </c>
      <c r="I204" s="55" t="str">
        <f>IF(Trades!$A204="","",Trades!G204)</f>
        <v/>
      </c>
      <c r="J204" s="55" t="str">
        <f>IF(Trades!$A204="","",Trades!I204)</f>
        <v/>
      </c>
      <c r="K204" s="55" t="str">
        <f>IF(Trades!$A204="","",Trades!Q204)</f>
        <v/>
      </c>
      <c r="L204" s="53" t="str">
        <f>IF(Trades!$A204="","",Trades!F204)</f>
        <v/>
      </c>
      <c r="M204" s="55" t="str">
        <f>IF(Trades!$A204="","",Trades!M204)</f>
        <v/>
      </c>
      <c r="N204" s="55" t="str">
        <f>IF(Trades!$A204="","",Trades!R204)</f>
        <v/>
      </c>
      <c r="O204" s="55" t="str">
        <f>IF(Trades!$A204="","",Trades!J204)</f>
        <v/>
      </c>
      <c r="P204" s="54" t="str">
        <f>IF(Trades!$A204="","",Trades!H204)</f>
        <v/>
      </c>
      <c r="Q204" s="52" t="str">
        <f>IF(Trades!$A204="","",Trades!P204)</f>
        <v/>
      </c>
      <c r="R204" s="56" t="str">
        <f t="shared" si="51"/>
        <v/>
      </c>
      <c r="S204" s="56" t="str">
        <f t="shared" si="52"/>
        <v/>
      </c>
      <c r="T204" s="57" t="str">
        <f>IF(OR($A204="",$B204=""),"",IF(AND(IFERROR(LOOKUP(2,1/($B$9:$B$203=$B204),$AR$9:$AR203),1),NOT(AND(OR($F204="dividend",$F204="fee"),IFERROR(LOOKUP(2,1/($B$9:$B$203=$B204),$T$9:$T203),0)&gt;0))),IFERROR(LOOKUP(2,1/($B$9:$B$203=$B204),$T$9:$T203),0)+1,IFERROR(LOOKUP(2,1/($B$9:$B$203=$B204),$T$9:$T203),0)))</f>
        <v/>
      </c>
      <c r="U204" s="58" t="str">
        <f t="shared" si="53"/>
        <v/>
      </c>
      <c r="V204" s="58" t="str">
        <f>IF($A204="","",IF(OR($B204="",$C204="",$D204="",$E204="",$F204=""),"Missing required field",IF(COUNTIFS($A$9:$A204,$A204,$B$9:$B204,$B204)&gt;1,"Duplicate event ID",IF(AND($E204&lt;&gt;IFERROR(LOOKUP(2,1/($B$9:$B$203=$B204),$E$9:$E203),0),IFERROR(LOOKUP(2,1/($B$9:$B$203=$B204),$E$9:$E203),0)&gt;$E204),"Date out of order",IF(AND(OR($F204="buy_to_close",$F204="expire",$F204="roll",$F204="assignment",$F204="called_away"),$AF204=0),"Unknown lot",IF(OR(AND($F204="assignment",$AF204&gt;0,IF($AF204&gt;0,INDEX($AG$9:$AG$203,$AF204),"")&lt;&gt;"put"),AND($F204="called_away",$AF204&gt;0,IF($AF204&gt;0,INDEX($AG$9:$AG$203,$AF204),"")&lt;&gt;"call")),"Wrong option leg",IF(OR(AND(OR($F204="sell_put",$F204="sell_call"),OR($H204&lt;=0,$I204&lt;=0,$J204&lt;0)),AND(OR($F204="buy_to_close",$F204="expire",$F204="assignment",$F204="called_away"),OR($H204&lt;=0,$J204&lt;0)),AND($F204="roll",OR($H204&lt;=0,$I204&lt;=0,$J204&lt;0,$K204&lt;0)),AND(OR($F204="buy_shares",$F204="sell_shares"),OR($L204&lt;=0,$M204&lt;0)),AND(OR($F204="dividend",$F204="fee"),$N204&lt;0)),"Invalid value",IF(AND(OR($F204="sell_shares",$F204="called_away"),$AL204&lt;IF($F204="called_away",$AE204*$D204,$L204)),"Insufficient shares (capped)",IF(AND(OR($F204="buy_to_close",$F204="expire",$F204="roll",$F204="assignment",$F204="called_away"),$AF204&gt;0,$H204&gt;IF($AF204&gt;0,MAX(0,INDEX($AI$9:$AI$203,$AF204)-SUMIFS($AE$9:$AE$203,$G$9:$G$203,$G204,$B$9:$B$203,$B204)),0)),"Close quantity capped","OK")))))))))</f>
        <v/>
      </c>
      <c r="W204" s="59" t="str">
        <f t="shared" si="54"/>
        <v/>
      </c>
      <c r="X204" s="60" t="str">
        <f t="shared" si="55"/>
        <v/>
      </c>
      <c r="Y204" s="50" t="str">
        <f t="shared" si="56"/>
        <v/>
      </c>
      <c r="Z204" s="50" t="str">
        <f t="shared" si="57"/>
        <v/>
      </c>
      <c r="AA204" s="50" t="str">
        <f t="shared" si="58"/>
        <v/>
      </c>
      <c r="AB204" s="50" t="str">
        <f t="shared" si="59"/>
        <v/>
      </c>
      <c r="AC204" s="50" t="str">
        <f>IF($A204="","",IF($F204="assignment",IF($AF204&gt;0,INDEX($AH$9:$AH$203,$AF204),0)*$AE204*$D204,IF($F204="buy_shares",$M204*$AL204,0)))</f>
        <v/>
      </c>
      <c r="AD204" s="50" t="str">
        <f>IF($A204="","",IF($F204="called_away",IF($AF204&gt;0,INDEX($AH$9:$AH$203,$AF204),0)*$AL204,IF($F204="sell_shares",$M204*$AL204,0)))</f>
        <v/>
      </c>
      <c r="AE204" s="51" t="str">
        <f>IF($A204="","",IF(OR($F204="sell_put",$F204="sell_call"),IF(AND($H204&gt;0,$I204&gt;0,$J204&gt;=0),$H204,0),IF(OR($F204="buy_to_close",$F204="expire",$F204="roll",$F204="assignment",$F204="called_away"),IF(AND($AF204&gt;0,$H204&gt;0,IF($F204="assignment",IF($AF204&gt;0,INDEX($AG$9:$AG$203,$AF204),"")="put",TRUE),IF($F204="called_away",IF($AF204&gt;0,INDEX($AG$9:$AG$203,$AF204),"")="call",TRUE)),MIN($H204,IF($AF204&gt;0,MAX(0,INDEX($AI$9:$AI$203,$AF204)-SUMIFS($AE$9:$AE$203,$G$9:$G$203,$G204,$B$9:$B$203,$B204)),0)),0),0)))</f>
        <v/>
      </c>
      <c r="AF204" t="str">
        <f>IF($A204="","",IFERROR(MATCH(LEN($B204)&amp;":"&amp;$B204&amp;$G204,$AY$9:$AY$203,0),0))</f>
        <v/>
      </c>
      <c r="AG204" t="str">
        <f>IF($A204="","",IF($F204="sell_put","put",IF($F204="sell_call","call",IF($F204="roll",IF($AF204&gt;0,IF($AF204&gt;0,INDEX($AG$9:$AG$203,$AF204),""),""),IF($AF204&gt;0,IF($AF204&gt;0,INDEX($AG$9:$AG$203,$AF204),""),"")))))</f>
        <v/>
      </c>
      <c r="AH204" t="str">
        <f>IF($A204="","",IF(OR($F204="sell_put",$F204="sell_call",$F204="roll"),$I204,IF($AF204&gt;0,IF($AF204&gt;0,INDEX($AH$9:$AH$203,$AF204),0),0)))</f>
        <v/>
      </c>
      <c r="AI204" s="51" t="str">
        <f t="shared" si="60"/>
        <v/>
      </c>
      <c r="AJ204" s="51" t="str">
        <f>IF($A204="","",IFERROR(LOOKUP(2,1/($B$9:$B$203=$B204),$AM$9:$AM203),0))</f>
        <v/>
      </c>
      <c r="AK204" t="str">
        <f>IF($A204="","",IFERROR(LOOKUP(2,1/($B$9:$B$203=$B204),$AN$9:$AN203),0))</f>
        <v/>
      </c>
      <c r="AL204" s="51" t="str">
        <f t="shared" si="61"/>
        <v/>
      </c>
      <c r="AM204" s="51" t="str">
        <f t="shared" si="62"/>
        <v/>
      </c>
      <c r="AN204" t="str">
        <f t="shared" si="63"/>
        <v/>
      </c>
      <c r="AO204" s="50" t="str">
        <f>IF($A204="","",IFERROR(LOOKUP(2,1/($B$9:$B$203=$B204),$AO$9:$AO203),0)+IF($F204="sell_put",$I204*$AE204*$D204,IF($F204="roll",IF($AG204="put",($I204-IF($AF204&gt;0,INDEX($AH$9:$AH$203,$AF204),0))*$AE204*$D204,0),IF(AND(OR($F204="buy_to_close",$F204="expire",$F204="roll",$F204="assignment",$F204="called_away"),$F204&lt;&gt;"roll",$AG204="put"),-IF($AF204&gt;0,INDEX($AH$9:$AH$203,$AF204),0)*$AE204*$D204,0))))</f>
        <v/>
      </c>
      <c r="AP204" s="51" t="str">
        <f>IF($A204="","",IFERROR(LOOKUP(2,1/($B$9:$B$203=$B204),$AP$9:$AP203),0)+IF($F204="sell_put",$AE204*$D204,IF(AND(OR($F204="buy_to_close",$F204="expire",$F204="roll",$F204="assignment",$F204="called_away"),$F204&lt;&gt;"roll",$AG204="put"),-$AE204*$D204,0)))</f>
        <v/>
      </c>
      <c r="AQ204" s="51" t="str">
        <f>IF($A204="","",IFERROR(LOOKUP(2,1/($B$9:$B$203=$B204),$AQ$9:$AQ203),0)+IF(OR($F204="sell_put",$F204="sell_call"),$AE204,0)-IF(AND(OR($F204="buy_to_close",$F204="expire",$F204="roll",$F204="assignment",$F204="called_away"),$F204&lt;&gt;"roll"),$AE204,0))</f>
        <v/>
      </c>
      <c r="AR204" t="str">
        <f t="shared" si="64"/>
        <v/>
      </c>
      <c r="AS204" s="50" t="str">
        <f t="shared" si="65"/>
        <v/>
      </c>
      <c r="AT204" s="50" t="str">
        <f>IF($A204="","",MAX(IF($T204=IFERROR(LOOKUP(2,1/($B$9:$B$203=$B204),$T$9:$T203),0),IFERROR(LOOKUP(2,1/($B$9:$B$203=$B204),$AT$9:$AT203),0),0),$AS204))</f>
        <v/>
      </c>
      <c r="AU204" t="str">
        <f t="shared" si="66"/>
        <v/>
      </c>
      <c r="AV204" s="51">
        <f>IF($AU204="",0,IF(AND(IFERROR(LOOKUP(2,1/($B$9:$B$203=$B204),$AR$9:$AR203),1),NOT(AND(OR($F204="dividend",$F204="fee"),IFERROR(LOOKUP(2,1/($B$9:$B$203=$B204),$T$9:$T203),0)&gt;0))),ROW(),0))</f>
        <v>0</v>
      </c>
      <c r="AW204">
        <f>IF($A204="",0,IF($AV204&gt;0,MAX($AW$9:$AW$203)+1,MAX($AW$9:$AW$203)))</f>
        <v>0</v>
      </c>
      <c r="AX204">
        <f>IF($AU204="",0,IF(AND($AR204,OR(NOT(IFERROR(LOOKUP(2,1/($B$9:$B$203=$B204),$AR$9:$AR203),1)),IFERROR(LOOKUP(2,1/($B$9:$B$203=$B204),$T$9:$T203),0)=0)),ROW(),0))</f>
        <v>0</v>
      </c>
      <c r="AY204" t="str">
        <f t="shared" si="67"/>
        <v/>
      </c>
    </row>
    <row r="205" spans="1:51" ht="15" x14ac:dyDescent="0.25">
      <c r="A205" s="41" t="str">
        <f>IF(Trades!$A205="","",Trades!O205)</f>
        <v/>
      </c>
      <c r="B205" s="41" t="str">
        <f>IF(Trades!$A205="","",Trades!B205)</f>
        <v/>
      </c>
      <c r="C205" s="41" t="str">
        <f>IF(Trades!$A205="","",Trades!C205)</f>
        <v/>
      </c>
      <c r="D205" s="42" t="str">
        <f>IF(Trades!$A205="","",IF(Trades!$L205&gt;0,Trades!$L205,Trades!$C$6))</f>
        <v/>
      </c>
      <c r="E205" s="43" t="str">
        <f>IF(Trades!$A205="","",Trades!A205)</f>
        <v/>
      </c>
      <c r="F205" s="41" t="str">
        <f>IF(Trades!$A205="","",IFERROR(INDEX(Trades!$V$2:$V$14,MATCH(Trades!$E205,Trades!$U$2:$U$14,0)),""))</f>
        <v/>
      </c>
      <c r="G205" s="41" t="str">
        <f>IF(Trades!$A205="","",Trades!N205)</f>
        <v/>
      </c>
      <c r="H205" s="42" t="str">
        <f>IF(Trades!$A205="","",Trades!F205)</f>
        <v/>
      </c>
      <c r="I205" s="44" t="str">
        <f>IF(Trades!$A205="","",Trades!G205)</f>
        <v/>
      </c>
      <c r="J205" s="44" t="str">
        <f>IF(Trades!$A205="","",Trades!I205)</f>
        <v/>
      </c>
      <c r="K205" s="44" t="str">
        <f>IF(Trades!$A205="","",Trades!Q205)</f>
        <v/>
      </c>
      <c r="L205" s="42" t="str">
        <f>IF(Trades!$A205="","",Trades!F205)</f>
        <v/>
      </c>
      <c r="M205" s="44" t="str">
        <f>IF(Trades!$A205="","",Trades!M205)</f>
        <v/>
      </c>
      <c r="N205" s="44" t="str">
        <f>IF(Trades!$A205="","",Trades!R205)</f>
        <v/>
      </c>
      <c r="O205" s="44" t="str">
        <f>IF(Trades!$A205="","",Trades!J205)</f>
        <v/>
      </c>
      <c r="P205" s="43" t="str">
        <f>IF(Trades!$A205="","",Trades!H205)</f>
        <v/>
      </c>
      <c r="Q205" s="41" t="str">
        <f>IF(Trades!$A205="","",Trades!P205)</f>
        <v/>
      </c>
      <c r="R205" s="45" t="str">
        <f t="shared" si="51"/>
        <v/>
      </c>
      <c r="S205" s="45" t="str">
        <f t="shared" si="52"/>
        <v/>
      </c>
      <c r="T205" s="46" t="str">
        <f>IF(OR($A205="",$B205=""),"",IF(AND(IFERROR(LOOKUP(2,1/($B$9:$B$204=$B205),$AR$9:$AR204),1),NOT(AND(OR($F205="dividend",$F205="fee"),IFERROR(LOOKUP(2,1/($B$9:$B$204=$B205),$T$9:$T204),0)&gt;0))),IFERROR(LOOKUP(2,1/($B$9:$B$204=$B205),$T$9:$T204),0)+1,IFERROR(LOOKUP(2,1/($B$9:$B$204=$B205),$T$9:$T204),0)))</f>
        <v/>
      </c>
      <c r="U205" s="47" t="str">
        <f t="shared" si="53"/>
        <v/>
      </c>
      <c r="V205" s="47" t="str">
        <f>IF($A205="","",IF(OR($B205="",$C205="",$D205="",$E205="",$F205=""),"Missing required field",IF(COUNTIFS($A$9:$A205,$A205,$B$9:$B205,$B205)&gt;1,"Duplicate event ID",IF(AND($E205&lt;&gt;IFERROR(LOOKUP(2,1/($B$9:$B$204=$B205),$E$9:$E204),0),IFERROR(LOOKUP(2,1/($B$9:$B$204=$B205),$E$9:$E204),0)&gt;$E205),"Date out of order",IF(AND(OR($F205="buy_to_close",$F205="expire",$F205="roll",$F205="assignment",$F205="called_away"),$AF205=0),"Unknown lot",IF(OR(AND($F205="assignment",$AF205&gt;0,IF($AF205&gt;0,INDEX($AG$9:$AG$204,$AF205),"")&lt;&gt;"put"),AND($F205="called_away",$AF205&gt;0,IF($AF205&gt;0,INDEX($AG$9:$AG$204,$AF205),"")&lt;&gt;"call")),"Wrong option leg",IF(OR(AND(OR($F205="sell_put",$F205="sell_call"),OR($H205&lt;=0,$I205&lt;=0,$J205&lt;0)),AND(OR($F205="buy_to_close",$F205="expire",$F205="assignment",$F205="called_away"),OR($H205&lt;=0,$J205&lt;0)),AND($F205="roll",OR($H205&lt;=0,$I205&lt;=0,$J205&lt;0,$K205&lt;0)),AND(OR($F205="buy_shares",$F205="sell_shares"),OR($L205&lt;=0,$M205&lt;0)),AND(OR($F205="dividend",$F205="fee"),$N205&lt;0)),"Invalid value",IF(AND(OR($F205="sell_shares",$F205="called_away"),$AL205&lt;IF($F205="called_away",$AE205*$D205,$L205)),"Insufficient shares (capped)",IF(AND(OR($F205="buy_to_close",$F205="expire",$F205="roll",$F205="assignment",$F205="called_away"),$AF205&gt;0,$H205&gt;IF($AF205&gt;0,MAX(0,INDEX($AI$9:$AI$204,$AF205)-SUMIFS($AE$9:$AE$204,$G$9:$G$204,$G205,$B$9:$B$204,$B205)),0)),"Close quantity capped","OK")))))))))</f>
        <v/>
      </c>
      <c r="W205" s="48" t="str">
        <f t="shared" si="54"/>
        <v/>
      </c>
      <c r="X205" s="49" t="str">
        <f t="shared" si="55"/>
        <v/>
      </c>
      <c r="Y205" s="50" t="str">
        <f t="shared" si="56"/>
        <v/>
      </c>
      <c r="Z205" s="50" t="str">
        <f t="shared" si="57"/>
        <v/>
      </c>
      <c r="AA205" s="50" t="str">
        <f t="shared" si="58"/>
        <v/>
      </c>
      <c r="AB205" s="50" t="str">
        <f t="shared" si="59"/>
        <v/>
      </c>
      <c r="AC205" s="50" t="str">
        <f>IF($A205="","",IF($F205="assignment",IF($AF205&gt;0,INDEX($AH$9:$AH$204,$AF205),0)*$AE205*$D205,IF($F205="buy_shares",$M205*$AL205,0)))</f>
        <v/>
      </c>
      <c r="AD205" s="50" t="str">
        <f>IF($A205="","",IF($F205="called_away",IF($AF205&gt;0,INDEX($AH$9:$AH$204,$AF205),0)*$AL205,IF($F205="sell_shares",$M205*$AL205,0)))</f>
        <v/>
      </c>
      <c r="AE205" s="51" t="str">
        <f>IF($A205="","",IF(OR($F205="sell_put",$F205="sell_call"),IF(AND($H205&gt;0,$I205&gt;0,$J205&gt;=0),$H205,0),IF(OR($F205="buy_to_close",$F205="expire",$F205="roll",$F205="assignment",$F205="called_away"),IF(AND($AF205&gt;0,$H205&gt;0,IF($F205="assignment",IF($AF205&gt;0,INDEX($AG$9:$AG$204,$AF205),"")="put",TRUE),IF($F205="called_away",IF($AF205&gt;0,INDEX($AG$9:$AG$204,$AF205),"")="call",TRUE)),MIN($H205,IF($AF205&gt;0,MAX(0,INDEX($AI$9:$AI$204,$AF205)-SUMIFS($AE$9:$AE$204,$G$9:$G$204,$G205,$B$9:$B$204,$B205)),0)),0),0)))</f>
        <v/>
      </c>
      <c r="AF205" t="str">
        <f>IF($A205="","",IFERROR(MATCH(LEN($B205)&amp;":"&amp;$B205&amp;$G205,$AY$9:$AY$204,0),0))</f>
        <v/>
      </c>
      <c r="AG205" t="str">
        <f>IF($A205="","",IF($F205="sell_put","put",IF($F205="sell_call","call",IF($F205="roll",IF($AF205&gt;0,IF($AF205&gt;0,INDEX($AG$9:$AG$204,$AF205),""),""),IF($AF205&gt;0,IF($AF205&gt;0,INDEX($AG$9:$AG$204,$AF205),""),"")))))</f>
        <v/>
      </c>
      <c r="AH205" t="str">
        <f>IF($A205="","",IF(OR($F205="sell_put",$F205="sell_call",$F205="roll"),$I205,IF($AF205&gt;0,IF($AF205&gt;0,INDEX($AH$9:$AH$204,$AF205),0),0)))</f>
        <v/>
      </c>
      <c r="AI205" s="51" t="str">
        <f t="shared" si="60"/>
        <v/>
      </c>
      <c r="AJ205" s="51" t="str">
        <f>IF($A205="","",IFERROR(LOOKUP(2,1/($B$9:$B$204=$B205),$AM$9:$AM204),0))</f>
        <v/>
      </c>
      <c r="AK205" t="str">
        <f>IF($A205="","",IFERROR(LOOKUP(2,1/($B$9:$B$204=$B205),$AN$9:$AN204),0))</f>
        <v/>
      </c>
      <c r="AL205" s="51" t="str">
        <f t="shared" si="61"/>
        <v/>
      </c>
      <c r="AM205" s="51" t="str">
        <f t="shared" si="62"/>
        <v/>
      </c>
      <c r="AN205" t="str">
        <f t="shared" si="63"/>
        <v/>
      </c>
      <c r="AO205" s="50" t="str">
        <f>IF($A205="","",IFERROR(LOOKUP(2,1/($B$9:$B$204=$B205),$AO$9:$AO204),0)+IF($F205="sell_put",$I205*$AE205*$D205,IF($F205="roll",IF($AG205="put",($I205-IF($AF205&gt;0,INDEX($AH$9:$AH$204,$AF205),0))*$AE205*$D205,0),IF(AND(OR($F205="buy_to_close",$F205="expire",$F205="roll",$F205="assignment",$F205="called_away"),$F205&lt;&gt;"roll",$AG205="put"),-IF($AF205&gt;0,INDEX($AH$9:$AH$204,$AF205),0)*$AE205*$D205,0))))</f>
        <v/>
      </c>
      <c r="AP205" s="51" t="str">
        <f>IF($A205="","",IFERROR(LOOKUP(2,1/($B$9:$B$204=$B205),$AP$9:$AP204),0)+IF($F205="sell_put",$AE205*$D205,IF(AND(OR($F205="buy_to_close",$F205="expire",$F205="roll",$F205="assignment",$F205="called_away"),$F205&lt;&gt;"roll",$AG205="put"),-$AE205*$D205,0)))</f>
        <v/>
      </c>
      <c r="AQ205" s="51" t="str">
        <f>IF($A205="","",IFERROR(LOOKUP(2,1/($B$9:$B$204=$B205),$AQ$9:$AQ204),0)+IF(OR($F205="sell_put",$F205="sell_call"),$AE205,0)-IF(AND(OR($F205="buy_to_close",$F205="expire",$F205="roll",$F205="assignment",$F205="called_away"),$F205&lt;&gt;"roll"),$AE205,0))</f>
        <v/>
      </c>
      <c r="AR205" t="str">
        <f t="shared" si="64"/>
        <v/>
      </c>
      <c r="AS205" s="50" t="str">
        <f t="shared" si="65"/>
        <v/>
      </c>
      <c r="AT205" s="50" t="str">
        <f>IF($A205="","",MAX(IF($T205=IFERROR(LOOKUP(2,1/($B$9:$B$204=$B205),$T$9:$T204),0),IFERROR(LOOKUP(2,1/($B$9:$B$204=$B205),$AT$9:$AT204),0),0),$AS205))</f>
        <v/>
      </c>
      <c r="AU205" t="str">
        <f t="shared" si="66"/>
        <v/>
      </c>
      <c r="AV205" s="51">
        <f>IF($AU205="",0,IF(AND(IFERROR(LOOKUP(2,1/($B$9:$B$204=$B205),$AR$9:$AR204),1),NOT(AND(OR($F205="dividend",$F205="fee"),IFERROR(LOOKUP(2,1/($B$9:$B$204=$B205),$T$9:$T204),0)&gt;0))),ROW(),0))</f>
        <v>0</v>
      </c>
      <c r="AW205">
        <f>IF($A205="",0,IF($AV205&gt;0,MAX($AW$9:$AW$204)+1,MAX($AW$9:$AW$204)))</f>
        <v>0</v>
      </c>
      <c r="AX205">
        <f>IF($AU205="",0,IF(AND($AR205,OR(NOT(IFERROR(LOOKUP(2,1/($B$9:$B$204=$B205),$AR$9:$AR204),1)),IFERROR(LOOKUP(2,1/($B$9:$B$204=$B205),$T$9:$T204),0)=0)),ROW(),0))</f>
        <v>0</v>
      </c>
      <c r="AY205" t="str">
        <f t="shared" si="67"/>
        <v/>
      </c>
    </row>
    <row r="206" spans="1:51" ht="15" x14ac:dyDescent="0.25">
      <c r="A206" s="52" t="str">
        <f>IF(Trades!$A206="","",Trades!O206)</f>
        <v/>
      </c>
      <c r="B206" s="52" t="str">
        <f>IF(Trades!$A206="","",Trades!B206)</f>
        <v/>
      </c>
      <c r="C206" s="52" t="str">
        <f>IF(Trades!$A206="","",Trades!C206)</f>
        <v/>
      </c>
      <c r="D206" s="53" t="str">
        <f>IF(Trades!$A206="","",IF(Trades!$L206&gt;0,Trades!$L206,Trades!$C$6))</f>
        <v/>
      </c>
      <c r="E206" s="54" t="str">
        <f>IF(Trades!$A206="","",Trades!A206)</f>
        <v/>
      </c>
      <c r="F206" s="52" t="str">
        <f>IF(Trades!$A206="","",IFERROR(INDEX(Trades!$V$2:$V$14,MATCH(Trades!$E206,Trades!$U$2:$U$14,0)),""))</f>
        <v/>
      </c>
      <c r="G206" s="52" t="str">
        <f>IF(Trades!$A206="","",Trades!N206)</f>
        <v/>
      </c>
      <c r="H206" s="53" t="str">
        <f>IF(Trades!$A206="","",Trades!F206)</f>
        <v/>
      </c>
      <c r="I206" s="55" t="str">
        <f>IF(Trades!$A206="","",Trades!G206)</f>
        <v/>
      </c>
      <c r="J206" s="55" t="str">
        <f>IF(Trades!$A206="","",Trades!I206)</f>
        <v/>
      </c>
      <c r="K206" s="55" t="str">
        <f>IF(Trades!$A206="","",Trades!Q206)</f>
        <v/>
      </c>
      <c r="L206" s="53" t="str">
        <f>IF(Trades!$A206="","",Trades!F206)</f>
        <v/>
      </c>
      <c r="M206" s="55" t="str">
        <f>IF(Trades!$A206="","",Trades!M206)</f>
        <v/>
      </c>
      <c r="N206" s="55" t="str">
        <f>IF(Trades!$A206="","",Trades!R206)</f>
        <v/>
      </c>
      <c r="O206" s="55" t="str">
        <f>IF(Trades!$A206="","",Trades!J206)</f>
        <v/>
      </c>
      <c r="P206" s="54" t="str">
        <f>IF(Trades!$A206="","",Trades!H206)</f>
        <v/>
      </c>
      <c r="Q206" s="52" t="str">
        <f>IF(Trades!$A206="","",Trades!P206)</f>
        <v/>
      </c>
      <c r="R206" s="56" t="str">
        <f t="shared" si="51"/>
        <v/>
      </c>
      <c r="S206" s="56" t="str">
        <f t="shared" si="52"/>
        <v/>
      </c>
      <c r="T206" s="57" t="str">
        <f>IF(OR($A206="",$B206=""),"",IF(AND(IFERROR(LOOKUP(2,1/($B$9:$B$205=$B206),$AR$9:$AR205),1),NOT(AND(OR($F206="dividend",$F206="fee"),IFERROR(LOOKUP(2,1/($B$9:$B$205=$B206),$T$9:$T205),0)&gt;0))),IFERROR(LOOKUP(2,1/($B$9:$B$205=$B206),$T$9:$T205),0)+1,IFERROR(LOOKUP(2,1/($B$9:$B$205=$B206),$T$9:$T205),0)))</f>
        <v/>
      </c>
      <c r="U206" s="58" t="str">
        <f t="shared" si="53"/>
        <v/>
      </c>
      <c r="V206" s="58" t="str">
        <f>IF($A206="","",IF(OR($B206="",$C206="",$D206="",$E206="",$F206=""),"Missing required field",IF(COUNTIFS($A$9:$A206,$A206,$B$9:$B206,$B206)&gt;1,"Duplicate event ID",IF(AND($E206&lt;&gt;IFERROR(LOOKUP(2,1/($B$9:$B$205=$B206),$E$9:$E205),0),IFERROR(LOOKUP(2,1/($B$9:$B$205=$B206),$E$9:$E205),0)&gt;$E206),"Date out of order",IF(AND(OR($F206="buy_to_close",$F206="expire",$F206="roll",$F206="assignment",$F206="called_away"),$AF206=0),"Unknown lot",IF(OR(AND($F206="assignment",$AF206&gt;0,IF($AF206&gt;0,INDEX($AG$9:$AG$205,$AF206),"")&lt;&gt;"put"),AND($F206="called_away",$AF206&gt;0,IF($AF206&gt;0,INDEX($AG$9:$AG$205,$AF206),"")&lt;&gt;"call")),"Wrong option leg",IF(OR(AND(OR($F206="sell_put",$F206="sell_call"),OR($H206&lt;=0,$I206&lt;=0,$J206&lt;0)),AND(OR($F206="buy_to_close",$F206="expire",$F206="assignment",$F206="called_away"),OR($H206&lt;=0,$J206&lt;0)),AND($F206="roll",OR($H206&lt;=0,$I206&lt;=0,$J206&lt;0,$K206&lt;0)),AND(OR($F206="buy_shares",$F206="sell_shares"),OR($L206&lt;=0,$M206&lt;0)),AND(OR($F206="dividend",$F206="fee"),$N206&lt;0)),"Invalid value",IF(AND(OR($F206="sell_shares",$F206="called_away"),$AL206&lt;IF($F206="called_away",$AE206*$D206,$L206)),"Insufficient shares (capped)",IF(AND(OR($F206="buy_to_close",$F206="expire",$F206="roll",$F206="assignment",$F206="called_away"),$AF206&gt;0,$H206&gt;IF($AF206&gt;0,MAX(0,INDEX($AI$9:$AI$205,$AF206)-SUMIFS($AE$9:$AE$205,$G$9:$G$205,$G206,$B$9:$B$205,$B206)),0)),"Close quantity capped","OK")))))))))</f>
        <v/>
      </c>
      <c r="W206" s="59" t="str">
        <f t="shared" si="54"/>
        <v/>
      </c>
      <c r="X206" s="60" t="str">
        <f t="shared" si="55"/>
        <v/>
      </c>
      <c r="Y206" s="50" t="str">
        <f t="shared" si="56"/>
        <v/>
      </c>
      <c r="Z206" s="50" t="str">
        <f t="shared" si="57"/>
        <v/>
      </c>
      <c r="AA206" s="50" t="str">
        <f t="shared" si="58"/>
        <v/>
      </c>
      <c r="AB206" s="50" t="str">
        <f t="shared" si="59"/>
        <v/>
      </c>
      <c r="AC206" s="50" t="str">
        <f>IF($A206="","",IF($F206="assignment",IF($AF206&gt;0,INDEX($AH$9:$AH$205,$AF206),0)*$AE206*$D206,IF($F206="buy_shares",$M206*$AL206,0)))</f>
        <v/>
      </c>
      <c r="AD206" s="50" t="str">
        <f>IF($A206="","",IF($F206="called_away",IF($AF206&gt;0,INDEX($AH$9:$AH$205,$AF206),0)*$AL206,IF($F206="sell_shares",$M206*$AL206,0)))</f>
        <v/>
      </c>
      <c r="AE206" s="51" t="str">
        <f>IF($A206="","",IF(OR($F206="sell_put",$F206="sell_call"),IF(AND($H206&gt;0,$I206&gt;0,$J206&gt;=0),$H206,0),IF(OR($F206="buy_to_close",$F206="expire",$F206="roll",$F206="assignment",$F206="called_away"),IF(AND($AF206&gt;0,$H206&gt;0,IF($F206="assignment",IF($AF206&gt;0,INDEX($AG$9:$AG$205,$AF206),"")="put",TRUE),IF($F206="called_away",IF($AF206&gt;0,INDEX($AG$9:$AG$205,$AF206),"")="call",TRUE)),MIN($H206,IF($AF206&gt;0,MAX(0,INDEX($AI$9:$AI$205,$AF206)-SUMIFS($AE$9:$AE$205,$G$9:$G$205,$G206,$B$9:$B$205,$B206)),0)),0),0)))</f>
        <v/>
      </c>
      <c r="AF206" t="str">
        <f>IF($A206="","",IFERROR(MATCH(LEN($B206)&amp;":"&amp;$B206&amp;$G206,$AY$9:$AY$205,0),0))</f>
        <v/>
      </c>
      <c r="AG206" t="str">
        <f>IF($A206="","",IF($F206="sell_put","put",IF($F206="sell_call","call",IF($F206="roll",IF($AF206&gt;0,IF($AF206&gt;0,INDEX($AG$9:$AG$205,$AF206),""),""),IF($AF206&gt;0,IF($AF206&gt;0,INDEX($AG$9:$AG$205,$AF206),""),"")))))</f>
        <v/>
      </c>
      <c r="AH206" t="str">
        <f>IF($A206="","",IF(OR($F206="sell_put",$F206="sell_call",$F206="roll"),$I206,IF($AF206&gt;0,IF($AF206&gt;0,INDEX($AH$9:$AH$205,$AF206),0),0)))</f>
        <v/>
      </c>
      <c r="AI206" s="51" t="str">
        <f t="shared" si="60"/>
        <v/>
      </c>
      <c r="AJ206" s="51" t="str">
        <f>IF($A206="","",IFERROR(LOOKUP(2,1/($B$9:$B$205=$B206),$AM$9:$AM205),0))</f>
        <v/>
      </c>
      <c r="AK206" t="str">
        <f>IF($A206="","",IFERROR(LOOKUP(2,1/($B$9:$B$205=$B206),$AN$9:$AN205),0))</f>
        <v/>
      </c>
      <c r="AL206" s="51" t="str">
        <f t="shared" si="61"/>
        <v/>
      </c>
      <c r="AM206" s="51" t="str">
        <f t="shared" si="62"/>
        <v/>
      </c>
      <c r="AN206" t="str">
        <f t="shared" si="63"/>
        <v/>
      </c>
      <c r="AO206" s="50" t="str">
        <f>IF($A206="","",IFERROR(LOOKUP(2,1/($B$9:$B$205=$B206),$AO$9:$AO205),0)+IF($F206="sell_put",$I206*$AE206*$D206,IF($F206="roll",IF($AG206="put",($I206-IF($AF206&gt;0,INDEX($AH$9:$AH$205,$AF206),0))*$AE206*$D206,0),IF(AND(OR($F206="buy_to_close",$F206="expire",$F206="roll",$F206="assignment",$F206="called_away"),$F206&lt;&gt;"roll",$AG206="put"),-IF($AF206&gt;0,INDEX($AH$9:$AH$205,$AF206),0)*$AE206*$D206,0))))</f>
        <v/>
      </c>
      <c r="AP206" s="51" t="str">
        <f>IF($A206="","",IFERROR(LOOKUP(2,1/($B$9:$B$205=$B206),$AP$9:$AP205),0)+IF($F206="sell_put",$AE206*$D206,IF(AND(OR($F206="buy_to_close",$F206="expire",$F206="roll",$F206="assignment",$F206="called_away"),$F206&lt;&gt;"roll",$AG206="put"),-$AE206*$D206,0)))</f>
        <v/>
      </c>
      <c r="AQ206" s="51" t="str">
        <f>IF($A206="","",IFERROR(LOOKUP(2,1/($B$9:$B$205=$B206),$AQ$9:$AQ205),0)+IF(OR($F206="sell_put",$F206="sell_call"),$AE206,0)-IF(AND(OR($F206="buy_to_close",$F206="expire",$F206="roll",$F206="assignment",$F206="called_away"),$F206&lt;&gt;"roll"),$AE206,0))</f>
        <v/>
      </c>
      <c r="AR206" t="str">
        <f t="shared" si="64"/>
        <v/>
      </c>
      <c r="AS206" s="50" t="str">
        <f t="shared" si="65"/>
        <v/>
      </c>
      <c r="AT206" s="50" t="str">
        <f>IF($A206="","",MAX(IF($T206=IFERROR(LOOKUP(2,1/($B$9:$B$205=$B206),$T$9:$T205),0),IFERROR(LOOKUP(2,1/($B$9:$B$205=$B206),$AT$9:$AT205),0),0),$AS206))</f>
        <v/>
      </c>
      <c r="AU206" t="str">
        <f t="shared" si="66"/>
        <v/>
      </c>
      <c r="AV206" s="51">
        <f>IF($AU206="",0,IF(AND(IFERROR(LOOKUP(2,1/($B$9:$B$205=$B206),$AR$9:$AR205),1),NOT(AND(OR($F206="dividend",$F206="fee"),IFERROR(LOOKUP(2,1/($B$9:$B$205=$B206),$T$9:$T205),0)&gt;0))),ROW(),0))</f>
        <v>0</v>
      </c>
      <c r="AW206">
        <f>IF($A206="",0,IF($AV206&gt;0,MAX($AW$9:$AW$205)+1,MAX($AW$9:$AW$205)))</f>
        <v>0</v>
      </c>
      <c r="AX206">
        <f>IF($AU206="",0,IF(AND($AR206,OR(NOT(IFERROR(LOOKUP(2,1/($B$9:$B$205=$B206),$AR$9:$AR205),1)),IFERROR(LOOKUP(2,1/($B$9:$B$205=$B206),$T$9:$T205),0)=0)),ROW(),0))</f>
        <v>0</v>
      </c>
      <c r="AY206" t="str">
        <f t="shared" si="67"/>
        <v/>
      </c>
    </row>
    <row r="207" spans="1:51" ht="15" x14ac:dyDescent="0.25">
      <c r="A207" s="41" t="str">
        <f>IF(Trades!$A207="","",Trades!O207)</f>
        <v/>
      </c>
      <c r="B207" s="41" t="str">
        <f>IF(Trades!$A207="","",Trades!B207)</f>
        <v/>
      </c>
      <c r="C207" s="41" t="str">
        <f>IF(Trades!$A207="","",Trades!C207)</f>
        <v/>
      </c>
      <c r="D207" s="42" t="str">
        <f>IF(Trades!$A207="","",IF(Trades!$L207&gt;0,Trades!$L207,Trades!$C$6))</f>
        <v/>
      </c>
      <c r="E207" s="43" t="str">
        <f>IF(Trades!$A207="","",Trades!A207)</f>
        <v/>
      </c>
      <c r="F207" s="41" t="str">
        <f>IF(Trades!$A207="","",IFERROR(INDEX(Trades!$V$2:$V$14,MATCH(Trades!$E207,Trades!$U$2:$U$14,0)),""))</f>
        <v/>
      </c>
      <c r="G207" s="41" t="str">
        <f>IF(Trades!$A207="","",Trades!N207)</f>
        <v/>
      </c>
      <c r="H207" s="42" t="str">
        <f>IF(Trades!$A207="","",Trades!F207)</f>
        <v/>
      </c>
      <c r="I207" s="44" t="str">
        <f>IF(Trades!$A207="","",Trades!G207)</f>
        <v/>
      </c>
      <c r="J207" s="44" t="str">
        <f>IF(Trades!$A207="","",Trades!I207)</f>
        <v/>
      </c>
      <c r="K207" s="44" t="str">
        <f>IF(Trades!$A207="","",Trades!Q207)</f>
        <v/>
      </c>
      <c r="L207" s="42" t="str">
        <f>IF(Trades!$A207="","",Trades!F207)</f>
        <v/>
      </c>
      <c r="M207" s="44" t="str">
        <f>IF(Trades!$A207="","",Trades!M207)</f>
        <v/>
      </c>
      <c r="N207" s="44" t="str">
        <f>IF(Trades!$A207="","",Trades!R207)</f>
        <v/>
      </c>
      <c r="O207" s="44" t="str">
        <f>IF(Trades!$A207="","",Trades!J207)</f>
        <v/>
      </c>
      <c r="P207" s="43" t="str">
        <f>IF(Trades!$A207="","",Trades!H207)</f>
        <v/>
      </c>
      <c r="Q207" s="41" t="str">
        <f>IF(Trades!$A207="","",Trades!P207)</f>
        <v/>
      </c>
      <c r="R207" s="45" t="str">
        <f t="shared" si="51"/>
        <v/>
      </c>
      <c r="S207" s="45" t="str">
        <f t="shared" si="52"/>
        <v/>
      </c>
      <c r="T207" s="46" t="str">
        <f>IF(OR($A207="",$B207=""),"",IF(AND(IFERROR(LOOKUP(2,1/($B$9:$B$206=$B207),$AR$9:$AR206),1),NOT(AND(OR($F207="dividend",$F207="fee"),IFERROR(LOOKUP(2,1/($B$9:$B$206=$B207),$T$9:$T206),0)&gt;0))),IFERROR(LOOKUP(2,1/($B$9:$B$206=$B207),$T$9:$T206),0)+1,IFERROR(LOOKUP(2,1/($B$9:$B$206=$B207),$T$9:$T206),0)))</f>
        <v/>
      </c>
      <c r="U207" s="47" t="str">
        <f t="shared" si="53"/>
        <v/>
      </c>
      <c r="V207" s="47" t="str">
        <f>IF($A207="","",IF(OR($B207="",$C207="",$D207="",$E207="",$F207=""),"Missing required field",IF(COUNTIFS($A$9:$A207,$A207,$B$9:$B207,$B207)&gt;1,"Duplicate event ID",IF(AND($E207&lt;&gt;IFERROR(LOOKUP(2,1/($B$9:$B$206=$B207),$E$9:$E206),0),IFERROR(LOOKUP(2,1/($B$9:$B$206=$B207),$E$9:$E206),0)&gt;$E207),"Date out of order",IF(AND(OR($F207="buy_to_close",$F207="expire",$F207="roll",$F207="assignment",$F207="called_away"),$AF207=0),"Unknown lot",IF(OR(AND($F207="assignment",$AF207&gt;0,IF($AF207&gt;0,INDEX($AG$9:$AG$206,$AF207),"")&lt;&gt;"put"),AND($F207="called_away",$AF207&gt;0,IF($AF207&gt;0,INDEX($AG$9:$AG$206,$AF207),"")&lt;&gt;"call")),"Wrong option leg",IF(OR(AND(OR($F207="sell_put",$F207="sell_call"),OR($H207&lt;=0,$I207&lt;=0,$J207&lt;0)),AND(OR($F207="buy_to_close",$F207="expire",$F207="assignment",$F207="called_away"),OR($H207&lt;=0,$J207&lt;0)),AND($F207="roll",OR($H207&lt;=0,$I207&lt;=0,$J207&lt;0,$K207&lt;0)),AND(OR($F207="buy_shares",$F207="sell_shares"),OR($L207&lt;=0,$M207&lt;0)),AND(OR($F207="dividend",$F207="fee"),$N207&lt;0)),"Invalid value",IF(AND(OR($F207="sell_shares",$F207="called_away"),$AL207&lt;IF($F207="called_away",$AE207*$D207,$L207)),"Insufficient shares (capped)",IF(AND(OR($F207="buy_to_close",$F207="expire",$F207="roll",$F207="assignment",$F207="called_away"),$AF207&gt;0,$H207&gt;IF($AF207&gt;0,MAX(0,INDEX($AI$9:$AI$206,$AF207)-SUMIFS($AE$9:$AE$206,$G$9:$G$206,$G207,$B$9:$B$206,$B207)),0)),"Close quantity capped","OK")))))))))</f>
        <v/>
      </c>
      <c r="W207" s="48" t="str">
        <f t="shared" si="54"/>
        <v/>
      </c>
      <c r="X207" s="49" t="str">
        <f t="shared" si="55"/>
        <v/>
      </c>
      <c r="Y207" s="50" t="str">
        <f t="shared" si="56"/>
        <v/>
      </c>
      <c r="Z207" s="50" t="str">
        <f t="shared" si="57"/>
        <v/>
      </c>
      <c r="AA207" s="50" t="str">
        <f t="shared" si="58"/>
        <v/>
      </c>
      <c r="AB207" s="50" t="str">
        <f t="shared" si="59"/>
        <v/>
      </c>
      <c r="AC207" s="50" t="str">
        <f>IF($A207="","",IF($F207="assignment",IF($AF207&gt;0,INDEX($AH$9:$AH$206,$AF207),0)*$AE207*$D207,IF($F207="buy_shares",$M207*$AL207,0)))</f>
        <v/>
      </c>
      <c r="AD207" s="50" t="str">
        <f>IF($A207="","",IF($F207="called_away",IF($AF207&gt;0,INDEX($AH$9:$AH$206,$AF207),0)*$AL207,IF($F207="sell_shares",$M207*$AL207,0)))</f>
        <v/>
      </c>
      <c r="AE207" s="51" t="str">
        <f>IF($A207="","",IF(OR($F207="sell_put",$F207="sell_call"),IF(AND($H207&gt;0,$I207&gt;0,$J207&gt;=0),$H207,0),IF(OR($F207="buy_to_close",$F207="expire",$F207="roll",$F207="assignment",$F207="called_away"),IF(AND($AF207&gt;0,$H207&gt;0,IF($F207="assignment",IF($AF207&gt;0,INDEX($AG$9:$AG$206,$AF207),"")="put",TRUE),IF($F207="called_away",IF($AF207&gt;0,INDEX($AG$9:$AG$206,$AF207),"")="call",TRUE)),MIN($H207,IF($AF207&gt;0,MAX(0,INDEX($AI$9:$AI$206,$AF207)-SUMIFS($AE$9:$AE$206,$G$9:$G$206,$G207,$B$9:$B$206,$B207)),0)),0),0)))</f>
        <v/>
      </c>
      <c r="AF207" t="str">
        <f>IF($A207="","",IFERROR(MATCH(LEN($B207)&amp;":"&amp;$B207&amp;$G207,$AY$9:$AY$206,0),0))</f>
        <v/>
      </c>
      <c r="AG207" t="str">
        <f>IF($A207="","",IF($F207="sell_put","put",IF($F207="sell_call","call",IF($F207="roll",IF($AF207&gt;0,IF($AF207&gt;0,INDEX($AG$9:$AG$206,$AF207),""),""),IF($AF207&gt;0,IF($AF207&gt;0,INDEX($AG$9:$AG$206,$AF207),""),"")))))</f>
        <v/>
      </c>
      <c r="AH207" t="str">
        <f>IF($A207="","",IF(OR($F207="sell_put",$F207="sell_call",$F207="roll"),$I207,IF($AF207&gt;0,IF($AF207&gt;0,INDEX($AH$9:$AH$206,$AF207),0),0)))</f>
        <v/>
      </c>
      <c r="AI207" s="51" t="str">
        <f t="shared" si="60"/>
        <v/>
      </c>
      <c r="AJ207" s="51" t="str">
        <f>IF($A207="","",IFERROR(LOOKUP(2,1/($B$9:$B$206=$B207),$AM$9:$AM206),0))</f>
        <v/>
      </c>
      <c r="AK207" t="str">
        <f>IF($A207="","",IFERROR(LOOKUP(2,1/($B$9:$B$206=$B207),$AN$9:$AN206),0))</f>
        <v/>
      </c>
      <c r="AL207" s="51" t="str">
        <f t="shared" si="61"/>
        <v/>
      </c>
      <c r="AM207" s="51" t="str">
        <f t="shared" si="62"/>
        <v/>
      </c>
      <c r="AN207" t="str">
        <f t="shared" si="63"/>
        <v/>
      </c>
      <c r="AO207" s="50" t="str">
        <f>IF($A207="","",IFERROR(LOOKUP(2,1/($B$9:$B$206=$B207),$AO$9:$AO206),0)+IF($F207="sell_put",$I207*$AE207*$D207,IF($F207="roll",IF($AG207="put",($I207-IF($AF207&gt;0,INDEX($AH$9:$AH$206,$AF207),0))*$AE207*$D207,0),IF(AND(OR($F207="buy_to_close",$F207="expire",$F207="roll",$F207="assignment",$F207="called_away"),$F207&lt;&gt;"roll",$AG207="put"),-IF($AF207&gt;0,INDEX($AH$9:$AH$206,$AF207),0)*$AE207*$D207,0))))</f>
        <v/>
      </c>
      <c r="AP207" s="51" t="str">
        <f>IF($A207="","",IFERROR(LOOKUP(2,1/($B$9:$B$206=$B207),$AP$9:$AP206),0)+IF($F207="sell_put",$AE207*$D207,IF(AND(OR($F207="buy_to_close",$F207="expire",$F207="roll",$F207="assignment",$F207="called_away"),$F207&lt;&gt;"roll",$AG207="put"),-$AE207*$D207,0)))</f>
        <v/>
      </c>
      <c r="AQ207" s="51" t="str">
        <f>IF($A207="","",IFERROR(LOOKUP(2,1/($B$9:$B$206=$B207),$AQ$9:$AQ206),0)+IF(OR($F207="sell_put",$F207="sell_call"),$AE207,0)-IF(AND(OR($F207="buy_to_close",$F207="expire",$F207="roll",$F207="assignment",$F207="called_away"),$F207&lt;&gt;"roll"),$AE207,0))</f>
        <v/>
      </c>
      <c r="AR207" t="str">
        <f t="shared" si="64"/>
        <v/>
      </c>
      <c r="AS207" s="50" t="str">
        <f t="shared" si="65"/>
        <v/>
      </c>
      <c r="AT207" s="50" t="str">
        <f>IF($A207="","",MAX(IF($T207=IFERROR(LOOKUP(2,1/($B$9:$B$206=$B207),$T$9:$T206),0),IFERROR(LOOKUP(2,1/($B$9:$B$206=$B207),$AT$9:$AT206),0),0),$AS207))</f>
        <v/>
      </c>
      <c r="AU207" t="str">
        <f t="shared" si="66"/>
        <v/>
      </c>
      <c r="AV207" s="51">
        <f>IF($AU207="",0,IF(AND(IFERROR(LOOKUP(2,1/($B$9:$B$206=$B207),$AR$9:$AR206),1),NOT(AND(OR($F207="dividend",$F207="fee"),IFERROR(LOOKUP(2,1/($B$9:$B$206=$B207),$T$9:$T206),0)&gt;0))),ROW(),0))</f>
        <v>0</v>
      </c>
      <c r="AW207">
        <f>IF($A207="",0,IF($AV207&gt;0,MAX($AW$9:$AW$206)+1,MAX($AW$9:$AW$206)))</f>
        <v>0</v>
      </c>
      <c r="AX207">
        <f>IF($AU207="",0,IF(AND($AR207,OR(NOT(IFERROR(LOOKUP(2,1/($B$9:$B$206=$B207),$AR$9:$AR206),1)),IFERROR(LOOKUP(2,1/($B$9:$B$206=$B207),$T$9:$T206),0)=0)),ROW(),0))</f>
        <v>0</v>
      </c>
      <c r="AY207" t="str">
        <f t="shared" si="67"/>
        <v/>
      </c>
    </row>
    <row r="208" spans="1:51" ht="15" x14ac:dyDescent="0.25">
      <c r="A208" s="52" t="str">
        <f>IF(Trades!$A208="","",Trades!O208)</f>
        <v/>
      </c>
      <c r="B208" s="52" t="str">
        <f>IF(Trades!$A208="","",Trades!B208)</f>
        <v/>
      </c>
      <c r="C208" s="52" t="str">
        <f>IF(Trades!$A208="","",Trades!C208)</f>
        <v/>
      </c>
      <c r="D208" s="53" t="str">
        <f>IF(Trades!$A208="","",IF(Trades!$L208&gt;0,Trades!$L208,Trades!$C$6))</f>
        <v/>
      </c>
      <c r="E208" s="54" t="str">
        <f>IF(Trades!$A208="","",Trades!A208)</f>
        <v/>
      </c>
      <c r="F208" s="52" t="str">
        <f>IF(Trades!$A208="","",IFERROR(INDEX(Trades!$V$2:$V$14,MATCH(Trades!$E208,Trades!$U$2:$U$14,0)),""))</f>
        <v/>
      </c>
      <c r="G208" s="52" t="str">
        <f>IF(Trades!$A208="","",Trades!N208)</f>
        <v/>
      </c>
      <c r="H208" s="53" t="str">
        <f>IF(Trades!$A208="","",Trades!F208)</f>
        <v/>
      </c>
      <c r="I208" s="55" t="str">
        <f>IF(Trades!$A208="","",Trades!G208)</f>
        <v/>
      </c>
      <c r="J208" s="55" t="str">
        <f>IF(Trades!$A208="","",Trades!I208)</f>
        <v/>
      </c>
      <c r="K208" s="55" t="str">
        <f>IF(Trades!$A208="","",Trades!Q208)</f>
        <v/>
      </c>
      <c r="L208" s="53" t="str">
        <f>IF(Trades!$A208="","",Trades!F208)</f>
        <v/>
      </c>
      <c r="M208" s="55" t="str">
        <f>IF(Trades!$A208="","",Trades!M208)</f>
        <v/>
      </c>
      <c r="N208" s="55" t="str">
        <f>IF(Trades!$A208="","",Trades!R208)</f>
        <v/>
      </c>
      <c r="O208" s="55" t="str">
        <f>IF(Trades!$A208="","",Trades!J208)</f>
        <v/>
      </c>
      <c r="P208" s="54" t="str">
        <f>IF(Trades!$A208="","",Trades!H208)</f>
        <v/>
      </c>
      <c r="Q208" s="52" t="str">
        <f>IF(Trades!$A208="","",Trades!P208)</f>
        <v/>
      </c>
      <c r="R208" s="56" t="str">
        <f t="shared" si="51"/>
        <v/>
      </c>
      <c r="S208" s="56" t="str">
        <f t="shared" si="52"/>
        <v/>
      </c>
      <c r="T208" s="57" t="str">
        <f>IF(OR($A208="",$B208=""),"",IF(AND(IFERROR(LOOKUP(2,1/($B$9:$B$207=$B208),$AR$9:$AR207),1),NOT(AND(OR($F208="dividend",$F208="fee"),IFERROR(LOOKUP(2,1/($B$9:$B$207=$B208),$T$9:$T207),0)&gt;0))),IFERROR(LOOKUP(2,1/($B$9:$B$207=$B208),$T$9:$T207),0)+1,IFERROR(LOOKUP(2,1/($B$9:$B$207=$B208),$T$9:$T207),0)))</f>
        <v/>
      </c>
      <c r="U208" s="58" t="str">
        <f t="shared" si="53"/>
        <v/>
      </c>
      <c r="V208" s="58" t="str">
        <f>IF($A208="","",IF(OR($B208="",$C208="",$D208="",$E208="",$F208=""),"Missing required field",IF(COUNTIFS($A$9:$A208,$A208,$B$9:$B208,$B208)&gt;1,"Duplicate event ID",IF(AND($E208&lt;&gt;IFERROR(LOOKUP(2,1/($B$9:$B$207=$B208),$E$9:$E207),0),IFERROR(LOOKUP(2,1/($B$9:$B$207=$B208),$E$9:$E207),0)&gt;$E208),"Date out of order",IF(AND(OR($F208="buy_to_close",$F208="expire",$F208="roll",$F208="assignment",$F208="called_away"),$AF208=0),"Unknown lot",IF(OR(AND($F208="assignment",$AF208&gt;0,IF($AF208&gt;0,INDEX($AG$9:$AG$207,$AF208),"")&lt;&gt;"put"),AND($F208="called_away",$AF208&gt;0,IF($AF208&gt;0,INDEX($AG$9:$AG$207,$AF208),"")&lt;&gt;"call")),"Wrong option leg",IF(OR(AND(OR($F208="sell_put",$F208="sell_call"),OR($H208&lt;=0,$I208&lt;=0,$J208&lt;0)),AND(OR($F208="buy_to_close",$F208="expire",$F208="assignment",$F208="called_away"),OR($H208&lt;=0,$J208&lt;0)),AND($F208="roll",OR($H208&lt;=0,$I208&lt;=0,$J208&lt;0,$K208&lt;0)),AND(OR($F208="buy_shares",$F208="sell_shares"),OR($L208&lt;=0,$M208&lt;0)),AND(OR($F208="dividend",$F208="fee"),$N208&lt;0)),"Invalid value",IF(AND(OR($F208="sell_shares",$F208="called_away"),$AL208&lt;IF($F208="called_away",$AE208*$D208,$L208)),"Insufficient shares (capped)",IF(AND(OR($F208="buy_to_close",$F208="expire",$F208="roll",$F208="assignment",$F208="called_away"),$AF208&gt;0,$H208&gt;IF($AF208&gt;0,MAX(0,INDEX($AI$9:$AI$207,$AF208)-SUMIFS($AE$9:$AE$207,$G$9:$G$207,$G208,$B$9:$B$207,$B208)),0)),"Close quantity capped","OK")))))))))</f>
        <v/>
      </c>
      <c r="W208" s="59" t="str">
        <f t="shared" si="54"/>
        <v/>
      </c>
      <c r="X208" s="60" t="str">
        <f t="shared" si="55"/>
        <v/>
      </c>
      <c r="Y208" s="50" t="str">
        <f t="shared" si="56"/>
        <v/>
      </c>
      <c r="Z208" s="50" t="str">
        <f t="shared" si="57"/>
        <v/>
      </c>
      <c r="AA208" s="50" t="str">
        <f t="shared" si="58"/>
        <v/>
      </c>
      <c r="AB208" s="50" t="str">
        <f t="shared" si="59"/>
        <v/>
      </c>
      <c r="AC208" s="50" t="str">
        <f>IF($A208="","",IF($F208="assignment",IF($AF208&gt;0,INDEX($AH$9:$AH$207,$AF208),0)*$AE208*$D208,IF($F208="buy_shares",$M208*$AL208,0)))</f>
        <v/>
      </c>
      <c r="AD208" s="50" t="str">
        <f>IF($A208="","",IF($F208="called_away",IF($AF208&gt;0,INDEX($AH$9:$AH$207,$AF208),0)*$AL208,IF($F208="sell_shares",$M208*$AL208,0)))</f>
        <v/>
      </c>
      <c r="AE208" s="51" t="str">
        <f>IF($A208="","",IF(OR($F208="sell_put",$F208="sell_call"),IF(AND($H208&gt;0,$I208&gt;0,$J208&gt;=0),$H208,0),IF(OR($F208="buy_to_close",$F208="expire",$F208="roll",$F208="assignment",$F208="called_away"),IF(AND($AF208&gt;0,$H208&gt;0,IF($F208="assignment",IF($AF208&gt;0,INDEX($AG$9:$AG$207,$AF208),"")="put",TRUE),IF($F208="called_away",IF($AF208&gt;0,INDEX($AG$9:$AG$207,$AF208),"")="call",TRUE)),MIN($H208,IF($AF208&gt;0,MAX(0,INDEX($AI$9:$AI$207,$AF208)-SUMIFS($AE$9:$AE$207,$G$9:$G$207,$G208,$B$9:$B$207,$B208)),0)),0),0)))</f>
        <v/>
      </c>
      <c r="AF208" t="str">
        <f>IF($A208="","",IFERROR(MATCH(LEN($B208)&amp;":"&amp;$B208&amp;$G208,$AY$9:$AY$207,0),0))</f>
        <v/>
      </c>
      <c r="AG208" t="str">
        <f>IF($A208="","",IF($F208="sell_put","put",IF($F208="sell_call","call",IF($F208="roll",IF($AF208&gt;0,IF($AF208&gt;0,INDEX($AG$9:$AG$207,$AF208),""),""),IF($AF208&gt;0,IF($AF208&gt;0,INDEX($AG$9:$AG$207,$AF208),""),"")))))</f>
        <v/>
      </c>
      <c r="AH208" t="str">
        <f>IF($A208="","",IF(OR($F208="sell_put",$F208="sell_call",$F208="roll"),$I208,IF($AF208&gt;0,IF($AF208&gt;0,INDEX($AH$9:$AH$207,$AF208),0),0)))</f>
        <v/>
      </c>
      <c r="AI208" s="51" t="str">
        <f t="shared" si="60"/>
        <v/>
      </c>
      <c r="AJ208" s="51" t="str">
        <f>IF($A208="","",IFERROR(LOOKUP(2,1/($B$9:$B$207=$B208),$AM$9:$AM207),0))</f>
        <v/>
      </c>
      <c r="AK208" t="str">
        <f>IF($A208="","",IFERROR(LOOKUP(2,1/($B$9:$B$207=$B208),$AN$9:$AN207),0))</f>
        <v/>
      </c>
      <c r="AL208" s="51" t="str">
        <f t="shared" si="61"/>
        <v/>
      </c>
      <c r="AM208" s="51" t="str">
        <f t="shared" si="62"/>
        <v/>
      </c>
      <c r="AN208" t="str">
        <f t="shared" si="63"/>
        <v/>
      </c>
      <c r="AO208" s="50" t="str">
        <f>IF($A208="","",IFERROR(LOOKUP(2,1/($B$9:$B$207=$B208),$AO$9:$AO207),0)+IF($F208="sell_put",$I208*$AE208*$D208,IF($F208="roll",IF($AG208="put",($I208-IF($AF208&gt;0,INDEX($AH$9:$AH$207,$AF208),0))*$AE208*$D208,0),IF(AND(OR($F208="buy_to_close",$F208="expire",$F208="roll",$F208="assignment",$F208="called_away"),$F208&lt;&gt;"roll",$AG208="put"),-IF($AF208&gt;0,INDEX($AH$9:$AH$207,$AF208),0)*$AE208*$D208,0))))</f>
        <v/>
      </c>
      <c r="AP208" s="51" t="str">
        <f>IF($A208="","",IFERROR(LOOKUP(2,1/($B$9:$B$207=$B208),$AP$9:$AP207),0)+IF($F208="sell_put",$AE208*$D208,IF(AND(OR($F208="buy_to_close",$F208="expire",$F208="roll",$F208="assignment",$F208="called_away"),$F208&lt;&gt;"roll",$AG208="put"),-$AE208*$D208,0)))</f>
        <v/>
      </c>
      <c r="AQ208" s="51" t="str">
        <f>IF($A208="","",IFERROR(LOOKUP(2,1/($B$9:$B$207=$B208),$AQ$9:$AQ207),0)+IF(OR($F208="sell_put",$F208="sell_call"),$AE208,0)-IF(AND(OR($F208="buy_to_close",$F208="expire",$F208="roll",$F208="assignment",$F208="called_away"),$F208&lt;&gt;"roll"),$AE208,0))</f>
        <v/>
      </c>
      <c r="AR208" t="str">
        <f t="shared" si="64"/>
        <v/>
      </c>
      <c r="AS208" s="50" t="str">
        <f t="shared" si="65"/>
        <v/>
      </c>
      <c r="AT208" s="50" t="str">
        <f>IF($A208="","",MAX(IF($T208=IFERROR(LOOKUP(2,1/($B$9:$B$207=$B208),$T$9:$T207),0),IFERROR(LOOKUP(2,1/($B$9:$B$207=$B208),$AT$9:$AT207),0),0),$AS208))</f>
        <v/>
      </c>
      <c r="AU208" t="str">
        <f t="shared" si="66"/>
        <v/>
      </c>
      <c r="AV208" s="51">
        <f>IF($AU208="",0,IF(AND(IFERROR(LOOKUP(2,1/($B$9:$B$207=$B208),$AR$9:$AR207),1),NOT(AND(OR($F208="dividend",$F208="fee"),IFERROR(LOOKUP(2,1/($B$9:$B$207=$B208),$T$9:$T207),0)&gt;0))),ROW(),0))</f>
        <v>0</v>
      </c>
      <c r="AW208">
        <f>IF($A208="",0,IF($AV208&gt;0,MAX($AW$9:$AW$207)+1,MAX($AW$9:$AW$207)))</f>
        <v>0</v>
      </c>
      <c r="AX208">
        <f>IF($AU208="",0,IF(AND($AR208,OR(NOT(IFERROR(LOOKUP(2,1/($B$9:$B$207=$B208),$AR$9:$AR207),1)),IFERROR(LOOKUP(2,1/($B$9:$B$207=$B208),$T$9:$T207),0)=0)),ROW(),0))</f>
        <v>0</v>
      </c>
      <c r="AY208" t="str">
        <f t="shared" si="67"/>
        <v/>
      </c>
    </row>
    <row r="209" spans="1:51" ht="15" x14ac:dyDescent="0.25">
      <c r="A209" s="41" t="str">
        <f>IF(Trades!$A209="","",Trades!O209)</f>
        <v/>
      </c>
      <c r="B209" s="41" t="str">
        <f>IF(Trades!$A209="","",Trades!B209)</f>
        <v/>
      </c>
      <c r="C209" s="41" t="str">
        <f>IF(Trades!$A209="","",Trades!C209)</f>
        <v/>
      </c>
      <c r="D209" s="42" t="str">
        <f>IF(Trades!$A209="","",IF(Trades!$L209&gt;0,Trades!$L209,Trades!$C$6))</f>
        <v/>
      </c>
      <c r="E209" s="43" t="str">
        <f>IF(Trades!$A209="","",Trades!A209)</f>
        <v/>
      </c>
      <c r="F209" s="41" t="str">
        <f>IF(Trades!$A209="","",IFERROR(INDEX(Trades!$V$2:$V$14,MATCH(Trades!$E209,Trades!$U$2:$U$14,0)),""))</f>
        <v/>
      </c>
      <c r="G209" s="41" t="str">
        <f>IF(Trades!$A209="","",Trades!N209)</f>
        <v/>
      </c>
      <c r="H209" s="42" t="str">
        <f>IF(Trades!$A209="","",Trades!F209)</f>
        <v/>
      </c>
      <c r="I209" s="44" t="str">
        <f>IF(Trades!$A209="","",Trades!G209)</f>
        <v/>
      </c>
      <c r="J209" s="44" t="str">
        <f>IF(Trades!$A209="","",Trades!I209)</f>
        <v/>
      </c>
      <c r="K209" s="44" t="str">
        <f>IF(Trades!$A209="","",Trades!Q209)</f>
        <v/>
      </c>
      <c r="L209" s="42" t="str">
        <f>IF(Trades!$A209="","",Trades!F209)</f>
        <v/>
      </c>
      <c r="M209" s="44" t="str">
        <f>IF(Trades!$A209="","",Trades!M209)</f>
        <v/>
      </c>
      <c r="N209" s="44" t="str">
        <f>IF(Trades!$A209="","",Trades!R209)</f>
        <v/>
      </c>
      <c r="O209" s="44" t="str">
        <f>IF(Trades!$A209="","",Trades!J209)</f>
        <v/>
      </c>
      <c r="P209" s="43" t="str">
        <f>IF(Trades!$A209="","",Trades!H209)</f>
        <v/>
      </c>
      <c r="Q209" s="41" t="str">
        <f>IF(Trades!$A209="","",Trades!P209)</f>
        <v/>
      </c>
      <c r="R209" s="45" t="str">
        <f t="shared" si="51"/>
        <v/>
      </c>
      <c r="S209" s="45" t="str">
        <f t="shared" si="52"/>
        <v/>
      </c>
      <c r="T209" s="46" t="str">
        <f>IF(OR($A209="",$B209=""),"",IF(AND(IFERROR(LOOKUP(2,1/($B$9:$B$208=$B209),$AR$9:$AR208),1),NOT(AND(OR($F209="dividend",$F209="fee"),IFERROR(LOOKUP(2,1/($B$9:$B$208=$B209),$T$9:$T208),0)&gt;0))),IFERROR(LOOKUP(2,1/($B$9:$B$208=$B209),$T$9:$T208),0)+1,IFERROR(LOOKUP(2,1/($B$9:$B$208=$B209),$T$9:$T208),0)))</f>
        <v/>
      </c>
      <c r="U209" s="47" t="str">
        <f t="shared" si="53"/>
        <v/>
      </c>
      <c r="V209" s="47" t="str">
        <f>IF($A209="","",IF(OR($B209="",$C209="",$D209="",$E209="",$F209=""),"Missing required field",IF(COUNTIFS($A$9:$A209,$A209,$B$9:$B209,$B209)&gt;1,"Duplicate event ID",IF(AND($E209&lt;&gt;IFERROR(LOOKUP(2,1/($B$9:$B$208=$B209),$E$9:$E208),0),IFERROR(LOOKUP(2,1/($B$9:$B$208=$B209),$E$9:$E208),0)&gt;$E209),"Date out of order",IF(AND(OR($F209="buy_to_close",$F209="expire",$F209="roll",$F209="assignment",$F209="called_away"),$AF209=0),"Unknown lot",IF(OR(AND($F209="assignment",$AF209&gt;0,IF($AF209&gt;0,INDEX($AG$9:$AG$208,$AF209),"")&lt;&gt;"put"),AND($F209="called_away",$AF209&gt;0,IF($AF209&gt;0,INDEX($AG$9:$AG$208,$AF209),"")&lt;&gt;"call")),"Wrong option leg",IF(OR(AND(OR($F209="sell_put",$F209="sell_call"),OR($H209&lt;=0,$I209&lt;=0,$J209&lt;0)),AND(OR($F209="buy_to_close",$F209="expire",$F209="assignment",$F209="called_away"),OR($H209&lt;=0,$J209&lt;0)),AND($F209="roll",OR($H209&lt;=0,$I209&lt;=0,$J209&lt;0,$K209&lt;0)),AND(OR($F209="buy_shares",$F209="sell_shares"),OR($L209&lt;=0,$M209&lt;0)),AND(OR($F209="dividend",$F209="fee"),$N209&lt;0)),"Invalid value",IF(AND(OR($F209="sell_shares",$F209="called_away"),$AL209&lt;IF($F209="called_away",$AE209*$D209,$L209)),"Insufficient shares (capped)",IF(AND(OR($F209="buy_to_close",$F209="expire",$F209="roll",$F209="assignment",$F209="called_away"),$AF209&gt;0,$H209&gt;IF($AF209&gt;0,MAX(0,INDEX($AI$9:$AI$208,$AF209)-SUMIFS($AE$9:$AE$208,$G$9:$G$208,$G209,$B$9:$B$208,$B209)),0)),"Close quantity capped","OK")))))))))</f>
        <v/>
      </c>
      <c r="W209" s="48" t="str">
        <f t="shared" si="54"/>
        <v/>
      </c>
      <c r="X209" s="49" t="str">
        <f t="shared" si="55"/>
        <v/>
      </c>
      <c r="Y209" s="50" t="str">
        <f t="shared" si="56"/>
        <v/>
      </c>
      <c r="Z209" s="50" t="str">
        <f t="shared" si="57"/>
        <v/>
      </c>
      <c r="AA209" s="50" t="str">
        <f t="shared" si="58"/>
        <v/>
      </c>
      <c r="AB209" s="50" t="str">
        <f t="shared" si="59"/>
        <v/>
      </c>
      <c r="AC209" s="50" t="str">
        <f>IF($A209="","",IF($F209="assignment",IF($AF209&gt;0,INDEX($AH$9:$AH$208,$AF209),0)*$AE209*$D209,IF($F209="buy_shares",$M209*$AL209,0)))</f>
        <v/>
      </c>
      <c r="AD209" s="50" t="str">
        <f>IF($A209="","",IF($F209="called_away",IF($AF209&gt;0,INDEX($AH$9:$AH$208,$AF209),0)*$AL209,IF($F209="sell_shares",$M209*$AL209,0)))</f>
        <v/>
      </c>
      <c r="AE209" s="51" t="str">
        <f>IF($A209="","",IF(OR($F209="sell_put",$F209="sell_call"),IF(AND($H209&gt;0,$I209&gt;0,$J209&gt;=0),$H209,0),IF(OR($F209="buy_to_close",$F209="expire",$F209="roll",$F209="assignment",$F209="called_away"),IF(AND($AF209&gt;0,$H209&gt;0,IF($F209="assignment",IF($AF209&gt;0,INDEX($AG$9:$AG$208,$AF209),"")="put",TRUE),IF($F209="called_away",IF($AF209&gt;0,INDEX($AG$9:$AG$208,$AF209),"")="call",TRUE)),MIN($H209,IF($AF209&gt;0,MAX(0,INDEX($AI$9:$AI$208,$AF209)-SUMIFS($AE$9:$AE$208,$G$9:$G$208,$G209,$B$9:$B$208,$B209)),0)),0),0)))</f>
        <v/>
      </c>
      <c r="AF209" t="str">
        <f>IF($A209="","",IFERROR(MATCH(LEN($B209)&amp;":"&amp;$B209&amp;$G209,$AY$9:$AY$208,0),0))</f>
        <v/>
      </c>
      <c r="AG209" t="str">
        <f>IF($A209="","",IF($F209="sell_put","put",IF($F209="sell_call","call",IF($F209="roll",IF($AF209&gt;0,IF($AF209&gt;0,INDEX($AG$9:$AG$208,$AF209),""),""),IF($AF209&gt;0,IF($AF209&gt;0,INDEX($AG$9:$AG$208,$AF209),""),"")))))</f>
        <v/>
      </c>
      <c r="AH209" t="str">
        <f>IF($A209="","",IF(OR($F209="sell_put",$F209="sell_call",$F209="roll"),$I209,IF($AF209&gt;0,IF($AF209&gt;0,INDEX($AH$9:$AH$208,$AF209),0),0)))</f>
        <v/>
      </c>
      <c r="AI209" s="51" t="str">
        <f t="shared" si="60"/>
        <v/>
      </c>
      <c r="AJ209" s="51" t="str">
        <f>IF($A209="","",IFERROR(LOOKUP(2,1/($B$9:$B$208=$B209),$AM$9:$AM208),0))</f>
        <v/>
      </c>
      <c r="AK209" t="str">
        <f>IF($A209="","",IFERROR(LOOKUP(2,1/($B$9:$B$208=$B209),$AN$9:$AN208),0))</f>
        <v/>
      </c>
      <c r="AL209" s="51" t="str">
        <f t="shared" si="61"/>
        <v/>
      </c>
      <c r="AM209" s="51" t="str">
        <f t="shared" si="62"/>
        <v/>
      </c>
      <c r="AN209" t="str">
        <f t="shared" si="63"/>
        <v/>
      </c>
      <c r="AO209" s="50" t="str">
        <f>IF($A209="","",IFERROR(LOOKUP(2,1/($B$9:$B$208=$B209),$AO$9:$AO208),0)+IF($F209="sell_put",$I209*$AE209*$D209,IF($F209="roll",IF($AG209="put",($I209-IF($AF209&gt;0,INDEX($AH$9:$AH$208,$AF209),0))*$AE209*$D209,0),IF(AND(OR($F209="buy_to_close",$F209="expire",$F209="roll",$F209="assignment",$F209="called_away"),$F209&lt;&gt;"roll",$AG209="put"),-IF($AF209&gt;0,INDEX($AH$9:$AH$208,$AF209),0)*$AE209*$D209,0))))</f>
        <v/>
      </c>
      <c r="AP209" s="51" t="str">
        <f>IF($A209="","",IFERROR(LOOKUP(2,1/($B$9:$B$208=$B209),$AP$9:$AP208),0)+IF($F209="sell_put",$AE209*$D209,IF(AND(OR($F209="buy_to_close",$F209="expire",$F209="roll",$F209="assignment",$F209="called_away"),$F209&lt;&gt;"roll",$AG209="put"),-$AE209*$D209,0)))</f>
        <v/>
      </c>
      <c r="AQ209" s="51" t="str">
        <f>IF($A209="","",IFERROR(LOOKUP(2,1/($B$9:$B$208=$B209),$AQ$9:$AQ208),0)+IF(OR($F209="sell_put",$F209="sell_call"),$AE209,0)-IF(AND(OR($F209="buy_to_close",$F209="expire",$F209="roll",$F209="assignment",$F209="called_away"),$F209&lt;&gt;"roll"),$AE209,0))</f>
        <v/>
      </c>
      <c r="AR209" t="str">
        <f t="shared" si="64"/>
        <v/>
      </c>
      <c r="AS209" s="50" t="str">
        <f t="shared" si="65"/>
        <v/>
      </c>
      <c r="AT209" s="50" t="str">
        <f>IF($A209="","",MAX(IF($T209=IFERROR(LOOKUP(2,1/($B$9:$B$208=$B209),$T$9:$T208),0),IFERROR(LOOKUP(2,1/($B$9:$B$208=$B209),$AT$9:$AT208),0),0),$AS209))</f>
        <v/>
      </c>
      <c r="AU209" t="str">
        <f t="shared" si="66"/>
        <v/>
      </c>
      <c r="AV209" s="51">
        <f>IF($AU209="",0,IF(AND(IFERROR(LOOKUP(2,1/($B$9:$B$208=$B209),$AR$9:$AR208),1),NOT(AND(OR($F209="dividend",$F209="fee"),IFERROR(LOOKUP(2,1/($B$9:$B$208=$B209),$T$9:$T208),0)&gt;0))),ROW(),0))</f>
        <v>0</v>
      </c>
      <c r="AW209">
        <f>IF($A209="",0,IF($AV209&gt;0,MAX($AW$9:$AW$208)+1,MAX($AW$9:$AW$208)))</f>
        <v>0</v>
      </c>
      <c r="AX209">
        <f>IF($AU209="",0,IF(AND($AR209,OR(NOT(IFERROR(LOOKUP(2,1/($B$9:$B$208=$B209),$AR$9:$AR208),1)),IFERROR(LOOKUP(2,1/($B$9:$B$208=$B209),$T$9:$T208),0)=0)),ROW(),0))</f>
        <v>0</v>
      </c>
      <c r="AY209" t="str">
        <f t="shared" si="67"/>
        <v/>
      </c>
    </row>
    <row r="210" spans="1:51" ht="15" x14ac:dyDescent="0.25">
      <c r="A210" s="52" t="str">
        <f>IF(Trades!$A210="","",Trades!O210)</f>
        <v/>
      </c>
      <c r="B210" s="52" t="str">
        <f>IF(Trades!$A210="","",Trades!B210)</f>
        <v/>
      </c>
      <c r="C210" s="52" t="str">
        <f>IF(Trades!$A210="","",Trades!C210)</f>
        <v/>
      </c>
      <c r="D210" s="53" t="str">
        <f>IF(Trades!$A210="","",IF(Trades!$L210&gt;0,Trades!$L210,Trades!$C$6))</f>
        <v/>
      </c>
      <c r="E210" s="54" t="str">
        <f>IF(Trades!$A210="","",Trades!A210)</f>
        <v/>
      </c>
      <c r="F210" s="52" t="str">
        <f>IF(Trades!$A210="","",IFERROR(INDEX(Trades!$V$2:$V$14,MATCH(Trades!$E210,Trades!$U$2:$U$14,0)),""))</f>
        <v/>
      </c>
      <c r="G210" s="52" t="str">
        <f>IF(Trades!$A210="","",Trades!N210)</f>
        <v/>
      </c>
      <c r="H210" s="53" t="str">
        <f>IF(Trades!$A210="","",Trades!F210)</f>
        <v/>
      </c>
      <c r="I210" s="55" t="str">
        <f>IF(Trades!$A210="","",Trades!G210)</f>
        <v/>
      </c>
      <c r="J210" s="55" t="str">
        <f>IF(Trades!$A210="","",Trades!I210)</f>
        <v/>
      </c>
      <c r="K210" s="55" t="str">
        <f>IF(Trades!$A210="","",Trades!Q210)</f>
        <v/>
      </c>
      <c r="L210" s="53" t="str">
        <f>IF(Trades!$A210="","",Trades!F210)</f>
        <v/>
      </c>
      <c r="M210" s="55" t="str">
        <f>IF(Trades!$A210="","",Trades!M210)</f>
        <v/>
      </c>
      <c r="N210" s="55" t="str">
        <f>IF(Trades!$A210="","",Trades!R210)</f>
        <v/>
      </c>
      <c r="O210" s="55" t="str">
        <f>IF(Trades!$A210="","",Trades!J210)</f>
        <v/>
      </c>
      <c r="P210" s="54" t="str">
        <f>IF(Trades!$A210="","",Trades!H210)</f>
        <v/>
      </c>
      <c r="Q210" s="52" t="str">
        <f>IF(Trades!$A210="","",Trades!P210)</f>
        <v/>
      </c>
      <c r="R210" s="56" t="str">
        <f t="shared" si="51"/>
        <v/>
      </c>
      <c r="S210" s="56" t="str">
        <f t="shared" si="52"/>
        <v/>
      </c>
      <c r="T210" s="57" t="str">
        <f>IF(OR($A210="",$B210=""),"",IF(AND(IFERROR(LOOKUP(2,1/($B$9:$B$209=$B210),$AR$9:$AR209),1),NOT(AND(OR($F210="dividend",$F210="fee"),IFERROR(LOOKUP(2,1/($B$9:$B$209=$B210),$T$9:$T209),0)&gt;0))),IFERROR(LOOKUP(2,1/($B$9:$B$209=$B210),$T$9:$T209),0)+1,IFERROR(LOOKUP(2,1/($B$9:$B$209=$B210),$T$9:$T209),0)))</f>
        <v/>
      </c>
      <c r="U210" s="58" t="str">
        <f t="shared" si="53"/>
        <v/>
      </c>
      <c r="V210" s="58" t="str">
        <f>IF($A210="","",IF(OR($B210="",$C210="",$D210="",$E210="",$F210=""),"Missing required field",IF(COUNTIFS($A$9:$A210,$A210,$B$9:$B210,$B210)&gt;1,"Duplicate event ID",IF(AND($E210&lt;&gt;IFERROR(LOOKUP(2,1/($B$9:$B$209=$B210),$E$9:$E209),0),IFERROR(LOOKUP(2,1/($B$9:$B$209=$B210),$E$9:$E209),0)&gt;$E210),"Date out of order",IF(AND(OR($F210="buy_to_close",$F210="expire",$F210="roll",$F210="assignment",$F210="called_away"),$AF210=0),"Unknown lot",IF(OR(AND($F210="assignment",$AF210&gt;0,IF($AF210&gt;0,INDEX($AG$9:$AG$209,$AF210),"")&lt;&gt;"put"),AND($F210="called_away",$AF210&gt;0,IF($AF210&gt;0,INDEX($AG$9:$AG$209,$AF210),"")&lt;&gt;"call")),"Wrong option leg",IF(OR(AND(OR($F210="sell_put",$F210="sell_call"),OR($H210&lt;=0,$I210&lt;=0,$J210&lt;0)),AND(OR($F210="buy_to_close",$F210="expire",$F210="assignment",$F210="called_away"),OR($H210&lt;=0,$J210&lt;0)),AND($F210="roll",OR($H210&lt;=0,$I210&lt;=0,$J210&lt;0,$K210&lt;0)),AND(OR($F210="buy_shares",$F210="sell_shares"),OR($L210&lt;=0,$M210&lt;0)),AND(OR($F210="dividend",$F210="fee"),$N210&lt;0)),"Invalid value",IF(AND(OR($F210="sell_shares",$F210="called_away"),$AL210&lt;IF($F210="called_away",$AE210*$D210,$L210)),"Insufficient shares (capped)",IF(AND(OR($F210="buy_to_close",$F210="expire",$F210="roll",$F210="assignment",$F210="called_away"),$AF210&gt;0,$H210&gt;IF($AF210&gt;0,MAX(0,INDEX($AI$9:$AI$209,$AF210)-SUMIFS($AE$9:$AE$209,$G$9:$G$209,$G210,$B$9:$B$209,$B210)),0)),"Close quantity capped","OK")))))))))</f>
        <v/>
      </c>
      <c r="W210" s="59" t="str">
        <f t="shared" si="54"/>
        <v/>
      </c>
      <c r="X210" s="60" t="str">
        <f t="shared" si="55"/>
        <v/>
      </c>
      <c r="Y210" s="50" t="str">
        <f t="shared" si="56"/>
        <v/>
      </c>
      <c r="Z210" s="50" t="str">
        <f t="shared" si="57"/>
        <v/>
      </c>
      <c r="AA210" s="50" t="str">
        <f t="shared" si="58"/>
        <v/>
      </c>
      <c r="AB210" s="50" t="str">
        <f t="shared" si="59"/>
        <v/>
      </c>
      <c r="AC210" s="50" t="str">
        <f>IF($A210="","",IF($F210="assignment",IF($AF210&gt;0,INDEX($AH$9:$AH$209,$AF210),0)*$AE210*$D210,IF($F210="buy_shares",$M210*$AL210,0)))</f>
        <v/>
      </c>
      <c r="AD210" s="50" t="str">
        <f>IF($A210="","",IF($F210="called_away",IF($AF210&gt;0,INDEX($AH$9:$AH$209,$AF210),0)*$AL210,IF($F210="sell_shares",$M210*$AL210,0)))</f>
        <v/>
      </c>
      <c r="AE210" s="51" t="str">
        <f>IF($A210="","",IF(OR($F210="sell_put",$F210="sell_call"),IF(AND($H210&gt;0,$I210&gt;0,$J210&gt;=0),$H210,0),IF(OR($F210="buy_to_close",$F210="expire",$F210="roll",$F210="assignment",$F210="called_away"),IF(AND($AF210&gt;0,$H210&gt;0,IF($F210="assignment",IF($AF210&gt;0,INDEX($AG$9:$AG$209,$AF210),"")="put",TRUE),IF($F210="called_away",IF($AF210&gt;0,INDEX($AG$9:$AG$209,$AF210),"")="call",TRUE)),MIN($H210,IF($AF210&gt;0,MAX(0,INDEX($AI$9:$AI$209,$AF210)-SUMIFS($AE$9:$AE$209,$G$9:$G$209,$G210,$B$9:$B$209,$B210)),0)),0),0)))</f>
        <v/>
      </c>
      <c r="AF210" t="str">
        <f>IF($A210="","",IFERROR(MATCH(LEN($B210)&amp;":"&amp;$B210&amp;$G210,$AY$9:$AY$209,0),0))</f>
        <v/>
      </c>
      <c r="AG210" t="str">
        <f>IF($A210="","",IF($F210="sell_put","put",IF($F210="sell_call","call",IF($F210="roll",IF($AF210&gt;0,IF($AF210&gt;0,INDEX($AG$9:$AG$209,$AF210),""),""),IF($AF210&gt;0,IF($AF210&gt;0,INDEX($AG$9:$AG$209,$AF210),""),"")))))</f>
        <v/>
      </c>
      <c r="AH210" t="str">
        <f>IF($A210="","",IF(OR($F210="sell_put",$F210="sell_call",$F210="roll"),$I210,IF($AF210&gt;0,IF($AF210&gt;0,INDEX($AH$9:$AH$209,$AF210),0),0)))</f>
        <v/>
      </c>
      <c r="AI210" s="51" t="str">
        <f t="shared" si="60"/>
        <v/>
      </c>
      <c r="AJ210" s="51" t="str">
        <f>IF($A210="","",IFERROR(LOOKUP(2,1/($B$9:$B$209=$B210),$AM$9:$AM209),0))</f>
        <v/>
      </c>
      <c r="AK210" t="str">
        <f>IF($A210="","",IFERROR(LOOKUP(2,1/($B$9:$B$209=$B210),$AN$9:$AN209),0))</f>
        <v/>
      </c>
      <c r="AL210" s="51" t="str">
        <f t="shared" si="61"/>
        <v/>
      </c>
      <c r="AM210" s="51" t="str">
        <f t="shared" si="62"/>
        <v/>
      </c>
      <c r="AN210" t="str">
        <f t="shared" si="63"/>
        <v/>
      </c>
      <c r="AO210" s="50" t="str">
        <f>IF($A210="","",IFERROR(LOOKUP(2,1/($B$9:$B$209=$B210),$AO$9:$AO209),0)+IF($F210="sell_put",$I210*$AE210*$D210,IF($F210="roll",IF($AG210="put",($I210-IF($AF210&gt;0,INDEX($AH$9:$AH$209,$AF210),0))*$AE210*$D210,0),IF(AND(OR($F210="buy_to_close",$F210="expire",$F210="roll",$F210="assignment",$F210="called_away"),$F210&lt;&gt;"roll",$AG210="put"),-IF($AF210&gt;0,INDEX($AH$9:$AH$209,$AF210),0)*$AE210*$D210,0))))</f>
        <v/>
      </c>
      <c r="AP210" s="51" t="str">
        <f>IF($A210="","",IFERROR(LOOKUP(2,1/($B$9:$B$209=$B210),$AP$9:$AP209),0)+IF($F210="sell_put",$AE210*$D210,IF(AND(OR($F210="buy_to_close",$F210="expire",$F210="roll",$F210="assignment",$F210="called_away"),$F210&lt;&gt;"roll",$AG210="put"),-$AE210*$D210,0)))</f>
        <v/>
      </c>
      <c r="AQ210" s="51" t="str">
        <f>IF($A210="","",IFERROR(LOOKUP(2,1/($B$9:$B$209=$B210),$AQ$9:$AQ209),0)+IF(OR($F210="sell_put",$F210="sell_call"),$AE210,0)-IF(AND(OR($F210="buy_to_close",$F210="expire",$F210="roll",$F210="assignment",$F210="called_away"),$F210&lt;&gt;"roll"),$AE210,0))</f>
        <v/>
      </c>
      <c r="AR210" t="str">
        <f t="shared" si="64"/>
        <v/>
      </c>
      <c r="AS210" s="50" t="str">
        <f t="shared" si="65"/>
        <v/>
      </c>
      <c r="AT210" s="50" t="str">
        <f>IF($A210="","",MAX(IF($T210=IFERROR(LOOKUP(2,1/($B$9:$B$209=$B210),$T$9:$T209),0),IFERROR(LOOKUP(2,1/($B$9:$B$209=$B210),$AT$9:$AT209),0),0),$AS210))</f>
        <v/>
      </c>
      <c r="AU210" t="str">
        <f t="shared" si="66"/>
        <v/>
      </c>
      <c r="AV210" s="51">
        <f>IF($AU210="",0,IF(AND(IFERROR(LOOKUP(2,1/($B$9:$B$209=$B210),$AR$9:$AR209),1),NOT(AND(OR($F210="dividend",$F210="fee"),IFERROR(LOOKUP(2,1/($B$9:$B$209=$B210),$T$9:$T209),0)&gt;0))),ROW(),0))</f>
        <v>0</v>
      </c>
      <c r="AW210">
        <f>IF($A210="",0,IF($AV210&gt;0,MAX($AW$9:$AW$209)+1,MAX($AW$9:$AW$209)))</f>
        <v>0</v>
      </c>
      <c r="AX210">
        <f>IF($AU210="",0,IF(AND($AR210,OR(NOT(IFERROR(LOOKUP(2,1/($B$9:$B$209=$B210),$AR$9:$AR209),1)),IFERROR(LOOKUP(2,1/($B$9:$B$209=$B210),$T$9:$T209),0)=0)),ROW(),0))</f>
        <v>0</v>
      </c>
      <c r="AY210" t="str">
        <f t="shared" si="67"/>
        <v/>
      </c>
    </row>
    <row r="211" spans="1:51" ht="15" x14ac:dyDescent="0.25">
      <c r="A211" s="41" t="str">
        <f>IF(Trades!$A211="","",Trades!O211)</f>
        <v/>
      </c>
      <c r="B211" s="41" t="str">
        <f>IF(Trades!$A211="","",Trades!B211)</f>
        <v/>
      </c>
      <c r="C211" s="41" t="str">
        <f>IF(Trades!$A211="","",Trades!C211)</f>
        <v/>
      </c>
      <c r="D211" s="42" t="str">
        <f>IF(Trades!$A211="","",IF(Trades!$L211&gt;0,Trades!$L211,Trades!$C$6))</f>
        <v/>
      </c>
      <c r="E211" s="43" t="str">
        <f>IF(Trades!$A211="","",Trades!A211)</f>
        <v/>
      </c>
      <c r="F211" s="41" t="str">
        <f>IF(Trades!$A211="","",IFERROR(INDEX(Trades!$V$2:$V$14,MATCH(Trades!$E211,Trades!$U$2:$U$14,0)),""))</f>
        <v/>
      </c>
      <c r="G211" s="41" t="str">
        <f>IF(Trades!$A211="","",Trades!N211)</f>
        <v/>
      </c>
      <c r="H211" s="42" t="str">
        <f>IF(Trades!$A211="","",Trades!F211)</f>
        <v/>
      </c>
      <c r="I211" s="44" t="str">
        <f>IF(Trades!$A211="","",Trades!G211)</f>
        <v/>
      </c>
      <c r="J211" s="44" t="str">
        <f>IF(Trades!$A211="","",Trades!I211)</f>
        <v/>
      </c>
      <c r="K211" s="44" t="str">
        <f>IF(Trades!$A211="","",Trades!Q211)</f>
        <v/>
      </c>
      <c r="L211" s="42" t="str">
        <f>IF(Trades!$A211="","",Trades!F211)</f>
        <v/>
      </c>
      <c r="M211" s="44" t="str">
        <f>IF(Trades!$A211="","",Trades!M211)</f>
        <v/>
      </c>
      <c r="N211" s="44" t="str">
        <f>IF(Trades!$A211="","",Trades!R211)</f>
        <v/>
      </c>
      <c r="O211" s="44" t="str">
        <f>IF(Trades!$A211="","",Trades!J211)</f>
        <v/>
      </c>
      <c r="P211" s="43" t="str">
        <f>IF(Trades!$A211="","",Trades!H211)</f>
        <v/>
      </c>
      <c r="Q211" s="41" t="str">
        <f>IF(Trades!$A211="","",Trades!P211)</f>
        <v/>
      </c>
      <c r="R211" s="45" t="str">
        <f t="shared" si="51"/>
        <v/>
      </c>
      <c r="S211" s="45" t="str">
        <f t="shared" si="52"/>
        <v/>
      </c>
      <c r="T211" s="46" t="str">
        <f>IF(OR($A211="",$B211=""),"",IF(AND(IFERROR(LOOKUP(2,1/($B$9:$B$210=$B211),$AR$9:$AR210),1),NOT(AND(OR($F211="dividend",$F211="fee"),IFERROR(LOOKUP(2,1/($B$9:$B$210=$B211),$T$9:$T210),0)&gt;0))),IFERROR(LOOKUP(2,1/($B$9:$B$210=$B211),$T$9:$T210),0)+1,IFERROR(LOOKUP(2,1/($B$9:$B$210=$B211),$T$9:$T210),0)))</f>
        <v/>
      </c>
      <c r="U211" s="47" t="str">
        <f t="shared" si="53"/>
        <v/>
      </c>
      <c r="V211" s="47" t="str">
        <f>IF($A211="","",IF(OR($B211="",$C211="",$D211="",$E211="",$F211=""),"Missing required field",IF(COUNTIFS($A$9:$A211,$A211,$B$9:$B211,$B211)&gt;1,"Duplicate event ID",IF(AND($E211&lt;&gt;IFERROR(LOOKUP(2,1/($B$9:$B$210=$B211),$E$9:$E210),0),IFERROR(LOOKUP(2,1/($B$9:$B$210=$B211),$E$9:$E210),0)&gt;$E211),"Date out of order",IF(AND(OR($F211="buy_to_close",$F211="expire",$F211="roll",$F211="assignment",$F211="called_away"),$AF211=0),"Unknown lot",IF(OR(AND($F211="assignment",$AF211&gt;0,IF($AF211&gt;0,INDEX($AG$9:$AG$210,$AF211),"")&lt;&gt;"put"),AND($F211="called_away",$AF211&gt;0,IF($AF211&gt;0,INDEX($AG$9:$AG$210,$AF211),"")&lt;&gt;"call")),"Wrong option leg",IF(OR(AND(OR($F211="sell_put",$F211="sell_call"),OR($H211&lt;=0,$I211&lt;=0,$J211&lt;0)),AND(OR($F211="buy_to_close",$F211="expire",$F211="assignment",$F211="called_away"),OR($H211&lt;=0,$J211&lt;0)),AND($F211="roll",OR($H211&lt;=0,$I211&lt;=0,$J211&lt;0,$K211&lt;0)),AND(OR($F211="buy_shares",$F211="sell_shares"),OR($L211&lt;=0,$M211&lt;0)),AND(OR($F211="dividend",$F211="fee"),$N211&lt;0)),"Invalid value",IF(AND(OR($F211="sell_shares",$F211="called_away"),$AL211&lt;IF($F211="called_away",$AE211*$D211,$L211)),"Insufficient shares (capped)",IF(AND(OR($F211="buy_to_close",$F211="expire",$F211="roll",$F211="assignment",$F211="called_away"),$AF211&gt;0,$H211&gt;IF($AF211&gt;0,MAX(0,INDEX($AI$9:$AI$210,$AF211)-SUMIFS($AE$9:$AE$210,$G$9:$G$210,$G211,$B$9:$B$210,$B211)),0)),"Close quantity capped","OK")))))))))</f>
        <v/>
      </c>
      <c r="W211" s="48" t="str">
        <f t="shared" si="54"/>
        <v/>
      </c>
      <c r="X211" s="49" t="str">
        <f t="shared" si="55"/>
        <v/>
      </c>
      <c r="Y211" s="50" t="str">
        <f t="shared" si="56"/>
        <v/>
      </c>
      <c r="Z211" s="50" t="str">
        <f t="shared" si="57"/>
        <v/>
      </c>
      <c r="AA211" s="50" t="str">
        <f t="shared" si="58"/>
        <v/>
      </c>
      <c r="AB211" s="50" t="str">
        <f t="shared" si="59"/>
        <v/>
      </c>
      <c r="AC211" s="50" t="str">
        <f>IF($A211="","",IF($F211="assignment",IF($AF211&gt;0,INDEX($AH$9:$AH$210,$AF211),0)*$AE211*$D211,IF($F211="buy_shares",$M211*$AL211,0)))</f>
        <v/>
      </c>
      <c r="AD211" s="50" t="str">
        <f>IF($A211="","",IF($F211="called_away",IF($AF211&gt;0,INDEX($AH$9:$AH$210,$AF211),0)*$AL211,IF($F211="sell_shares",$M211*$AL211,0)))</f>
        <v/>
      </c>
      <c r="AE211" s="51" t="str">
        <f>IF($A211="","",IF(OR($F211="sell_put",$F211="sell_call"),IF(AND($H211&gt;0,$I211&gt;0,$J211&gt;=0),$H211,0),IF(OR($F211="buy_to_close",$F211="expire",$F211="roll",$F211="assignment",$F211="called_away"),IF(AND($AF211&gt;0,$H211&gt;0,IF($F211="assignment",IF($AF211&gt;0,INDEX($AG$9:$AG$210,$AF211),"")="put",TRUE),IF($F211="called_away",IF($AF211&gt;0,INDEX($AG$9:$AG$210,$AF211),"")="call",TRUE)),MIN($H211,IF($AF211&gt;0,MAX(0,INDEX($AI$9:$AI$210,$AF211)-SUMIFS($AE$9:$AE$210,$G$9:$G$210,$G211,$B$9:$B$210,$B211)),0)),0),0)))</f>
        <v/>
      </c>
      <c r="AF211" t="str">
        <f>IF($A211="","",IFERROR(MATCH(LEN($B211)&amp;":"&amp;$B211&amp;$G211,$AY$9:$AY$210,0),0))</f>
        <v/>
      </c>
      <c r="AG211" t="str">
        <f>IF($A211="","",IF($F211="sell_put","put",IF($F211="sell_call","call",IF($F211="roll",IF($AF211&gt;0,IF($AF211&gt;0,INDEX($AG$9:$AG$210,$AF211),""),""),IF($AF211&gt;0,IF($AF211&gt;0,INDEX($AG$9:$AG$210,$AF211),""),"")))))</f>
        <v/>
      </c>
      <c r="AH211" t="str">
        <f>IF($A211="","",IF(OR($F211="sell_put",$F211="sell_call",$F211="roll"),$I211,IF($AF211&gt;0,IF($AF211&gt;0,INDEX($AH$9:$AH$210,$AF211),0),0)))</f>
        <v/>
      </c>
      <c r="AI211" s="51" t="str">
        <f t="shared" si="60"/>
        <v/>
      </c>
      <c r="AJ211" s="51" t="str">
        <f>IF($A211="","",IFERROR(LOOKUP(2,1/($B$9:$B$210=$B211),$AM$9:$AM210),0))</f>
        <v/>
      </c>
      <c r="AK211" t="str">
        <f>IF($A211="","",IFERROR(LOOKUP(2,1/($B$9:$B$210=$B211),$AN$9:$AN210),0))</f>
        <v/>
      </c>
      <c r="AL211" s="51" t="str">
        <f t="shared" si="61"/>
        <v/>
      </c>
      <c r="AM211" s="51" t="str">
        <f t="shared" si="62"/>
        <v/>
      </c>
      <c r="AN211" t="str">
        <f t="shared" si="63"/>
        <v/>
      </c>
      <c r="AO211" s="50" t="str">
        <f>IF($A211="","",IFERROR(LOOKUP(2,1/($B$9:$B$210=$B211),$AO$9:$AO210),0)+IF($F211="sell_put",$I211*$AE211*$D211,IF($F211="roll",IF($AG211="put",($I211-IF($AF211&gt;0,INDEX($AH$9:$AH$210,$AF211),0))*$AE211*$D211,0),IF(AND(OR($F211="buy_to_close",$F211="expire",$F211="roll",$F211="assignment",$F211="called_away"),$F211&lt;&gt;"roll",$AG211="put"),-IF($AF211&gt;0,INDEX($AH$9:$AH$210,$AF211),0)*$AE211*$D211,0))))</f>
        <v/>
      </c>
      <c r="AP211" s="51" t="str">
        <f>IF($A211="","",IFERROR(LOOKUP(2,1/($B$9:$B$210=$B211),$AP$9:$AP210),0)+IF($F211="sell_put",$AE211*$D211,IF(AND(OR($F211="buy_to_close",$F211="expire",$F211="roll",$F211="assignment",$F211="called_away"),$F211&lt;&gt;"roll",$AG211="put"),-$AE211*$D211,0)))</f>
        <v/>
      </c>
      <c r="AQ211" s="51" t="str">
        <f>IF($A211="","",IFERROR(LOOKUP(2,1/($B$9:$B$210=$B211),$AQ$9:$AQ210),0)+IF(OR($F211="sell_put",$F211="sell_call"),$AE211,0)-IF(AND(OR($F211="buy_to_close",$F211="expire",$F211="roll",$F211="assignment",$F211="called_away"),$F211&lt;&gt;"roll"),$AE211,0))</f>
        <v/>
      </c>
      <c r="AR211" t="str">
        <f t="shared" si="64"/>
        <v/>
      </c>
      <c r="AS211" s="50" t="str">
        <f t="shared" si="65"/>
        <v/>
      </c>
      <c r="AT211" s="50" t="str">
        <f>IF($A211="","",MAX(IF($T211=IFERROR(LOOKUP(2,1/($B$9:$B$210=$B211),$T$9:$T210),0),IFERROR(LOOKUP(2,1/($B$9:$B$210=$B211),$AT$9:$AT210),0),0),$AS211))</f>
        <v/>
      </c>
      <c r="AU211" t="str">
        <f t="shared" si="66"/>
        <v/>
      </c>
      <c r="AV211" s="51">
        <f>IF($AU211="",0,IF(AND(IFERROR(LOOKUP(2,1/($B$9:$B$210=$B211),$AR$9:$AR210),1),NOT(AND(OR($F211="dividend",$F211="fee"),IFERROR(LOOKUP(2,1/($B$9:$B$210=$B211),$T$9:$T210),0)&gt;0))),ROW(),0))</f>
        <v>0</v>
      </c>
      <c r="AW211">
        <f>IF($A211="",0,IF($AV211&gt;0,MAX($AW$9:$AW$210)+1,MAX($AW$9:$AW$210)))</f>
        <v>0</v>
      </c>
      <c r="AX211">
        <f>IF($AU211="",0,IF(AND($AR211,OR(NOT(IFERROR(LOOKUP(2,1/($B$9:$B$210=$B211),$AR$9:$AR210),1)),IFERROR(LOOKUP(2,1/($B$9:$B$210=$B211),$T$9:$T210),0)=0)),ROW(),0))</f>
        <v>0</v>
      </c>
      <c r="AY211" t="str">
        <f t="shared" si="67"/>
        <v/>
      </c>
    </row>
    <row r="212" spans="1:51" ht="15" x14ac:dyDescent="0.25">
      <c r="A212" s="52" t="str">
        <f>IF(Trades!$A212="","",Trades!O212)</f>
        <v/>
      </c>
      <c r="B212" s="52" t="str">
        <f>IF(Trades!$A212="","",Trades!B212)</f>
        <v/>
      </c>
      <c r="C212" s="52" t="str">
        <f>IF(Trades!$A212="","",Trades!C212)</f>
        <v/>
      </c>
      <c r="D212" s="53" t="str">
        <f>IF(Trades!$A212="","",IF(Trades!$L212&gt;0,Trades!$L212,Trades!$C$6))</f>
        <v/>
      </c>
      <c r="E212" s="54" t="str">
        <f>IF(Trades!$A212="","",Trades!A212)</f>
        <v/>
      </c>
      <c r="F212" s="52" t="str">
        <f>IF(Trades!$A212="","",IFERROR(INDEX(Trades!$V$2:$V$14,MATCH(Trades!$E212,Trades!$U$2:$U$14,0)),""))</f>
        <v/>
      </c>
      <c r="G212" s="52" t="str">
        <f>IF(Trades!$A212="","",Trades!N212)</f>
        <v/>
      </c>
      <c r="H212" s="53" t="str">
        <f>IF(Trades!$A212="","",Trades!F212)</f>
        <v/>
      </c>
      <c r="I212" s="55" t="str">
        <f>IF(Trades!$A212="","",Trades!G212)</f>
        <v/>
      </c>
      <c r="J212" s="55" t="str">
        <f>IF(Trades!$A212="","",Trades!I212)</f>
        <v/>
      </c>
      <c r="K212" s="55" t="str">
        <f>IF(Trades!$A212="","",Trades!Q212)</f>
        <v/>
      </c>
      <c r="L212" s="53" t="str">
        <f>IF(Trades!$A212="","",Trades!F212)</f>
        <v/>
      </c>
      <c r="M212" s="55" t="str">
        <f>IF(Trades!$A212="","",Trades!M212)</f>
        <v/>
      </c>
      <c r="N212" s="55" t="str">
        <f>IF(Trades!$A212="","",Trades!R212)</f>
        <v/>
      </c>
      <c r="O212" s="55" t="str">
        <f>IF(Trades!$A212="","",Trades!J212)</f>
        <v/>
      </c>
      <c r="P212" s="54" t="str">
        <f>IF(Trades!$A212="","",Trades!H212)</f>
        <v/>
      </c>
      <c r="Q212" s="52" t="str">
        <f>IF(Trades!$A212="","",Trades!P212)</f>
        <v/>
      </c>
      <c r="R212" s="56" t="str">
        <f t="shared" si="51"/>
        <v/>
      </c>
      <c r="S212" s="56" t="str">
        <f t="shared" si="52"/>
        <v/>
      </c>
      <c r="T212" s="57" t="str">
        <f>IF(OR($A212="",$B212=""),"",IF(AND(IFERROR(LOOKUP(2,1/($B$9:$B$211=$B212),$AR$9:$AR211),1),NOT(AND(OR($F212="dividend",$F212="fee"),IFERROR(LOOKUP(2,1/($B$9:$B$211=$B212),$T$9:$T211),0)&gt;0))),IFERROR(LOOKUP(2,1/($B$9:$B$211=$B212),$T$9:$T211),0)+1,IFERROR(LOOKUP(2,1/($B$9:$B$211=$B212),$T$9:$T211),0)))</f>
        <v/>
      </c>
      <c r="U212" s="58" t="str">
        <f t="shared" si="53"/>
        <v/>
      </c>
      <c r="V212" s="58" t="str">
        <f>IF($A212="","",IF(OR($B212="",$C212="",$D212="",$E212="",$F212=""),"Missing required field",IF(COUNTIFS($A$9:$A212,$A212,$B$9:$B212,$B212)&gt;1,"Duplicate event ID",IF(AND($E212&lt;&gt;IFERROR(LOOKUP(2,1/($B$9:$B$211=$B212),$E$9:$E211),0),IFERROR(LOOKUP(2,1/($B$9:$B$211=$B212),$E$9:$E211),0)&gt;$E212),"Date out of order",IF(AND(OR($F212="buy_to_close",$F212="expire",$F212="roll",$F212="assignment",$F212="called_away"),$AF212=0),"Unknown lot",IF(OR(AND($F212="assignment",$AF212&gt;0,IF($AF212&gt;0,INDEX($AG$9:$AG$211,$AF212),"")&lt;&gt;"put"),AND($F212="called_away",$AF212&gt;0,IF($AF212&gt;0,INDEX($AG$9:$AG$211,$AF212),"")&lt;&gt;"call")),"Wrong option leg",IF(OR(AND(OR($F212="sell_put",$F212="sell_call"),OR($H212&lt;=0,$I212&lt;=0,$J212&lt;0)),AND(OR($F212="buy_to_close",$F212="expire",$F212="assignment",$F212="called_away"),OR($H212&lt;=0,$J212&lt;0)),AND($F212="roll",OR($H212&lt;=0,$I212&lt;=0,$J212&lt;0,$K212&lt;0)),AND(OR($F212="buy_shares",$F212="sell_shares"),OR($L212&lt;=0,$M212&lt;0)),AND(OR($F212="dividend",$F212="fee"),$N212&lt;0)),"Invalid value",IF(AND(OR($F212="sell_shares",$F212="called_away"),$AL212&lt;IF($F212="called_away",$AE212*$D212,$L212)),"Insufficient shares (capped)",IF(AND(OR($F212="buy_to_close",$F212="expire",$F212="roll",$F212="assignment",$F212="called_away"),$AF212&gt;0,$H212&gt;IF($AF212&gt;0,MAX(0,INDEX($AI$9:$AI$211,$AF212)-SUMIFS($AE$9:$AE$211,$G$9:$G$211,$G212,$B$9:$B$211,$B212)),0)),"Close quantity capped","OK")))))))))</f>
        <v/>
      </c>
      <c r="W212" s="59" t="str">
        <f t="shared" si="54"/>
        <v/>
      </c>
      <c r="X212" s="60" t="str">
        <f t="shared" si="55"/>
        <v/>
      </c>
      <c r="Y212" s="50" t="str">
        <f t="shared" si="56"/>
        <v/>
      </c>
      <c r="Z212" s="50" t="str">
        <f t="shared" si="57"/>
        <v/>
      </c>
      <c r="AA212" s="50" t="str">
        <f t="shared" si="58"/>
        <v/>
      </c>
      <c r="AB212" s="50" t="str">
        <f t="shared" si="59"/>
        <v/>
      </c>
      <c r="AC212" s="50" t="str">
        <f>IF($A212="","",IF($F212="assignment",IF($AF212&gt;0,INDEX($AH$9:$AH$211,$AF212),0)*$AE212*$D212,IF($F212="buy_shares",$M212*$AL212,0)))</f>
        <v/>
      </c>
      <c r="AD212" s="50" t="str">
        <f>IF($A212="","",IF($F212="called_away",IF($AF212&gt;0,INDEX($AH$9:$AH$211,$AF212),0)*$AL212,IF($F212="sell_shares",$M212*$AL212,0)))</f>
        <v/>
      </c>
      <c r="AE212" s="51" t="str">
        <f>IF($A212="","",IF(OR($F212="sell_put",$F212="sell_call"),IF(AND($H212&gt;0,$I212&gt;0,$J212&gt;=0),$H212,0),IF(OR($F212="buy_to_close",$F212="expire",$F212="roll",$F212="assignment",$F212="called_away"),IF(AND($AF212&gt;0,$H212&gt;0,IF($F212="assignment",IF($AF212&gt;0,INDEX($AG$9:$AG$211,$AF212),"")="put",TRUE),IF($F212="called_away",IF($AF212&gt;0,INDEX($AG$9:$AG$211,$AF212),"")="call",TRUE)),MIN($H212,IF($AF212&gt;0,MAX(0,INDEX($AI$9:$AI$211,$AF212)-SUMIFS($AE$9:$AE$211,$G$9:$G$211,$G212,$B$9:$B$211,$B212)),0)),0),0)))</f>
        <v/>
      </c>
      <c r="AF212" t="str">
        <f>IF($A212="","",IFERROR(MATCH(LEN($B212)&amp;":"&amp;$B212&amp;$G212,$AY$9:$AY$211,0),0))</f>
        <v/>
      </c>
      <c r="AG212" t="str">
        <f>IF($A212="","",IF($F212="sell_put","put",IF($F212="sell_call","call",IF($F212="roll",IF($AF212&gt;0,IF($AF212&gt;0,INDEX($AG$9:$AG$211,$AF212),""),""),IF($AF212&gt;0,IF($AF212&gt;0,INDEX($AG$9:$AG$211,$AF212),""),"")))))</f>
        <v/>
      </c>
      <c r="AH212" t="str">
        <f>IF($A212="","",IF(OR($F212="sell_put",$F212="sell_call",$F212="roll"),$I212,IF($AF212&gt;0,IF($AF212&gt;0,INDEX($AH$9:$AH$211,$AF212),0),0)))</f>
        <v/>
      </c>
      <c r="AI212" s="51" t="str">
        <f t="shared" si="60"/>
        <v/>
      </c>
      <c r="AJ212" s="51" t="str">
        <f>IF($A212="","",IFERROR(LOOKUP(2,1/($B$9:$B$211=$B212),$AM$9:$AM211),0))</f>
        <v/>
      </c>
      <c r="AK212" t="str">
        <f>IF($A212="","",IFERROR(LOOKUP(2,1/($B$9:$B$211=$B212),$AN$9:$AN211),0))</f>
        <v/>
      </c>
      <c r="AL212" s="51" t="str">
        <f t="shared" si="61"/>
        <v/>
      </c>
      <c r="AM212" s="51" t="str">
        <f t="shared" si="62"/>
        <v/>
      </c>
      <c r="AN212" t="str">
        <f t="shared" si="63"/>
        <v/>
      </c>
      <c r="AO212" s="50" t="str">
        <f>IF($A212="","",IFERROR(LOOKUP(2,1/($B$9:$B$211=$B212),$AO$9:$AO211),0)+IF($F212="sell_put",$I212*$AE212*$D212,IF($F212="roll",IF($AG212="put",($I212-IF($AF212&gt;0,INDEX($AH$9:$AH$211,$AF212),0))*$AE212*$D212,0),IF(AND(OR($F212="buy_to_close",$F212="expire",$F212="roll",$F212="assignment",$F212="called_away"),$F212&lt;&gt;"roll",$AG212="put"),-IF($AF212&gt;0,INDEX($AH$9:$AH$211,$AF212),0)*$AE212*$D212,0))))</f>
        <v/>
      </c>
      <c r="AP212" s="51" t="str">
        <f>IF($A212="","",IFERROR(LOOKUP(2,1/($B$9:$B$211=$B212),$AP$9:$AP211),0)+IF($F212="sell_put",$AE212*$D212,IF(AND(OR($F212="buy_to_close",$F212="expire",$F212="roll",$F212="assignment",$F212="called_away"),$F212&lt;&gt;"roll",$AG212="put"),-$AE212*$D212,0)))</f>
        <v/>
      </c>
      <c r="AQ212" s="51" t="str">
        <f>IF($A212="","",IFERROR(LOOKUP(2,1/($B$9:$B$211=$B212),$AQ$9:$AQ211),0)+IF(OR($F212="sell_put",$F212="sell_call"),$AE212,0)-IF(AND(OR($F212="buy_to_close",$F212="expire",$F212="roll",$F212="assignment",$F212="called_away"),$F212&lt;&gt;"roll"),$AE212,0))</f>
        <v/>
      </c>
      <c r="AR212" t="str">
        <f t="shared" si="64"/>
        <v/>
      </c>
      <c r="AS212" s="50" t="str">
        <f t="shared" si="65"/>
        <v/>
      </c>
      <c r="AT212" s="50" t="str">
        <f>IF($A212="","",MAX(IF($T212=IFERROR(LOOKUP(2,1/($B$9:$B$211=$B212),$T$9:$T211),0),IFERROR(LOOKUP(2,1/($B$9:$B$211=$B212),$AT$9:$AT211),0),0),$AS212))</f>
        <v/>
      </c>
      <c r="AU212" t="str">
        <f t="shared" si="66"/>
        <v/>
      </c>
      <c r="AV212" s="51">
        <f>IF($AU212="",0,IF(AND(IFERROR(LOOKUP(2,1/($B$9:$B$211=$B212),$AR$9:$AR211),1),NOT(AND(OR($F212="dividend",$F212="fee"),IFERROR(LOOKUP(2,1/($B$9:$B$211=$B212),$T$9:$T211),0)&gt;0))),ROW(),0))</f>
        <v>0</v>
      </c>
      <c r="AW212">
        <f>IF($A212="",0,IF($AV212&gt;0,MAX($AW$9:$AW$211)+1,MAX($AW$9:$AW$211)))</f>
        <v>0</v>
      </c>
      <c r="AX212">
        <f>IF($AU212="",0,IF(AND($AR212,OR(NOT(IFERROR(LOOKUP(2,1/($B$9:$B$211=$B212),$AR$9:$AR211),1)),IFERROR(LOOKUP(2,1/($B$9:$B$211=$B212),$T$9:$T211),0)=0)),ROW(),0))</f>
        <v>0</v>
      </c>
      <c r="AY212" t="str">
        <f t="shared" si="67"/>
        <v/>
      </c>
    </row>
    <row r="213" spans="1:51" ht="15" x14ac:dyDescent="0.25">
      <c r="A213" s="41" t="str">
        <f>IF(Trades!$A213="","",Trades!O213)</f>
        <v/>
      </c>
      <c r="B213" s="41" t="str">
        <f>IF(Trades!$A213="","",Trades!B213)</f>
        <v/>
      </c>
      <c r="C213" s="41" t="str">
        <f>IF(Trades!$A213="","",Trades!C213)</f>
        <v/>
      </c>
      <c r="D213" s="42" t="str">
        <f>IF(Trades!$A213="","",IF(Trades!$L213&gt;0,Trades!$L213,Trades!$C$6))</f>
        <v/>
      </c>
      <c r="E213" s="43" t="str">
        <f>IF(Trades!$A213="","",Trades!A213)</f>
        <v/>
      </c>
      <c r="F213" s="41" t="str">
        <f>IF(Trades!$A213="","",IFERROR(INDEX(Trades!$V$2:$V$14,MATCH(Trades!$E213,Trades!$U$2:$U$14,0)),""))</f>
        <v/>
      </c>
      <c r="G213" s="41" t="str">
        <f>IF(Trades!$A213="","",Trades!N213)</f>
        <v/>
      </c>
      <c r="H213" s="42" t="str">
        <f>IF(Trades!$A213="","",Trades!F213)</f>
        <v/>
      </c>
      <c r="I213" s="44" t="str">
        <f>IF(Trades!$A213="","",Trades!G213)</f>
        <v/>
      </c>
      <c r="J213" s="44" t="str">
        <f>IF(Trades!$A213="","",Trades!I213)</f>
        <v/>
      </c>
      <c r="K213" s="44" t="str">
        <f>IF(Trades!$A213="","",Trades!Q213)</f>
        <v/>
      </c>
      <c r="L213" s="42" t="str">
        <f>IF(Trades!$A213="","",Trades!F213)</f>
        <v/>
      </c>
      <c r="M213" s="44" t="str">
        <f>IF(Trades!$A213="","",Trades!M213)</f>
        <v/>
      </c>
      <c r="N213" s="44" t="str">
        <f>IF(Trades!$A213="","",Trades!R213)</f>
        <v/>
      </c>
      <c r="O213" s="44" t="str">
        <f>IF(Trades!$A213="","",Trades!J213)</f>
        <v/>
      </c>
      <c r="P213" s="43" t="str">
        <f>IF(Trades!$A213="","",Trades!H213)</f>
        <v/>
      </c>
      <c r="Q213" s="41" t="str">
        <f>IF(Trades!$A213="","",Trades!P213)</f>
        <v/>
      </c>
      <c r="R213" s="45" t="str">
        <f t="shared" si="51"/>
        <v/>
      </c>
      <c r="S213" s="45" t="str">
        <f t="shared" si="52"/>
        <v/>
      </c>
      <c r="T213" s="46" t="str">
        <f>IF(OR($A213="",$B213=""),"",IF(AND(IFERROR(LOOKUP(2,1/($B$9:$B$212=$B213),$AR$9:$AR212),1),NOT(AND(OR($F213="dividend",$F213="fee"),IFERROR(LOOKUP(2,1/($B$9:$B$212=$B213),$T$9:$T212),0)&gt;0))),IFERROR(LOOKUP(2,1/($B$9:$B$212=$B213),$T$9:$T212),0)+1,IFERROR(LOOKUP(2,1/($B$9:$B$212=$B213),$T$9:$T212),0)))</f>
        <v/>
      </c>
      <c r="U213" s="47" t="str">
        <f t="shared" si="53"/>
        <v/>
      </c>
      <c r="V213" s="47" t="str">
        <f>IF($A213="","",IF(OR($B213="",$C213="",$D213="",$E213="",$F213=""),"Missing required field",IF(COUNTIFS($A$9:$A213,$A213,$B$9:$B213,$B213)&gt;1,"Duplicate event ID",IF(AND($E213&lt;&gt;IFERROR(LOOKUP(2,1/($B$9:$B$212=$B213),$E$9:$E212),0),IFERROR(LOOKUP(2,1/($B$9:$B$212=$B213),$E$9:$E212),0)&gt;$E213),"Date out of order",IF(AND(OR($F213="buy_to_close",$F213="expire",$F213="roll",$F213="assignment",$F213="called_away"),$AF213=0),"Unknown lot",IF(OR(AND($F213="assignment",$AF213&gt;0,IF($AF213&gt;0,INDEX($AG$9:$AG$212,$AF213),"")&lt;&gt;"put"),AND($F213="called_away",$AF213&gt;0,IF($AF213&gt;0,INDEX($AG$9:$AG$212,$AF213),"")&lt;&gt;"call")),"Wrong option leg",IF(OR(AND(OR($F213="sell_put",$F213="sell_call"),OR($H213&lt;=0,$I213&lt;=0,$J213&lt;0)),AND(OR($F213="buy_to_close",$F213="expire",$F213="assignment",$F213="called_away"),OR($H213&lt;=0,$J213&lt;0)),AND($F213="roll",OR($H213&lt;=0,$I213&lt;=0,$J213&lt;0,$K213&lt;0)),AND(OR($F213="buy_shares",$F213="sell_shares"),OR($L213&lt;=0,$M213&lt;0)),AND(OR($F213="dividend",$F213="fee"),$N213&lt;0)),"Invalid value",IF(AND(OR($F213="sell_shares",$F213="called_away"),$AL213&lt;IF($F213="called_away",$AE213*$D213,$L213)),"Insufficient shares (capped)",IF(AND(OR($F213="buy_to_close",$F213="expire",$F213="roll",$F213="assignment",$F213="called_away"),$AF213&gt;0,$H213&gt;IF($AF213&gt;0,MAX(0,INDEX($AI$9:$AI$212,$AF213)-SUMIFS($AE$9:$AE$212,$G$9:$G$212,$G213,$B$9:$B$212,$B213)),0)),"Close quantity capped","OK")))))))))</f>
        <v/>
      </c>
      <c r="W213" s="48" t="str">
        <f t="shared" si="54"/>
        <v/>
      </c>
      <c r="X213" s="49" t="str">
        <f t="shared" si="55"/>
        <v/>
      </c>
      <c r="Y213" s="50" t="str">
        <f t="shared" si="56"/>
        <v/>
      </c>
      <c r="Z213" s="50" t="str">
        <f t="shared" si="57"/>
        <v/>
      </c>
      <c r="AA213" s="50" t="str">
        <f t="shared" si="58"/>
        <v/>
      </c>
      <c r="AB213" s="50" t="str">
        <f t="shared" si="59"/>
        <v/>
      </c>
      <c r="AC213" s="50" t="str">
        <f>IF($A213="","",IF($F213="assignment",IF($AF213&gt;0,INDEX($AH$9:$AH$212,$AF213),0)*$AE213*$D213,IF($F213="buy_shares",$M213*$AL213,0)))</f>
        <v/>
      </c>
      <c r="AD213" s="50" t="str">
        <f>IF($A213="","",IF($F213="called_away",IF($AF213&gt;0,INDEX($AH$9:$AH$212,$AF213),0)*$AL213,IF($F213="sell_shares",$M213*$AL213,0)))</f>
        <v/>
      </c>
      <c r="AE213" s="51" t="str">
        <f>IF($A213="","",IF(OR($F213="sell_put",$F213="sell_call"),IF(AND($H213&gt;0,$I213&gt;0,$J213&gt;=0),$H213,0),IF(OR($F213="buy_to_close",$F213="expire",$F213="roll",$F213="assignment",$F213="called_away"),IF(AND($AF213&gt;0,$H213&gt;0,IF($F213="assignment",IF($AF213&gt;0,INDEX($AG$9:$AG$212,$AF213),"")="put",TRUE),IF($F213="called_away",IF($AF213&gt;0,INDEX($AG$9:$AG$212,$AF213),"")="call",TRUE)),MIN($H213,IF($AF213&gt;0,MAX(0,INDEX($AI$9:$AI$212,$AF213)-SUMIFS($AE$9:$AE$212,$G$9:$G$212,$G213,$B$9:$B$212,$B213)),0)),0),0)))</f>
        <v/>
      </c>
      <c r="AF213" t="str">
        <f>IF($A213="","",IFERROR(MATCH(LEN($B213)&amp;":"&amp;$B213&amp;$G213,$AY$9:$AY$212,0),0))</f>
        <v/>
      </c>
      <c r="AG213" t="str">
        <f>IF($A213="","",IF($F213="sell_put","put",IF($F213="sell_call","call",IF($F213="roll",IF($AF213&gt;0,IF($AF213&gt;0,INDEX($AG$9:$AG$212,$AF213),""),""),IF($AF213&gt;0,IF($AF213&gt;0,INDEX($AG$9:$AG$212,$AF213),""),"")))))</f>
        <v/>
      </c>
      <c r="AH213" t="str">
        <f>IF($A213="","",IF(OR($F213="sell_put",$F213="sell_call",$F213="roll"),$I213,IF($AF213&gt;0,IF($AF213&gt;0,INDEX($AH$9:$AH$212,$AF213),0),0)))</f>
        <v/>
      </c>
      <c r="AI213" s="51" t="str">
        <f t="shared" si="60"/>
        <v/>
      </c>
      <c r="AJ213" s="51" t="str">
        <f>IF($A213="","",IFERROR(LOOKUP(2,1/($B$9:$B$212=$B213),$AM$9:$AM212),0))</f>
        <v/>
      </c>
      <c r="AK213" t="str">
        <f>IF($A213="","",IFERROR(LOOKUP(2,1/($B$9:$B$212=$B213),$AN$9:$AN212),0))</f>
        <v/>
      </c>
      <c r="AL213" s="51" t="str">
        <f t="shared" si="61"/>
        <v/>
      </c>
      <c r="AM213" s="51" t="str">
        <f t="shared" si="62"/>
        <v/>
      </c>
      <c r="AN213" t="str">
        <f t="shared" si="63"/>
        <v/>
      </c>
      <c r="AO213" s="50" t="str">
        <f>IF($A213="","",IFERROR(LOOKUP(2,1/($B$9:$B$212=$B213),$AO$9:$AO212),0)+IF($F213="sell_put",$I213*$AE213*$D213,IF($F213="roll",IF($AG213="put",($I213-IF($AF213&gt;0,INDEX($AH$9:$AH$212,$AF213),0))*$AE213*$D213,0),IF(AND(OR($F213="buy_to_close",$F213="expire",$F213="roll",$F213="assignment",$F213="called_away"),$F213&lt;&gt;"roll",$AG213="put"),-IF($AF213&gt;0,INDEX($AH$9:$AH$212,$AF213),0)*$AE213*$D213,0))))</f>
        <v/>
      </c>
      <c r="AP213" s="51" t="str">
        <f>IF($A213="","",IFERROR(LOOKUP(2,1/($B$9:$B$212=$B213),$AP$9:$AP212),0)+IF($F213="sell_put",$AE213*$D213,IF(AND(OR($F213="buy_to_close",$F213="expire",$F213="roll",$F213="assignment",$F213="called_away"),$F213&lt;&gt;"roll",$AG213="put"),-$AE213*$D213,0)))</f>
        <v/>
      </c>
      <c r="AQ213" s="51" t="str">
        <f>IF($A213="","",IFERROR(LOOKUP(2,1/($B$9:$B$212=$B213),$AQ$9:$AQ212),0)+IF(OR($F213="sell_put",$F213="sell_call"),$AE213,0)-IF(AND(OR($F213="buy_to_close",$F213="expire",$F213="roll",$F213="assignment",$F213="called_away"),$F213&lt;&gt;"roll"),$AE213,0))</f>
        <v/>
      </c>
      <c r="AR213" t="str">
        <f t="shared" si="64"/>
        <v/>
      </c>
      <c r="AS213" s="50" t="str">
        <f t="shared" si="65"/>
        <v/>
      </c>
      <c r="AT213" s="50" t="str">
        <f>IF($A213="","",MAX(IF($T213=IFERROR(LOOKUP(2,1/($B$9:$B$212=$B213),$T$9:$T212),0),IFERROR(LOOKUP(2,1/($B$9:$B$212=$B213),$AT$9:$AT212),0),0),$AS213))</f>
        <v/>
      </c>
      <c r="AU213" t="str">
        <f t="shared" si="66"/>
        <v/>
      </c>
      <c r="AV213" s="51">
        <f>IF($AU213="",0,IF(AND(IFERROR(LOOKUP(2,1/($B$9:$B$212=$B213),$AR$9:$AR212),1),NOT(AND(OR($F213="dividend",$F213="fee"),IFERROR(LOOKUP(2,1/($B$9:$B$212=$B213),$T$9:$T212),0)&gt;0))),ROW(),0))</f>
        <v>0</v>
      </c>
      <c r="AW213">
        <f>IF($A213="",0,IF($AV213&gt;0,MAX($AW$9:$AW$212)+1,MAX($AW$9:$AW$212)))</f>
        <v>0</v>
      </c>
      <c r="AX213">
        <f>IF($AU213="",0,IF(AND($AR213,OR(NOT(IFERROR(LOOKUP(2,1/($B$9:$B$212=$B213),$AR$9:$AR212),1)),IFERROR(LOOKUP(2,1/($B$9:$B$212=$B213),$T$9:$T212),0)=0)),ROW(),0))</f>
        <v>0</v>
      </c>
      <c r="AY213" t="str">
        <f t="shared" si="67"/>
        <v/>
      </c>
    </row>
    <row r="214" spans="1:51" ht="15" x14ac:dyDescent="0.25">
      <c r="A214" s="52" t="str">
        <f>IF(Trades!$A214="","",Trades!O214)</f>
        <v/>
      </c>
      <c r="B214" s="52" t="str">
        <f>IF(Trades!$A214="","",Trades!B214)</f>
        <v/>
      </c>
      <c r="C214" s="52" t="str">
        <f>IF(Trades!$A214="","",Trades!C214)</f>
        <v/>
      </c>
      <c r="D214" s="53" t="str">
        <f>IF(Trades!$A214="","",IF(Trades!$L214&gt;0,Trades!$L214,Trades!$C$6))</f>
        <v/>
      </c>
      <c r="E214" s="54" t="str">
        <f>IF(Trades!$A214="","",Trades!A214)</f>
        <v/>
      </c>
      <c r="F214" s="52" t="str">
        <f>IF(Trades!$A214="","",IFERROR(INDEX(Trades!$V$2:$V$14,MATCH(Trades!$E214,Trades!$U$2:$U$14,0)),""))</f>
        <v/>
      </c>
      <c r="G214" s="52" t="str">
        <f>IF(Trades!$A214="","",Trades!N214)</f>
        <v/>
      </c>
      <c r="H214" s="53" t="str">
        <f>IF(Trades!$A214="","",Trades!F214)</f>
        <v/>
      </c>
      <c r="I214" s="55" t="str">
        <f>IF(Trades!$A214="","",Trades!G214)</f>
        <v/>
      </c>
      <c r="J214" s="55" t="str">
        <f>IF(Trades!$A214="","",Trades!I214)</f>
        <v/>
      </c>
      <c r="K214" s="55" t="str">
        <f>IF(Trades!$A214="","",Trades!Q214)</f>
        <v/>
      </c>
      <c r="L214" s="53" t="str">
        <f>IF(Trades!$A214="","",Trades!F214)</f>
        <v/>
      </c>
      <c r="M214" s="55" t="str">
        <f>IF(Trades!$A214="","",Trades!M214)</f>
        <v/>
      </c>
      <c r="N214" s="55" t="str">
        <f>IF(Trades!$A214="","",Trades!R214)</f>
        <v/>
      </c>
      <c r="O214" s="55" t="str">
        <f>IF(Trades!$A214="","",Trades!J214)</f>
        <v/>
      </c>
      <c r="P214" s="54" t="str">
        <f>IF(Trades!$A214="","",Trades!H214)</f>
        <v/>
      </c>
      <c r="Q214" s="52" t="str">
        <f>IF(Trades!$A214="","",Trades!P214)</f>
        <v/>
      </c>
      <c r="R214" s="56" t="str">
        <f t="shared" si="51"/>
        <v/>
      </c>
      <c r="S214" s="56" t="str">
        <f t="shared" si="52"/>
        <v/>
      </c>
      <c r="T214" s="57" t="str">
        <f>IF(OR($A214="",$B214=""),"",IF(AND(IFERROR(LOOKUP(2,1/($B$9:$B$213=$B214),$AR$9:$AR213),1),NOT(AND(OR($F214="dividend",$F214="fee"),IFERROR(LOOKUP(2,1/($B$9:$B$213=$B214),$T$9:$T213),0)&gt;0))),IFERROR(LOOKUP(2,1/($B$9:$B$213=$B214),$T$9:$T213),0)+1,IFERROR(LOOKUP(2,1/($B$9:$B$213=$B214),$T$9:$T213),0)))</f>
        <v/>
      </c>
      <c r="U214" s="58" t="str">
        <f t="shared" si="53"/>
        <v/>
      </c>
      <c r="V214" s="58" t="str">
        <f>IF($A214="","",IF(OR($B214="",$C214="",$D214="",$E214="",$F214=""),"Missing required field",IF(COUNTIFS($A$9:$A214,$A214,$B$9:$B214,$B214)&gt;1,"Duplicate event ID",IF(AND($E214&lt;&gt;IFERROR(LOOKUP(2,1/($B$9:$B$213=$B214),$E$9:$E213),0),IFERROR(LOOKUP(2,1/($B$9:$B$213=$B214),$E$9:$E213),0)&gt;$E214),"Date out of order",IF(AND(OR($F214="buy_to_close",$F214="expire",$F214="roll",$F214="assignment",$F214="called_away"),$AF214=0),"Unknown lot",IF(OR(AND($F214="assignment",$AF214&gt;0,IF($AF214&gt;0,INDEX($AG$9:$AG$213,$AF214),"")&lt;&gt;"put"),AND($F214="called_away",$AF214&gt;0,IF($AF214&gt;0,INDEX($AG$9:$AG$213,$AF214),"")&lt;&gt;"call")),"Wrong option leg",IF(OR(AND(OR($F214="sell_put",$F214="sell_call"),OR($H214&lt;=0,$I214&lt;=0,$J214&lt;0)),AND(OR($F214="buy_to_close",$F214="expire",$F214="assignment",$F214="called_away"),OR($H214&lt;=0,$J214&lt;0)),AND($F214="roll",OR($H214&lt;=0,$I214&lt;=0,$J214&lt;0,$K214&lt;0)),AND(OR($F214="buy_shares",$F214="sell_shares"),OR($L214&lt;=0,$M214&lt;0)),AND(OR($F214="dividend",$F214="fee"),$N214&lt;0)),"Invalid value",IF(AND(OR($F214="sell_shares",$F214="called_away"),$AL214&lt;IF($F214="called_away",$AE214*$D214,$L214)),"Insufficient shares (capped)",IF(AND(OR($F214="buy_to_close",$F214="expire",$F214="roll",$F214="assignment",$F214="called_away"),$AF214&gt;0,$H214&gt;IF($AF214&gt;0,MAX(0,INDEX($AI$9:$AI$213,$AF214)-SUMIFS($AE$9:$AE$213,$G$9:$G$213,$G214,$B$9:$B$213,$B214)),0)),"Close quantity capped","OK")))))))))</f>
        <v/>
      </c>
      <c r="W214" s="59" t="str">
        <f t="shared" si="54"/>
        <v/>
      </c>
      <c r="X214" s="60" t="str">
        <f t="shared" si="55"/>
        <v/>
      </c>
      <c r="Y214" s="50" t="str">
        <f t="shared" si="56"/>
        <v/>
      </c>
      <c r="Z214" s="50" t="str">
        <f t="shared" si="57"/>
        <v/>
      </c>
      <c r="AA214" s="50" t="str">
        <f t="shared" si="58"/>
        <v/>
      </c>
      <c r="AB214" s="50" t="str">
        <f t="shared" si="59"/>
        <v/>
      </c>
      <c r="AC214" s="50" t="str">
        <f>IF($A214="","",IF($F214="assignment",IF($AF214&gt;0,INDEX($AH$9:$AH$213,$AF214),0)*$AE214*$D214,IF($F214="buy_shares",$M214*$AL214,0)))</f>
        <v/>
      </c>
      <c r="AD214" s="50" t="str">
        <f>IF($A214="","",IF($F214="called_away",IF($AF214&gt;0,INDEX($AH$9:$AH$213,$AF214),0)*$AL214,IF($F214="sell_shares",$M214*$AL214,0)))</f>
        <v/>
      </c>
      <c r="AE214" s="51" t="str">
        <f>IF($A214="","",IF(OR($F214="sell_put",$F214="sell_call"),IF(AND($H214&gt;0,$I214&gt;0,$J214&gt;=0),$H214,0),IF(OR($F214="buy_to_close",$F214="expire",$F214="roll",$F214="assignment",$F214="called_away"),IF(AND($AF214&gt;0,$H214&gt;0,IF($F214="assignment",IF($AF214&gt;0,INDEX($AG$9:$AG$213,$AF214),"")="put",TRUE),IF($F214="called_away",IF($AF214&gt;0,INDEX($AG$9:$AG$213,$AF214),"")="call",TRUE)),MIN($H214,IF($AF214&gt;0,MAX(0,INDEX($AI$9:$AI$213,$AF214)-SUMIFS($AE$9:$AE$213,$G$9:$G$213,$G214,$B$9:$B$213,$B214)),0)),0),0)))</f>
        <v/>
      </c>
      <c r="AF214" t="str">
        <f>IF($A214="","",IFERROR(MATCH(LEN($B214)&amp;":"&amp;$B214&amp;$G214,$AY$9:$AY$213,0),0))</f>
        <v/>
      </c>
      <c r="AG214" t="str">
        <f>IF($A214="","",IF($F214="sell_put","put",IF($F214="sell_call","call",IF($F214="roll",IF($AF214&gt;0,IF($AF214&gt;0,INDEX($AG$9:$AG$213,$AF214),""),""),IF($AF214&gt;0,IF($AF214&gt;0,INDEX($AG$9:$AG$213,$AF214),""),"")))))</f>
        <v/>
      </c>
      <c r="AH214" t="str">
        <f>IF($A214="","",IF(OR($F214="sell_put",$F214="sell_call",$F214="roll"),$I214,IF($AF214&gt;0,IF($AF214&gt;0,INDEX($AH$9:$AH$213,$AF214),0),0)))</f>
        <v/>
      </c>
      <c r="AI214" s="51" t="str">
        <f t="shared" si="60"/>
        <v/>
      </c>
      <c r="AJ214" s="51" t="str">
        <f>IF($A214="","",IFERROR(LOOKUP(2,1/($B$9:$B$213=$B214),$AM$9:$AM213),0))</f>
        <v/>
      </c>
      <c r="AK214" t="str">
        <f>IF($A214="","",IFERROR(LOOKUP(2,1/($B$9:$B$213=$B214),$AN$9:$AN213),0))</f>
        <v/>
      </c>
      <c r="AL214" s="51" t="str">
        <f t="shared" si="61"/>
        <v/>
      </c>
      <c r="AM214" s="51" t="str">
        <f t="shared" si="62"/>
        <v/>
      </c>
      <c r="AN214" t="str">
        <f t="shared" si="63"/>
        <v/>
      </c>
      <c r="AO214" s="50" t="str">
        <f>IF($A214="","",IFERROR(LOOKUP(2,1/($B$9:$B$213=$B214),$AO$9:$AO213),0)+IF($F214="sell_put",$I214*$AE214*$D214,IF($F214="roll",IF($AG214="put",($I214-IF($AF214&gt;0,INDEX($AH$9:$AH$213,$AF214),0))*$AE214*$D214,0),IF(AND(OR($F214="buy_to_close",$F214="expire",$F214="roll",$F214="assignment",$F214="called_away"),$F214&lt;&gt;"roll",$AG214="put"),-IF($AF214&gt;0,INDEX($AH$9:$AH$213,$AF214),0)*$AE214*$D214,0))))</f>
        <v/>
      </c>
      <c r="AP214" s="51" t="str">
        <f>IF($A214="","",IFERROR(LOOKUP(2,1/($B$9:$B$213=$B214),$AP$9:$AP213),0)+IF($F214="sell_put",$AE214*$D214,IF(AND(OR($F214="buy_to_close",$F214="expire",$F214="roll",$F214="assignment",$F214="called_away"),$F214&lt;&gt;"roll",$AG214="put"),-$AE214*$D214,0)))</f>
        <v/>
      </c>
      <c r="AQ214" s="51" t="str">
        <f>IF($A214="","",IFERROR(LOOKUP(2,1/($B$9:$B$213=$B214),$AQ$9:$AQ213),0)+IF(OR($F214="sell_put",$F214="sell_call"),$AE214,0)-IF(AND(OR($F214="buy_to_close",$F214="expire",$F214="roll",$F214="assignment",$F214="called_away"),$F214&lt;&gt;"roll"),$AE214,0))</f>
        <v/>
      </c>
      <c r="AR214" t="str">
        <f t="shared" si="64"/>
        <v/>
      </c>
      <c r="AS214" s="50" t="str">
        <f t="shared" si="65"/>
        <v/>
      </c>
      <c r="AT214" s="50" t="str">
        <f>IF($A214="","",MAX(IF($T214=IFERROR(LOOKUP(2,1/($B$9:$B$213=$B214),$T$9:$T213),0),IFERROR(LOOKUP(2,1/($B$9:$B$213=$B214),$AT$9:$AT213),0),0),$AS214))</f>
        <v/>
      </c>
      <c r="AU214" t="str">
        <f t="shared" si="66"/>
        <v/>
      </c>
      <c r="AV214" s="51">
        <f>IF($AU214="",0,IF(AND(IFERROR(LOOKUP(2,1/($B$9:$B$213=$B214),$AR$9:$AR213),1),NOT(AND(OR($F214="dividend",$F214="fee"),IFERROR(LOOKUP(2,1/($B$9:$B$213=$B214),$T$9:$T213),0)&gt;0))),ROW(),0))</f>
        <v>0</v>
      </c>
      <c r="AW214">
        <f>IF($A214="",0,IF($AV214&gt;0,MAX($AW$9:$AW$213)+1,MAX($AW$9:$AW$213)))</f>
        <v>0</v>
      </c>
      <c r="AX214">
        <f>IF($AU214="",0,IF(AND($AR214,OR(NOT(IFERROR(LOOKUP(2,1/($B$9:$B$213=$B214),$AR$9:$AR213),1)),IFERROR(LOOKUP(2,1/($B$9:$B$213=$B214),$T$9:$T213),0)=0)),ROW(),0))</f>
        <v>0</v>
      </c>
      <c r="AY214" t="str">
        <f t="shared" si="67"/>
        <v/>
      </c>
    </row>
    <row r="215" spans="1:51" ht="15" x14ac:dyDescent="0.25">
      <c r="A215" s="41" t="str">
        <f>IF(Trades!$A215="","",Trades!O215)</f>
        <v/>
      </c>
      <c r="B215" s="41" t="str">
        <f>IF(Trades!$A215="","",Trades!B215)</f>
        <v/>
      </c>
      <c r="C215" s="41" t="str">
        <f>IF(Trades!$A215="","",Trades!C215)</f>
        <v/>
      </c>
      <c r="D215" s="42" t="str">
        <f>IF(Trades!$A215="","",IF(Trades!$L215&gt;0,Trades!$L215,Trades!$C$6))</f>
        <v/>
      </c>
      <c r="E215" s="43" t="str">
        <f>IF(Trades!$A215="","",Trades!A215)</f>
        <v/>
      </c>
      <c r="F215" s="41" t="str">
        <f>IF(Trades!$A215="","",IFERROR(INDEX(Trades!$V$2:$V$14,MATCH(Trades!$E215,Trades!$U$2:$U$14,0)),""))</f>
        <v/>
      </c>
      <c r="G215" s="41" t="str">
        <f>IF(Trades!$A215="","",Trades!N215)</f>
        <v/>
      </c>
      <c r="H215" s="42" t="str">
        <f>IF(Trades!$A215="","",Trades!F215)</f>
        <v/>
      </c>
      <c r="I215" s="44" t="str">
        <f>IF(Trades!$A215="","",Trades!G215)</f>
        <v/>
      </c>
      <c r="J215" s="44" t="str">
        <f>IF(Trades!$A215="","",Trades!I215)</f>
        <v/>
      </c>
      <c r="K215" s="44" t="str">
        <f>IF(Trades!$A215="","",Trades!Q215)</f>
        <v/>
      </c>
      <c r="L215" s="42" t="str">
        <f>IF(Trades!$A215="","",Trades!F215)</f>
        <v/>
      </c>
      <c r="M215" s="44" t="str">
        <f>IF(Trades!$A215="","",Trades!M215)</f>
        <v/>
      </c>
      <c r="N215" s="44" t="str">
        <f>IF(Trades!$A215="","",Trades!R215)</f>
        <v/>
      </c>
      <c r="O215" s="44" t="str">
        <f>IF(Trades!$A215="","",Trades!J215)</f>
        <v/>
      </c>
      <c r="P215" s="43" t="str">
        <f>IF(Trades!$A215="","",Trades!H215)</f>
        <v/>
      </c>
      <c r="Q215" s="41" t="str">
        <f>IF(Trades!$A215="","",Trades!P215)</f>
        <v/>
      </c>
      <c r="R215" s="45" t="str">
        <f t="shared" si="51"/>
        <v/>
      </c>
      <c r="S215" s="45" t="str">
        <f t="shared" si="52"/>
        <v/>
      </c>
      <c r="T215" s="46" t="str">
        <f>IF(OR($A215="",$B215=""),"",IF(AND(IFERROR(LOOKUP(2,1/($B$9:$B$214=$B215),$AR$9:$AR214),1),NOT(AND(OR($F215="dividend",$F215="fee"),IFERROR(LOOKUP(2,1/($B$9:$B$214=$B215),$T$9:$T214),0)&gt;0))),IFERROR(LOOKUP(2,1/($B$9:$B$214=$B215),$T$9:$T214),0)+1,IFERROR(LOOKUP(2,1/($B$9:$B$214=$B215),$T$9:$T214),0)))</f>
        <v/>
      </c>
      <c r="U215" s="47" t="str">
        <f t="shared" si="53"/>
        <v/>
      </c>
      <c r="V215" s="47" t="str">
        <f>IF($A215="","",IF(OR($B215="",$C215="",$D215="",$E215="",$F215=""),"Missing required field",IF(COUNTIFS($A$9:$A215,$A215,$B$9:$B215,$B215)&gt;1,"Duplicate event ID",IF(AND($E215&lt;&gt;IFERROR(LOOKUP(2,1/($B$9:$B$214=$B215),$E$9:$E214),0),IFERROR(LOOKUP(2,1/($B$9:$B$214=$B215),$E$9:$E214),0)&gt;$E215),"Date out of order",IF(AND(OR($F215="buy_to_close",$F215="expire",$F215="roll",$F215="assignment",$F215="called_away"),$AF215=0),"Unknown lot",IF(OR(AND($F215="assignment",$AF215&gt;0,IF($AF215&gt;0,INDEX($AG$9:$AG$214,$AF215),"")&lt;&gt;"put"),AND($F215="called_away",$AF215&gt;0,IF($AF215&gt;0,INDEX($AG$9:$AG$214,$AF215),"")&lt;&gt;"call")),"Wrong option leg",IF(OR(AND(OR($F215="sell_put",$F215="sell_call"),OR($H215&lt;=0,$I215&lt;=0,$J215&lt;0)),AND(OR($F215="buy_to_close",$F215="expire",$F215="assignment",$F215="called_away"),OR($H215&lt;=0,$J215&lt;0)),AND($F215="roll",OR($H215&lt;=0,$I215&lt;=0,$J215&lt;0,$K215&lt;0)),AND(OR($F215="buy_shares",$F215="sell_shares"),OR($L215&lt;=0,$M215&lt;0)),AND(OR($F215="dividend",$F215="fee"),$N215&lt;0)),"Invalid value",IF(AND(OR($F215="sell_shares",$F215="called_away"),$AL215&lt;IF($F215="called_away",$AE215*$D215,$L215)),"Insufficient shares (capped)",IF(AND(OR($F215="buy_to_close",$F215="expire",$F215="roll",$F215="assignment",$F215="called_away"),$AF215&gt;0,$H215&gt;IF($AF215&gt;0,MAX(0,INDEX($AI$9:$AI$214,$AF215)-SUMIFS($AE$9:$AE$214,$G$9:$G$214,$G215,$B$9:$B$214,$B215)),0)),"Close quantity capped","OK")))))))))</f>
        <v/>
      </c>
      <c r="W215" s="48" t="str">
        <f t="shared" si="54"/>
        <v/>
      </c>
      <c r="X215" s="49" t="str">
        <f t="shared" si="55"/>
        <v/>
      </c>
      <c r="Y215" s="50" t="str">
        <f t="shared" si="56"/>
        <v/>
      </c>
      <c r="Z215" s="50" t="str">
        <f t="shared" si="57"/>
        <v/>
      </c>
      <c r="AA215" s="50" t="str">
        <f t="shared" si="58"/>
        <v/>
      </c>
      <c r="AB215" s="50" t="str">
        <f t="shared" si="59"/>
        <v/>
      </c>
      <c r="AC215" s="50" t="str">
        <f>IF($A215="","",IF($F215="assignment",IF($AF215&gt;0,INDEX($AH$9:$AH$214,$AF215),0)*$AE215*$D215,IF($F215="buy_shares",$M215*$AL215,0)))</f>
        <v/>
      </c>
      <c r="AD215" s="50" t="str">
        <f>IF($A215="","",IF($F215="called_away",IF($AF215&gt;0,INDEX($AH$9:$AH$214,$AF215),0)*$AL215,IF($F215="sell_shares",$M215*$AL215,0)))</f>
        <v/>
      </c>
      <c r="AE215" s="51" t="str">
        <f>IF($A215="","",IF(OR($F215="sell_put",$F215="sell_call"),IF(AND($H215&gt;0,$I215&gt;0,$J215&gt;=0),$H215,0),IF(OR($F215="buy_to_close",$F215="expire",$F215="roll",$F215="assignment",$F215="called_away"),IF(AND($AF215&gt;0,$H215&gt;0,IF($F215="assignment",IF($AF215&gt;0,INDEX($AG$9:$AG$214,$AF215),"")="put",TRUE),IF($F215="called_away",IF($AF215&gt;0,INDEX($AG$9:$AG$214,$AF215),"")="call",TRUE)),MIN($H215,IF($AF215&gt;0,MAX(0,INDEX($AI$9:$AI$214,$AF215)-SUMIFS($AE$9:$AE$214,$G$9:$G$214,$G215,$B$9:$B$214,$B215)),0)),0),0)))</f>
        <v/>
      </c>
      <c r="AF215" t="str">
        <f>IF($A215="","",IFERROR(MATCH(LEN($B215)&amp;":"&amp;$B215&amp;$G215,$AY$9:$AY$214,0),0))</f>
        <v/>
      </c>
      <c r="AG215" t="str">
        <f>IF($A215="","",IF($F215="sell_put","put",IF($F215="sell_call","call",IF($F215="roll",IF($AF215&gt;0,IF($AF215&gt;0,INDEX($AG$9:$AG$214,$AF215),""),""),IF($AF215&gt;0,IF($AF215&gt;0,INDEX($AG$9:$AG$214,$AF215),""),"")))))</f>
        <v/>
      </c>
      <c r="AH215" t="str">
        <f>IF($A215="","",IF(OR($F215="sell_put",$F215="sell_call",$F215="roll"),$I215,IF($AF215&gt;0,IF($AF215&gt;0,INDEX($AH$9:$AH$214,$AF215),0),0)))</f>
        <v/>
      </c>
      <c r="AI215" s="51" t="str">
        <f t="shared" si="60"/>
        <v/>
      </c>
      <c r="AJ215" s="51" t="str">
        <f>IF($A215="","",IFERROR(LOOKUP(2,1/($B$9:$B$214=$B215),$AM$9:$AM214),0))</f>
        <v/>
      </c>
      <c r="AK215" t="str">
        <f>IF($A215="","",IFERROR(LOOKUP(2,1/($B$9:$B$214=$B215),$AN$9:$AN214),0))</f>
        <v/>
      </c>
      <c r="AL215" s="51" t="str">
        <f t="shared" si="61"/>
        <v/>
      </c>
      <c r="AM215" s="51" t="str">
        <f t="shared" si="62"/>
        <v/>
      </c>
      <c r="AN215" t="str">
        <f t="shared" si="63"/>
        <v/>
      </c>
      <c r="AO215" s="50" t="str">
        <f>IF($A215="","",IFERROR(LOOKUP(2,1/($B$9:$B$214=$B215),$AO$9:$AO214),0)+IF($F215="sell_put",$I215*$AE215*$D215,IF($F215="roll",IF($AG215="put",($I215-IF($AF215&gt;0,INDEX($AH$9:$AH$214,$AF215),0))*$AE215*$D215,0),IF(AND(OR($F215="buy_to_close",$F215="expire",$F215="roll",$F215="assignment",$F215="called_away"),$F215&lt;&gt;"roll",$AG215="put"),-IF($AF215&gt;0,INDEX($AH$9:$AH$214,$AF215),0)*$AE215*$D215,0))))</f>
        <v/>
      </c>
      <c r="AP215" s="51" t="str">
        <f>IF($A215="","",IFERROR(LOOKUP(2,1/($B$9:$B$214=$B215),$AP$9:$AP214),0)+IF($F215="sell_put",$AE215*$D215,IF(AND(OR($F215="buy_to_close",$F215="expire",$F215="roll",$F215="assignment",$F215="called_away"),$F215&lt;&gt;"roll",$AG215="put"),-$AE215*$D215,0)))</f>
        <v/>
      </c>
      <c r="AQ215" s="51" t="str">
        <f>IF($A215="","",IFERROR(LOOKUP(2,1/($B$9:$B$214=$B215),$AQ$9:$AQ214),0)+IF(OR($F215="sell_put",$F215="sell_call"),$AE215,0)-IF(AND(OR($F215="buy_to_close",$F215="expire",$F215="roll",$F215="assignment",$F215="called_away"),$F215&lt;&gt;"roll"),$AE215,0))</f>
        <v/>
      </c>
      <c r="AR215" t="str">
        <f t="shared" si="64"/>
        <v/>
      </c>
      <c r="AS215" s="50" t="str">
        <f t="shared" si="65"/>
        <v/>
      </c>
      <c r="AT215" s="50" t="str">
        <f>IF($A215="","",MAX(IF($T215=IFERROR(LOOKUP(2,1/($B$9:$B$214=$B215),$T$9:$T214),0),IFERROR(LOOKUP(2,1/($B$9:$B$214=$B215),$AT$9:$AT214),0),0),$AS215))</f>
        <v/>
      </c>
      <c r="AU215" t="str">
        <f t="shared" si="66"/>
        <v/>
      </c>
      <c r="AV215" s="51">
        <f>IF($AU215="",0,IF(AND(IFERROR(LOOKUP(2,1/($B$9:$B$214=$B215),$AR$9:$AR214),1),NOT(AND(OR($F215="dividend",$F215="fee"),IFERROR(LOOKUP(2,1/($B$9:$B$214=$B215),$T$9:$T214),0)&gt;0))),ROW(),0))</f>
        <v>0</v>
      </c>
      <c r="AW215">
        <f>IF($A215="",0,IF($AV215&gt;0,MAX($AW$9:$AW$214)+1,MAX($AW$9:$AW$214)))</f>
        <v>0</v>
      </c>
      <c r="AX215">
        <f>IF($AU215="",0,IF(AND($AR215,OR(NOT(IFERROR(LOOKUP(2,1/($B$9:$B$214=$B215),$AR$9:$AR214),1)),IFERROR(LOOKUP(2,1/($B$9:$B$214=$B215),$T$9:$T214),0)=0)),ROW(),0))</f>
        <v>0</v>
      </c>
      <c r="AY215" t="str">
        <f t="shared" si="67"/>
        <v/>
      </c>
    </row>
    <row r="216" spans="1:51" ht="15" x14ac:dyDescent="0.25">
      <c r="A216" s="52" t="str">
        <f>IF(Trades!$A216="","",Trades!O216)</f>
        <v/>
      </c>
      <c r="B216" s="52" t="str">
        <f>IF(Trades!$A216="","",Trades!B216)</f>
        <v/>
      </c>
      <c r="C216" s="52" t="str">
        <f>IF(Trades!$A216="","",Trades!C216)</f>
        <v/>
      </c>
      <c r="D216" s="53" t="str">
        <f>IF(Trades!$A216="","",IF(Trades!$L216&gt;0,Trades!$L216,Trades!$C$6))</f>
        <v/>
      </c>
      <c r="E216" s="54" t="str">
        <f>IF(Trades!$A216="","",Trades!A216)</f>
        <v/>
      </c>
      <c r="F216" s="52" t="str">
        <f>IF(Trades!$A216="","",IFERROR(INDEX(Trades!$V$2:$V$14,MATCH(Trades!$E216,Trades!$U$2:$U$14,0)),""))</f>
        <v/>
      </c>
      <c r="G216" s="52" t="str">
        <f>IF(Trades!$A216="","",Trades!N216)</f>
        <v/>
      </c>
      <c r="H216" s="53" t="str">
        <f>IF(Trades!$A216="","",Trades!F216)</f>
        <v/>
      </c>
      <c r="I216" s="55" t="str">
        <f>IF(Trades!$A216="","",Trades!G216)</f>
        <v/>
      </c>
      <c r="J216" s="55" t="str">
        <f>IF(Trades!$A216="","",Trades!I216)</f>
        <v/>
      </c>
      <c r="K216" s="55" t="str">
        <f>IF(Trades!$A216="","",Trades!Q216)</f>
        <v/>
      </c>
      <c r="L216" s="53" t="str">
        <f>IF(Trades!$A216="","",Trades!F216)</f>
        <v/>
      </c>
      <c r="M216" s="55" t="str">
        <f>IF(Trades!$A216="","",Trades!M216)</f>
        <v/>
      </c>
      <c r="N216" s="55" t="str">
        <f>IF(Trades!$A216="","",Trades!R216)</f>
        <v/>
      </c>
      <c r="O216" s="55" t="str">
        <f>IF(Trades!$A216="","",Trades!J216)</f>
        <v/>
      </c>
      <c r="P216" s="54" t="str">
        <f>IF(Trades!$A216="","",Trades!H216)</f>
        <v/>
      </c>
      <c r="Q216" s="52" t="str">
        <f>IF(Trades!$A216="","",Trades!P216)</f>
        <v/>
      </c>
      <c r="R216" s="56" t="str">
        <f t="shared" si="51"/>
        <v/>
      </c>
      <c r="S216" s="56" t="str">
        <f t="shared" si="52"/>
        <v/>
      </c>
      <c r="T216" s="57" t="str">
        <f>IF(OR($A216="",$B216=""),"",IF(AND(IFERROR(LOOKUP(2,1/($B$9:$B$215=$B216),$AR$9:$AR215),1),NOT(AND(OR($F216="dividend",$F216="fee"),IFERROR(LOOKUP(2,1/($B$9:$B$215=$B216),$T$9:$T215),0)&gt;0))),IFERROR(LOOKUP(2,1/($B$9:$B$215=$B216),$T$9:$T215),0)+1,IFERROR(LOOKUP(2,1/($B$9:$B$215=$B216),$T$9:$T215),0)))</f>
        <v/>
      </c>
      <c r="U216" s="58" t="str">
        <f t="shared" si="53"/>
        <v/>
      </c>
      <c r="V216" s="58" t="str">
        <f>IF($A216="","",IF(OR($B216="",$C216="",$D216="",$E216="",$F216=""),"Missing required field",IF(COUNTIFS($A$9:$A216,$A216,$B$9:$B216,$B216)&gt;1,"Duplicate event ID",IF(AND($E216&lt;&gt;IFERROR(LOOKUP(2,1/($B$9:$B$215=$B216),$E$9:$E215),0),IFERROR(LOOKUP(2,1/($B$9:$B$215=$B216),$E$9:$E215),0)&gt;$E216),"Date out of order",IF(AND(OR($F216="buy_to_close",$F216="expire",$F216="roll",$F216="assignment",$F216="called_away"),$AF216=0),"Unknown lot",IF(OR(AND($F216="assignment",$AF216&gt;0,IF($AF216&gt;0,INDEX($AG$9:$AG$215,$AF216),"")&lt;&gt;"put"),AND($F216="called_away",$AF216&gt;0,IF($AF216&gt;0,INDEX($AG$9:$AG$215,$AF216),"")&lt;&gt;"call")),"Wrong option leg",IF(OR(AND(OR($F216="sell_put",$F216="sell_call"),OR($H216&lt;=0,$I216&lt;=0,$J216&lt;0)),AND(OR($F216="buy_to_close",$F216="expire",$F216="assignment",$F216="called_away"),OR($H216&lt;=0,$J216&lt;0)),AND($F216="roll",OR($H216&lt;=0,$I216&lt;=0,$J216&lt;0,$K216&lt;0)),AND(OR($F216="buy_shares",$F216="sell_shares"),OR($L216&lt;=0,$M216&lt;0)),AND(OR($F216="dividend",$F216="fee"),$N216&lt;0)),"Invalid value",IF(AND(OR($F216="sell_shares",$F216="called_away"),$AL216&lt;IF($F216="called_away",$AE216*$D216,$L216)),"Insufficient shares (capped)",IF(AND(OR($F216="buy_to_close",$F216="expire",$F216="roll",$F216="assignment",$F216="called_away"),$AF216&gt;0,$H216&gt;IF($AF216&gt;0,MAX(0,INDEX($AI$9:$AI$215,$AF216)-SUMIFS($AE$9:$AE$215,$G$9:$G$215,$G216,$B$9:$B$215,$B216)),0)),"Close quantity capped","OK")))))))))</f>
        <v/>
      </c>
      <c r="W216" s="59" t="str">
        <f t="shared" si="54"/>
        <v/>
      </c>
      <c r="X216" s="60" t="str">
        <f t="shared" si="55"/>
        <v/>
      </c>
      <c r="Y216" s="50" t="str">
        <f t="shared" si="56"/>
        <v/>
      </c>
      <c r="Z216" s="50" t="str">
        <f t="shared" si="57"/>
        <v/>
      </c>
      <c r="AA216" s="50" t="str">
        <f t="shared" si="58"/>
        <v/>
      </c>
      <c r="AB216" s="50" t="str">
        <f t="shared" si="59"/>
        <v/>
      </c>
      <c r="AC216" s="50" t="str">
        <f>IF($A216="","",IF($F216="assignment",IF($AF216&gt;0,INDEX($AH$9:$AH$215,$AF216),0)*$AE216*$D216,IF($F216="buy_shares",$M216*$AL216,0)))</f>
        <v/>
      </c>
      <c r="AD216" s="50" t="str">
        <f>IF($A216="","",IF($F216="called_away",IF($AF216&gt;0,INDEX($AH$9:$AH$215,$AF216),0)*$AL216,IF($F216="sell_shares",$M216*$AL216,0)))</f>
        <v/>
      </c>
      <c r="AE216" s="51" t="str">
        <f>IF($A216="","",IF(OR($F216="sell_put",$F216="sell_call"),IF(AND($H216&gt;0,$I216&gt;0,$J216&gt;=0),$H216,0),IF(OR($F216="buy_to_close",$F216="expire",$F216="roll",$F216="assignment",$F216="called_away"),IF(AND($AF216&gt;0,$H216&gt;0,IF($F216="assignment",IF($AF216&gt;0,INDEX($AG$9:$AG$215,$AF216),"")="put",TRUE),IF($F216="called_away",IF($AF216&gt;0,INDEX($AG$9:$AG$215,$AF216),"")="call",TRUE)),MIN($H216,IF($AF216&gt;0,MAX(0,INDEX($AI$9:$AI$215,$AF216)-SUMIFS($AE$9:$AE$215,$G$9:$G$215,$G216,$B$9:$B$215,$B216)),0)),0),0)))</f>
        <v/>
      </c>
      <c r="AF216" t="str">
        <f>IF($A216="","",IFERROR(MATCH(LEN($B216)&amp;":"&amp;$B216&amp;$G216,$AY$9:$AY$215,0),0))</f>
        <v/>
      </c>
      <c r="AG216" t="str">
        <f>IF($A216="","",IF($F216="sell_put","put",IF($F216="sell_call","call",IF($F216="roll",IF($AF216&gt;0,IF($AF216&gt;0,INDEX($AG$9:$AG$215,$AF216),""),""),IF($AF216&gt;0,IF($AF216&gt;0,INDEX($AG$9:$AG$215,$AF216),""),"")))))</f>
        <v/>
      </c>
      <c r="AH216" t="str">
        <f>IF($A216="","",IF(OR($F216="sell_put",$F216="sell_call",$F216="roll"),$I216,IF($AF216&gt;0,IF($AF216&gt;0,INDEX($AH$9:$AH$215,$AF216),0),0)))</f>
        <v/>
      </c>
      <c r="AI216" s="51" t="str">
        <f t="shared" si="60"/>
        <v/>
      </c>
      <c r="AJ216" s="51" t="str">
        <f>IF($A216="","",IFERROR(LOOKUP(2,1/($B$9:$B$215=$B216),$AM$9:$AM215),0))</f>
        <v/>
      </c>
      <c r="AK216" t="str">
        <f>IF($A216="","",IFERROR(LOOKUP(2,1/($B$9:$B$215=$B216),$AN$9:$AN215),0))</f>
        <v/>
      </c>
      <c r="AL216" s="51" t="str">
        <f t="shared" si="61"/>
        <v/>
      </c>
      <c r="AM216" s="51" t="str">
        <f t="shared" si="62"/>
        <v/>
      </c>
      <c r="AN216" t="str">
        <f t="shared" si="63"/>
        <v/>
      </c>
      <c r="AO216" s="50" t="str">
        <f>IF($A216="","",IFERROR(LOOKUP(2,1/($B$9:$B$215=$B216),$AO$9:$AO215),0)+IF($F216="sell_put",$I216*$AE216*$D216,IF($F216="roll",IF($AG216="put",($I216-IF($AF216&gt;0,INDEX($AH$9:$AH$215,$AF216),0))*$AE216*$D216,0),IF(AND(OR($F216="buy_to_close",$F216="expire",$F216="roll",$F216="assignment",$F216="called_away"),$F216&lt;&gt;"roll",$AG216="put"),-IF($AF216&gt;0,INDEX($AH$9:$AH$215,$AF216),0)*$AE216*$D216,0))))</f>
        <v/>
      </c>
      <c r="AP216" s="51" t="str">
        <f>IF($A216="","",IFERROR(LOOKUP(2,1/($B$9:$B$215=$B216),$AP$9:$AP215),0)+IF($F216="sell_put",$AE216*$D216,IF(AND(OR($F216="buy_to_close",$F216="expire",$F216="roll",$F216="assignment",$F216="called_away"),$F216&lt;&gt;"roll",$AG216="put"),-$AE216*$D216,0)))</f>
        <v/>
      </c>
      <c r="AQ216" s="51" t="str">
        <f>IF($A216="","",IFERROR(LOOKUP(2,1/($B$9:$B$215=$B216),$AQ$9:$AQ215),0)+IF(OR($F216="sell_put",$F216="sell_call"),$AE216,0)-IF(AND(OR($F216="buy_to_close",$F216="expire",$F216="roll",$F216="assignment",$F216="called_away"),$F216&lt;&gt;"roll"),$AE216,0))</f>
        <v/>
      </c>
      <c r="AR216" t="str">
        <f t="shared" si="64"/>
        <v/>
      </c>
      <c r="AS216" s="50" t="str">
        <f t="shared" si="65"/>
        <v/>
      </c>
      <c r="AT216" s="50" t="str">
        <f>IF($A216="","",MAX(IF($T216=IFERROR(LOOKUP(2,1/($B$9:$B$215=$B216),$T$9:$T215),0),IFERROR(LOOKUP(2,1/($B$9:$B$215=$B216),$AT$9:$AT215),0),0),$AS216))</f>
        <v/>
      </c>
      <c r="AU216" t="str">
        <f t="shared" si="66"/>
        <v/>
      </c>
      <c r="AV216" s="51">
        <f>IF($AU216="",0,IF(AND(IFERROR(LOOKUP(2,1/($B$9:$B$215=$B216),$AR$9:$AR215),1),NOT(AND(OR($F216="dividend",$F216="fee"),IFERROR(LOOKUP(2,1/($B$9:$B$215=$B216),$T$9:$T215),0)&gt;0))),ROW(),0))</f>
        <v>0</v>
      </c>
      <c r="AW216">
        <f>IF($A216="",0,IF($AV216&gt;0,MAX($AW$9:$AW$215)+1,MAX($AW$9:$AW$215)))</f>
        <v>0</v>
      </c>
      <c r="AX216">
        <f>IF($AU216="",0,IF(AND($AR216,OR(NOT(IFERROR(LOOKUP(2,1/($B$9:$B$215=$B216),$AR$9:$AR215),1)),IFERROR(LOOKUP(2,1/($B$9:$B$215=$B216),$T$9:$T215),0)=0)),ROW(),0))</f>
        <v>0</v>
      </c>
      <c r="AY216" t="str">
        <f t="shared" si="67"/>
        <v/>
      </c>
    </row>
    <row r="217" spans="1:51" ht="15" x14ac:dyDescent="0.25">
      <c r="A217" s="41" t="str">
        <f>IF(Trades!$A217="","",Trades!O217)</f>
        <v/>
      </c>
      <c r="B217" s="41" t="str">
        <f>IF(Trades!$A217="","",Trades!B217)</f>
        <v/>
      </c>
      <c r="C217" s="41" t="str">
        <f>IF(Trades!$A217="","",Trades!C217)</f>
        <v/>
      </c>
      <c r="D217" s="42" t="str">
        <f>IF(Trades!$A217="","",IF(Trades!$L217&gt;0,Trades!$L217,Trades!$C$6))</f>
        <v/>
      </c>
      <c r="E217" s="43" t="str">
        <f>IF(Trades!$A217="","",Trades!A217)</f>
        <v/>
      </c>
      <c r="F217" s="41" t="str">
        <f>IF(Trades!$A217="","",IFERROR(INDEX(Trades!$V$2:$V$14,MATCH(Trades!$E217,Trades!$U$2:$U$14,0)),""))</f>
        <v/>
      </c>
      <c r="G217" s="41" t="str">
        <f>IF(Trades!$A217="","",Trades!N217)</f>
        <v/>
      </c>
      <c r="H217" s="42" t="str">
        <f>IF(Trades!$A217="","",Trades!F217)</f>
        <v/>
      </c>
      <c r="I217" s="44" t="str">
        <f>IF(Trades!$A217="","",Trades!G217)</f>
        <v/>
      </c>
      <c r="J217" s="44" t="str">
        <f>IF(Trades!$A217="","",Trades!I217)</f>
        <v/>
      </c>
      <c r="K217" s="44" t="str">
        <f>IF(Trades!$A217="","",Trades!Q217)</f>
        <v/>
      </c>
      <c r="L217" s="42" t="str">
        <f>IF(Trades!$A217="","",Trades!F217)</f>
        <v/>
      </c>
      <c r="M217" s="44" t="str">
        <f>IF(Trades!$A217="","",Trades!M217)</f>
        <v/>
      </c>
      <c r="N217" s="44" t="str">
        <f>IF(Trades!$A217="","",Trades!R217)</f>
        <v/>
      </c>
      <c r="O217" s="44" t="str">
        <f>IF(Trades!$A217="","",Trades!J217)</f>
        <v/>
      </c>
      <c r="P217" s="43" t="str">
        <f>IF(Trades!$A217="","",Trades!H217)</f>
        <v/>
      </c>
      <c r="Q217" s="41" t="str">
        <f>IF(Trades!$A217="","",Trades!P217)</f>
        <v/>
      </c>
      <c r="R217" s="45" t="str">
        <f t="shared" si="51"/>
        <v/>
      </c>
      <c r="S217" s="45" t="str">
        <f t="shared" si="52"/>
        <v/>
      </c>
      <c r="T217" s="46" t="str">
        <f>IF(OR($A217="",$B217=""),"",IF(AND(IFERROR(LOOKUP(2,1/($B$9:$B$216=$B217),$AR$9:$AR216),1),NOT(AND(OR($F217="dividend",$F217="fee"),IFERROR(LOOKUP(2,1/($B$9:$B$216=$B217),$T$9:$T216),0)&gt;0))),IFERROR(LOOKUP(2,1/($B$9:$B$216=$B217),$T$9:$T216),0)+1,IFERROR(LOOKUP(2,1/($B$9:$B$216=$B217),$T$9:$T216),0)))</f>
        <v/>
      </c>
      <c r="U217" s="47" t="str">
        <f t="shared" si="53"/>
        <v/>
      </c>
      <c r="V217" s="47" t="str">
        <f>IF($A217="","",IF(OR($B217="",$C217="",$D217="",$E217="",$F217=""),"Missing required field",IF(COUNTIFS($A$9:$A217,$A217,$B$9:$B217,$B217)&gt;1,"Duplicate event ID",IF(AND($E217&lt;&gt;IFERROR(LOOKUP(2,1/($B$9:$B$216=$B217),$E$9:$E216),0),IFERROR(LOOKUP(2,1/($B$9:$B$216=$B217),$E$9:$E216),0)&gt;$E217),"Date out of order",IF(AND(OR($F217="buy_to_close",$F217="expire",$F217="roll",$F217="assignment",$F217="called_away"),$AF217=0),"Unknown lot",IF(OR(AND($F217="assignment",$AF217&gt;0,IF($AF217&gt;0,INDEX($AG$9:$AG$216,$AF217),"")&lt;&gt;"put"),AND($F217="called_away",$AF217&gt;0,IF($AF217&gt;0,INDEX($AG$9:$AG$216,$AF217),"")&lt;&gt;"call")),"Wrong option leg",IF(OR(AND(OR($F217="sell_put",$F217="sell_call"),OR($H217&lt;=0,$I217&lt;=0,$J217&lt;0)),AND(OR($F217="buy_to_close",$F217="expire",$F217="assignment",$F217="called_away"),OR($H217&lt;=0,$J217&lt;0)),AND($F217="roll",OR($H217&lt;=0,$I217&lt;=0,$J217&lt;0,$K217&lt;0)),AND(OR($F217="buy_shares",$F217="sell_shares"),OR($L217&lt;=0,$M217&lt;0)),AND(OR($F217="dividend",$F217="fee"),$N217&lt;0)),"Invalid value",IF(AND(OR($F217="sell_shares",$F217="called_away"),$AL217&lt;IF($F217="called_away",$AE217*$D217,$L217)),"Insufficient shares (capped)",IF(AND(OR($F217="buy_to_close",$F217="expire",$F217="roll",$F217="assignment",$F217="called_away"),$AF217&gt;0,$H217&gt;IF($AF217&gt;0,MAX(0,INDEX($AI$9:$AI$216,$AF217)-SUMIFS($AE$9:$AE$216,$G$9:$G$216,$G217,$B$9:$B$216,$B217)),0)),"Close quantity capped","OK")))))))))</f>
        <v/>
      </c>
      <c r="W217" s="48" t="str">
        <f t="shared" si="54"/>
        <v/>
      </c>
      <c r="X217" s="49" t="str">
        <f t="shared" si="55"/>
        <v/>
      </c>
      <c r="Y217" s="50" t="str">
        <f t="shared" si="56"/>
        <v/>
      </c>
      <c r="Z217" s="50" t="str">
        <f t="shared" si="57"/>
        <v/>
      </c>
      <c r="AA217" s="50" t="str">
        <f t="shared" si="58"/>
        <v/>
      </c>
      <c r="AB217" s="50" t="str">
        <f t="shared" si="59"/>
        <v/>
      </c>
      <c r="AC217" s="50" t="str">
        <f>IF($A217="","",IF($F217="assignment",IF($AF217&gt;0,INDEX($AH$9:$AH$216,$AF217),0)*$AE217*$D217,IF($F217="buy_shares",$M217*$AL217,0)))</f>
        <v/>
      </c>
      <c r="AD217" s="50" t="str">
        <f>IF($A217="","",IF($F217="called_away",IF($AF217&gt;0,INDEX($AH$9:$AH$216,$AF217),0)*$AL217,IF($F217="sell_shares",$M217*$AL217,0)))</f>
        <v/>
      </c>
      <c r="AE217" s="51" t="str">
        <f>IF($A217="","",IF(OR($F217="sell_put",$F217="sell_call"),IF(AND($H217&gt;0,$I217&gt;0,$J217&gt;=0),$H217,0),IF(OR($F217="buy_to_close",$F217="expire",$F217="roll",$F217="assignment",$F217="called_away"),IF(AND($AF217&gt;0,$H217&gt;0,IF($F217="assignment",IF($AF217&gt;0,INDEX($AG$9:$AG$216,$AF217),"")="put",TRUE),IF($F217="called_away",IF($AF217&gt;0,INDEX($AG$9:$AG$216,$AF217),"")="call",TRUE)),MIN($H217,IF($AF217&gt;0,MAX(0,INDEX($AI$9:$AI$216,$AF217)-SUMIFS($AE$9:$AE$216,$G$9:$G$216,$G217,$B$9:$B$216,$B217)),0)),0),0)))</f>
        <v/>
      </c>
      <c r="AF217" t="str">
        <f>IF($A217="","",IFERROR(MATCH(LEN($B217)&amp;":"&amp;$B217&amp;$G217,$AY$9:$AY$216,0),0))</f>
        <v/>
      </c>
      <c r="AG217" t="str">
        <f>IF($A217="","",IF($F217="sell_put","put",IF($F217="sell_call","call",IF($F217="roll",IF($AF217&gt;0,IF($AF217&gt;0,INDEX($AG$9:$AG$216,$AF217),""),""),IF($AF217&gt;0,IF($AF217&gt;0,INDEX($AG$9:$AG$216,$AF217),""),"")))))</f>
        <v/>
      </c>
      <c r="AH217" t="str">
        <f>IF($A217="","",IF(OR($F217="sell_put",$F217="sell_call",$F217="roll"),$I217,IF($AF217&gt;0,IF($AF217&gt;0,INDEX($AH$9:$AH$216,$AF217),0),0)))</f>
        <v/>
      </c>
      <c r="AI217" s="51" t="str">
        <f t="shared" si="60"/>
        <v/>
      </c>
      <c r="AJ217" s="51" t="str">
        <f>IF($A217="","",IFERROR(LOOKUP(2,1/($B$9:$B$216=$B217),$AM$9:$AM216),0))</f>
        <v/>
      </c>
      <c r="AK217" t="str">
        <f>IF($A217="","",IFERROR(LOOKUP(2,1/($B$9:$B$216=$B217),$AN$9:$AN216),0))</f>
        <v/>
      </c>
      <c r="AL217" s="51" t="str">
        <f t="shared" si="61"/>
        <v/>
      </c>
      <c r="AM217" s="51" t="str">
        <f t="shared" si="62"/>
        <v/>
      </c>
      <c r="AN217" t="str">
        <f t="shared" si="63"/>
        <v/>
      </c>
      <c r="AO217" s="50" t="str">
        <f>IF($A217="","",IFERROR(LOOKUP(2,1/($B$9:$B$216=$B217),$AO$9:$AO216),0)+IF($F217="sell_put",$I217*$AE217*$D217,IF($F217="roll",IF($AG217="put",($I217-IF($AF217&gt;0,INDEX($AH$9:$AH$216,$AF217),0))*$AE217*$D217,0),IF(AND(OR($F217="buy_to_close",$F217="expire",$F217="roll",$F217="assignment",$F217="called_away"),$F217&lt;&gt;"roll",$AG217="put"),-IF($AF217&gt;0,INDEX($AH$9:$AH$216,$AF217),0)*$AE217*$D217,0))))</f>
        <v/>
      </c>
      <c r="AP217" s="51" t="str">
        <f>IF($A217="","",IFERROR(LOOKUP(2,1/($B$9:$B$216=$B217),$AP$9:$AP216),0)+IF($F217="sell_put",$AE217*$D217,IF(AND(OR($F217="buy_to_close",$F217="expire",$F217="roll",$F217="assignment",$F217="called_away"),$F217&lt;&gt;"roll",$AG217="put"),-$AE217*$D217,0)))</f>
        <v/>
      </c>
      <c r="AQ217" s="51" t="str">
        <f>IF($A217="","",IFERROR(LOOKUP(2,1/($B$9:$B$216=$B217),$AQ$9:$AQ216),0)+IF(OR($F217="sell_put",$F217="sell_call"),$AE217,0)-IF(AND(OR($F217="buy_to_close",$F217="expire",$F217="roll",$F217="assignment",$F217="called_away"),$F217&lt;&gt;"roll"),$AE217,0))</f>
        <v/>
      </c>
      <c r="AR217" t="str">
        <f t="shared" si="64"/>
        <v/>
      </c>
      <c r="AS217" s="50" t="str">
        <f t="shared" si="65"/>
        <v/>
      </c>
      <c r="AT217" s="50" t="str">
        <f>IF($A217="","",MAX(IF($T217=IFERROR(LOOKUP(2,1/($B$9:$B$216=$B217),$T$9:$T216),0),IFERROR(LOOKUP(2,1/($B$9:$B$216=$B217),$AT$9:$AT216),0),0),$AS217))</f>
        <v/>
      </c>
      <c r="AU217" t="str">
        <f t="shared" si="66"/>
        <v/>
      </c>
      <c r="AV217" s="51">
        <f>IF($AU217="",0,IF(AND(IFERROR(LOOKUP(2,1/($B$9:$B$216=$B217),$AR$9:$AR216),1),NOT(AND(OR($F217="dividend",$F217="fee"),IFERROR(LOOKUP(2,1/($B$9:$B$216=$B217),$T$9:$T216),0)&gt;0))),ROW(),0))</f>
        <v>0</v>
      </c>
      <c r="AW217">
        <f>IF($A217="",0,IF($AV217&gt;0,MAX($AW$9:$AW$216)+1,MAX($AW$9:$AW$216)))</f>
        <v>0</v>
      </c>
      <c r="AX217">
        <f>IF($AU217="",0,IF(AND($AR217,OR(NOT(IFERROR(LOOKUP(2,1/($B$9:$B$216=$B217),$AR$9:$AR216),1)),IFERROR(LOOKUP(2,1/($B$9:$B$216=$B217),$T$9:$T216),0)=0)),ROW(),0))</f>
        <v>0</v>
      </c>
      <c r="AY217" t="str">
        <f t="shared" si="67"/>
        <v/>
      </c>
    </row>
    <row r="218" spans="1:51" ht="15" x14ac:dyDescent="0.25">
      <c r="A218" s="52" t="str">
        <f>IF(Trades!$A218="","",Trades!O218)</f>
        <v/>
      </c>
      <c r="B218" s="52" t="str">
        <f>IF(Trades!$A218="","",Trades!B218)</f>
        <v/>
      </c>
      <c r="C218" s="52" t="str">
        <f>IF(Trades!$A218="","",Trades!C218)</f>
        <v/>
      </c>
      <c r="D218" s="53" t="str">
        <f>IF(Trades!$A218="","",IF(Trades!$L218&gt;0,Trades!$L218,Trades!$C$6))</f>
        <v/>
      </c>
      <c r="E218" s="54" t="str">
        <f>IF(Trades!$A218="","",Trades!A218)</f>
        <v/>
      </c>
      <c r="F218" s="52" t="str">
        <f>IF(Trades!$A218="","",IFERROR(INDEX(Trades!$V$2:$V$14,MATCH(Trades!$E218,Trades!$U$2:$U$14,0)),""))</f>
        <v/>
      </c>
      <c r="G218" s="52" t="str">
        <f>IF(Trades!$A218="","",Trades!N218)</f>
        <v/>
      </c>
      <c r="H218" s="53" t="str">
        <f>IF(Trades!$A218="","",Trades!F218)</f>
        <v/>
      </c>
      <c r="I218" s="55" t="str">
        <f>IF(Trades!$A218="","",Trades!G218)</f>
        <v/>
      </c>
      <c r="J218" s="55" t="str">
        <f>IF(Trades!$A218="","",Trades!I218)</f>
        <v/>
      </c>
      <c r="K218" s="55" t="str">
        <f>IF(Trades!$A218="","",Trades!Q218)</f>
        <v/>
      </c>
      <c r="L218" s="53" t="str">
        <f>IF(Trades!$A218="","",Trades!F218)</f>
        <v/>
      </c>
      <c r="M218" s="55" t="str">
        <f>IF(Trades!$A218="","",Trades!M218)</f>
        <v/>
      </c>
      <c r="N218" s="55" t="str">
        <f>IF(Trades!$A218="","",Trades!R218)</f>
        <v/>
      </c>
      <c r="O218" s="55" t="str">
        <f>IF(Trades!$A218="","",Trades!J218)</f>
        <v/>
      </c>
      <c r="P218" s="54" t="str">
        <f>IF(Trades!$A218="","",Trades!H218)</f>
        <v/>
      </c>
      <c r="Q218" s="52" t="str">
        <f>IF(Trades!$A218="","",Trades!P218)</f>
        <v/>
      </c>
      <c r="R218" s="56" t="str">
        <f t="shared" si="51"/>
        <v/>
      </c>
      <c r="S218" s="56" t="str">
        <f t="shared" si="52"/>
        <v/>
      </c>
      <c r="T218" s="57" t="str">
        <f>IF(OR($A218="",$B218=""),"",IF(AND(IFERROR(LOOKUP(2,1/($B$9:$B$217=$B218),$AR$9:$AR217),1),NOT(AND(OR($F218="dividend",$F218="fee"),IFERROR(LOOKUP(2,1/($B$9:$B$217=$B218),$T$9:$T217),0)&gt;0))),IFERROR(LOOKUP(2,1/($B$9:$B$217=$B218),$T$9:$T217),0)+1,IFERROR(LOOKUP(2,1/($B$9:$B$217=$B218),$T$9:$T217),0)))</f>
        <v/>
      </c>
      <c r="U218" s="58" t="str">
        <f t="shared" si="53"/>
        <v/>
      </c>
      <c r="V218" s="58" t="str">
        <f>IF($A218="","",IF(OR($B218="",$C218="",$D218="",$E218="",$F218=""),"Missing required field",IF(COUNTIFS($A$9:$A218,$A218,$B$9:$B218,$B218)&gt;1,"Duplicate event ID",IF(AND($E218&lt;&gt;IFERROR(LOOKUP(2,1/($B$9:$B$217=$B218),$E$9:$E217),0),IFERROR(LOOKUP(2,1/($B$9:$B$217=$B218),$E$9:$E217),0)&gt;$E218),"Date out of order",IF(AND(OR($F218="buy_to_close",$F218="expire",$F218="roll",$F218="assignment",$F218="called_away"),$AF218=0),"Unknown lot",IF(OR(AND($F218="assignment",$AF218&gt;0,IF($AF218&gt;0,INDEX($AG$9:$AG$217,$AF218),"")&lt;&gt;"put"),AND($F218="called_away",$AF218&gt;0,IF($AF218&gt;0,INDEX($AG$9:$AG$217,$AF218),"")&lt;&gt;"call")),"Wrong option leg",IF(OR(AND(OR($F218="sell_put",$F218="sell_call"),OR($H218&lt;=0,$I218&lt;=0,$J218&lt;0)),AND(OR($F218="buy_to_close",$F218="expire",$F218="assignment",$F218="called_away"),OR($H218&lt;=0,$J218&lt;0)),AND($F218="roll",OR($H218&lt;=0,$I218&lt;=0,$J218&lt;0,$K218&lt;0)),AND(OR($F218="buy_shares",$F218="sell_shares"),OR($L218&lt;=0,$M218&lt;0)),AND(OR($F218="dividend",$F218="fee"),$N218&lt;0)),"Invalid value",IF(AND(OR($F218="sell_shares",$F218="called_away"),$AL218&lt;IF($F218="called_away",$AE218*$D218,$L218)),"Insufficient shares (capped)",IF(AND(OR($F218="buy_to_close",$F218="expire",$F218="roll",$F218="assignment",$F218="called_away"),$AF218&gt;0,$H218&gt;IF($AF218&gt;0,MAX(0,INDEX($AI$9:$AI$217,$AF218)-SUMIFS($AE$9:$AE$217,$G$9:$G$217,$G218,$B$9:$B$217,$B218)),0)),"Close quantity capped","OK")))))))))</f>
        <v/>
      </c>
      <c r="W218" s="59" t="str">
        <f t="shared" si="54"/>
        <v/>
      </c>
      <c r="X218" s="60" t="str">
        <f t="shared" si="55"/>
        <v/>
      </c>
      <c r="Y218" s="50" t="str">
        <f t="shared" si="56"/>
        <v/>
      </c>
      <c r="Z218" s="50" t="str">
        <f t="shared" si="57"/>
        <v/>
      </c>
      <c r="AA218" s="50" t="str">
        <f t="shared" si="58"/>
        <v/>
      </c>
      <c r="AB218" s="50" t="str">
        <f t="shared" si="59"/>
        <v/>
      </c>
      <c r="AC218" s="50" t="str">
        <f>IF($A218="","",IF($F218="assignment",IF($AF218&gt;0,INDEX($AH$9:$AH$217,$AF218),0)*$AE218*$D218,IF($F218="buy_shares",$M218*$AL218,0)))</f>
        <v/>
      </c>
      <c r="AD218" s="50" t="str">
        <f>IF($A218="","",IF($F218="called_away",IF($AF218&gt;0,INDEX($AH$9:$AH$217,$AF218),0)*$AL218,IF($F218="sell_shares",$M218*$AL218,0)))</f>
        <v/>
      </c>
      <c r="AE218" s="51" t="str">
        <f>IF($A218="","",IF(OR($F218="sell_put",$F218="sell_call"),IF(AND($H218&gt;0,$I218&gt;0,$J218&gt;=0),$H218,0),IF(OR($F218="buy_to_close",$F218="expire",$F218="roll",$F218="assignment",$F218="called_away"),IF(AND($AF218&gt;0,$H218&gt;0,IF($F218="assignment",IF($AF218&gt;0,INDEX($AG$9:$AG$217,$AF218),"")="put",TRUE),IF($F218="called_away",IF($AF218&gt;0,INDEX($AG$9:$AG$217,$AF218),"")="call",TRUE)),MIN($H218,IF($AF218&gt;0,MAX(0,INDEX($AI$9:$AI$217,$AF218)-SUMIFS($AE$9:$AE$217,$G$9:$G$217,$G218,$B$9:$B$217,$B218)),0)),0),0)))</f>
        <v/>
      </c>
      <c r="AF218" t="str">
        <f>IF($A218="","",IFERROR(MATCH(LEN($B218)&amp;":"&amp;$B218&amp;$G218,$AY$9:$AY$217,0),0))</f>
        <v/>
      </c>
      <c r="AG218" t="str">
        <f>IF($A218="","",IF($F218="sell_put","put",IF($F218="sell_call","call",IF($F218="roll",IF($AF218&gt;0,IF($AF218&gt;0,INDEX($AG$9:$AG$217,$AF218),""),""),IF($AF218&gt;0,IF($AF218&gt;0,INDEX($AG$9:$AG$217,$AF218),""),"")))))</f>
        <v/>
      </c>
      <c r="AH218" t="str">
        <f>IF($A218="","",IF(OR($F218="sell_put",$F218="sell_call",$F218="roll"),$I218,IF($AF218&gt;0,IF($AF218&gt;0,INDEX($AH$9:$AH$217,$AF218),0),0)))</f>
        <v/>
      </c>
      <c r="AI218" s="51" t="str">
        <f t="shared" si="60"/>
        <v/>
      </c>
      <c r="AJ218" s="51" t="str">
        <f>IF($A218="","",IFERROR(LOOKUP(2,1/($B$9:$B$217=$B218),$AM$9:$AM217),0))</f>
        <v/>
      </c>
      <c r="AK218" t="str">
        <f>IF($A218="","",IFERROR(LOOKUP(2,1/($B$9:$B$217=$B218),$AN$9:$AN217),0))</f>
        <v/>
      </c>
      <c r="AL218" s="51" t="str">
        <f t="shared" si="61"/>
        <v/>
      </c>
      <c r="AM218" s="51" t="str">
        <f t="shared" si="62"/>
        <v/>
      </c>
      <c r="AN218" t="str">
        <f t="shared" si="63"/>
        <v/>
      </c>
      <c r="AO218" s="50" t="str">
        <f>IF($A218="","",IFERROR(LOOKUP(2,1/($B$9:$B$217=$B218),$AO$9:$AO217),0)+IF($F218="sell_put",$I218*$AE218*$D218,IF($F218="roll",IF($AG218="put",($I218-IF($AF218&gt;0,INDEX($AH$9:$AH$217,$AF218),0))*$AE218*$D218,0),IF(AND(OR($F218="buy_to_close",$F218="expire",$F218="roll",$F218="assignment",$F218="called_away"),$F218&lt;&gt;"roll",$AG218="put"),-IF($AF218&gt;0,INDEX($AH$9:$AH$217,$AF218),0)*$AE218*$D218,0))))</f>
        <v/>
      </c>
      <c r="AP218" s="51" t="str">
        <f>IF($A218="","",IFERROR(LOOKUP(2,1/($B$9:$B$217=$B218),$AP$9:$AP217),0)+IF($F218="sell_put",$AE218*$D218,IF(AND(OR($F218="buy_to_close",$F218="expire",$F218="roll",$F218="assignment",$F218="called_away"),$F218&lt;&gt;"roll",$AG218="put"),-$AE218*$D218,0)))</f>
        <v/>
      </c>
      <c r="AQ218" s="51" t="str">
        <f>IF($A218="","",IFERROR(LOOKUP(2,1/($B$9:$B$217=$B218),$AQ$9:$AQ217),0)+IF(OR($F218="sell_put",$F218="sell_call"),$AE218,0)-IF(AND(OR($F218="buy_to_close",$F218="expire",$F218="roll",$F218="assignment",$F218="called_away"),$F218&lt;&gt;"roll"),$AE218,0))</f>
        <v/>
      </c>
      <c r="AR218" t="str">
        <f t="shared" si="64"/>
        <v/>
      </c>
      <c r="AS218" s="50" t="str">
        <f t="shared" si="65"/>
        <v/>
      </c>
      <c r="AT218" s="50" t="str">
        <f>IF($A218="","",MAX(IF($T218=IFERROR(LOOKUP(2,1/($B$9:$B$217=$B218),$T$9:$T217),0),IFERROR(LOOKUP(2,1/($B$9:$B$217=$B218),$AT$9:$AT217),0),0),$AS218))</f>
        <v/>
      </c>
      <c r="AU218" t="str">
        <f t="shared" si="66"/>
        <v/>
      </c>
      <c r="AV218" s="51">
        <f>IF($AU218="",0,IF(AND(IFERROR(LOOKUP(2,1/($B$9:$B$217=$B218),$AR$9:$AR217),1),NOT(AND(OR($F218="dividend",$F218="fee"),IFERROR(LOOKUP(2,1/($B$9:$B$217=$B218),$T$9:$T217),0)&gt;0))),ROW(),0))</f>
        <v>0</v>
      </c>
      <c r="AW218">
        <f>IF($A218="",0,IF($AV218&gt;0,MAX($AW$9:$AW$217)+1,MAX($AW$9:$AW$217)))</f>
        <v>0</v>
      </c>
      <c r="AX218">
        <f>IF($AU218="",0,IF(AND($AR218,OR(NOT(IFERROR(LOOKUP(2,1/($B$9:$B$217=$B218),$AR$9:$AR217),1)),IFERROR(LOOKUP(2,1/($B$9:$B$217=$B218),$T$9:$T217),0)=0)),ROW(),0))</f>
        <v>0</v>
      </c>
      <c r="AY218" t="str">
        <f t="shared" si="67"/>
        <v/>
      </c>
    </row>
    <row r="219" spans="1:51" ht="15" x14ac:dyDescent="0.25">
      <c r="A219" s="41" t="str">
        <f>IF(Trades!$A219="","",Trades!O219)</f>
        <v/>
      </c>
      <c r="B219" s="41" t="str">
        <f>IF(Trades!$A219="","",Trades!B219)</f>
        <v/>
      </c>
      <c r="C219" s="41" t="str">
        <f>IF(Trades!$A219="","",Trades!C219)</f>
        <v/>
      </c>
      <c r="D219" s="42" t="str">
        <f>IF(Trades!$A219="","",IF(Trades!$L219&gt;0,Trades!$L219,Trades!$C$6))</f>
        <v/>
      </c>
      <c r="E219" s="43" t="str">
        <f>IF(Trades!$A219="","",Trades!A219)</f>
        <v/>
      </c>
      <c r="F219" s="41" t="str">
        <f>IF(Trades!$A219="","",IFERROR(INDEX(Trades!$V$2:$V$14,MATCH(Trades!$E219,Trades!$U$2:$U$14,0)),""))</f>
        <v/>
      </c>
      <c r="G219" s="41" t="str">
        <f>IF(Trades!$A219="","",Trades!N219)</f>
        <v/>
      </c>
      <c r="H219" s="42" t="str">
        <f>IF(Trades!$A219="","",Trades!F219)</f>
        <v/>
      </c>
      <c r="I219" s="44" t="str">
        <f>IF(Trades!$A219="","",Trades!G219)</f>
        <v/>
      </c>
      <c r="J219" s="44" t="str">
        <f>IF(Trades!$A219="","",Trades!I219)</f>
        <v/>
      </c>
      <c r="K219" s="44" t="str">
        <f>IF(Trades!$A219="","",Trades!Q219)</f>
        <v/>
      </c>
      <c r="L219" s="42" t="str">
        <f>IF(Trades!$A219="","",Trades!F219)</f>
        <v/>
      </c>
      <c r="M219" s="44" t="str">
        <f>IF(Trades!$A219="","",Trades!M219)</f>
        <v/>
      </c>
      <c r="N219" s="44" t="str">
        <f>IF(Trades!$A219="","",Trades!R219)</f>
        <v/>
      </c>
      <c r="O219" s="44" t="str">
        <f>IF(Trades!$A219="","",Trades!J219)</f>
        <v/>
      </c>
      <c r="P219" s="43" t="str">
        <f>IF(Trades!$A219="","",Trades!H219)</f>
        <v/>
      </c>
      <c r="Q219" s="41" t="str">
        <f>IF(Trades!$A219="","",Trades!P219)</f>
        <v/>
      </c>
      <c r="R219" s="45" t="str">
        <f t="shared" si="51"/>
        <v/>
      </c>
      <c r="S219" s="45" t="str">
        <f t="shared" si="52"/>
        <v/>
      </c>
      <c r="T219" s="46" t="str">
        <f>IF(OR($A219="",$B219=""),"",IF(AND(IFERROR(LOOKUP(2,1/($B$9:$B$218=$B219),$AR$9:$AR218),1),NOT(AND(OR($F219="dividend",$F219="fee"),IFERROR(LOOKUP(2,1/($B$9:$B$218=$B219),$T$9:$T218),0)&gt;0))),IFERROR(LOOKUP(2,1/($B$9:$B$218=$B219),$T$9:$T218),0)+1,IFERROR(LOOKUP(2,1/($B$9:$B$218=$B219),$T$9:$T218),0)))</f>
        <v/>
      </c>
      <c r="U219" s="47" t="str">
        <f t="shared" si="53"/>
        <v/>
      </c>
      <c r="V219" s="47" t="str">
        <f>IF($A219="","",IF(OR($B219="",$C219="",$D219="",$E219="",$F219=""),"Missing required field",IF(COUNTIFS($A$9:$A219,$A219,$B$9:$B219,$B219)&gt;1,"Duplicate event ID",IF(AND($E219&lt;&gt;IFERROR(LOOKUP(2,1/($B$9:$B$218=$B219),$E$9:$E218),0),IFERROR(LOOKUP(2,1/($B$9:$B$218=$B219),$E$9:$E218),0)&gt;$E219),"Date out of order",IF(AND(OR($F219="buy_to_close",$F219="expire",$F219="roll",$F219="assignment",$F219="called_away"),$AF219=0),"Unknown lot",IF(OR(AND($F219="assignment",$AF219&gt;0,IF($AF219&gt;0,INDEX($AG$9:$AG$218,$AF219),"")&lt;&gt;"put"),AND($F219="called_away",$AF219&gt;0,IF($AF219&gt;0,INDEX($AG$9:$AG$218,$AF219),"")&lt;&gt;"call")),"Wrong option leg",IF(OR(AND(OR($F219="sell_put",$F219="sell_call"),OR($H219&lt;=0,$I219&lt;=0,$J219&lt;0)),AND(OR($F219="buy_to_close",$F219="expire",$F219="assignment",$F219="called_away"),OR($H219&lt;=0,$J219&lt;0)),AND($F219="roll",OR($H219&lt;=0,$I219&lt;=0,$J219&lt;0,$K219&lt;0)),AND(OR($F219="buy_shares",$F219="sell_shares"),OR($L219&lt;=0,$M219&lt;0)),AND(OR($F219="dividend",$F219="fee"),$N219&lt;0)),"Invalid value",IF(AND(OR($F219="sell_shares",$F219="called_away"),$AL219&lt;IF($F219="called_away",$AE219*$D219,$L219)),"Insufficient shares (capped)",IF(AND(OR($F219="buy_to_close",$F219="expire",$F219="roll",$F219="assignment",$F219="called_away"),$AF219&gt;0,$H219&gt;IF($AF219&gt;0,MAX(0,INDEX($AI$9:$AI$218,$AF219)-SUMIFS($AE$9:$AE$218,$G$9:$G$218,$G219,$B$9:$B$218,$B219)),0)),"Close quantity capped","OK")))))))))</f>
        <v/>
      </c>
      <c r="W219" s="48" t="str">
        <f t="shared" si="54"/>
        <v/>
      </c>
      <c r="X219" s="49" t="str">
        <f t="shared" si="55"/>
        <v/>
      </c>
      <c r="Y219" s="50" t="str">
        <f t="shared" si="56"/>
        <v/>
      </c>
      <c r="Z219" s="50" t="str">
        <f t="shared" si="57"/>
        <v/>
      </c>
      <c r="AA219" s="50" t="str">
        <f t="shared" si="58"/>
        <v/>
      </c>
      <c r="AB219" s="50" t="str">
        <f t="shared" si="59"/>
        <v/>
      </c>
      <c r="AC219" s="50" t="str">
        <f>IF($A219="","",IF($F219="assignment",IF($AF219&gt;0,INDEX($AH$9:$AH$218,$AF219),0)*$AE219*$D219,IF($F219="buy_shares",$M219*$AL219,0)))</f>
        <v/>
      </c>
      <c r="AD219" s="50" t="str">
        <f>IF($A219="","",IF($F219="called_away",IF($AF219&gt;0,INDEX($AH$9:$AH$218,$AF219),0)*$AL219,IF($F219="sell_shares",$M219*$AL219,0)))</f>
        <v/>
      </c>
      <c r="AE219" s="51" t="str">
        <f>IF($A219="","",IF(OR($F219="sell_put",$F219="sell_call"),IF(AND($H219&gt;0,$I219&gt;0,$J219&gt;=0),$H219,0),IF(OR($F219="buy_to_close",$F219="expire",$F219="roll",$F219="assignment",$F219="called_away"),IF(AND($AF219&gt;0,$H219&gt;0,IF($F219="assignment",IF($AF219&gt;0,INDEX($AG$9:$AG$218,$AF219),"")="put",TRUE),IF($F219="called_away",IF($AF219&gt;0,INDEX($AG$9:$AG$218,$AF219),"")="call",TRUE)),MIN($H219,IF($AF219&gt;0,MAX(0,INDEX($AI$9:$AI$218,$AF219)-SUMIFS($AE$9:$AE$218,$G$9:$G$218,$G219,$B$9:$B$218,$B219)),0)),0),0)))</f>
        <v/>
      </c>
      <c r="AF219" t="str">
        <f>IF($A219="","",IFERROR(MATCH(LEN($B219)&amp;":"&amp;$B219&amp;$G219,$AY$9:$AY$218,0),0))</f>
        <v/>
      </c>
      <c r="AG219" t="str">
        <f>IF($A219="","",IF($F219="sell_put","put",IF($F219="sell_call","call",IF($F219="roll",IF($AF219&gt;0,IF($AF219&gt;0,INDEX($AG$9:$AG$218,$AF219),""),""),IF($AF219&gt;0,IF($AF219&gt;0,INDEX($AG$9:$AG$218,$AF219),""),"")))))</f>
        <v/>
      </c>
      <c r="AH219" t="str">
        <f>IF($A219="","",IF(OR($F219="sell_put",$F219="sell_call",$F219="roll"),$I219,IF($AF219&gt;0,IF($AF219&gt;0,INDEX($AH$9:$AH$218,$AF219),0),0)))</f>
        <v/>
      </c>
      <c r="AI219" s="51" t="str">
        <f t="shared" si="60"/>
        <v/>
      </c>
      <c r="AJ219" s="51" t="str">
        <f>IF($A219="","",IFERROR(LOOKUP(2,1/($B$9:$B$218=$B219),$AM$9:$AM218),0))</f>
        <v/>
      </c>
      <c r="AK219" t="str">
        <f>IF($A219="","",IFERROR(LOOKUP(2,1/($B$9:$B$218=$B219),$AN$9:$AN218),0))</f>
        <v/>
      </c>
      <c r="AL219" s="51" t="str">
        <f t="shared" si="61"/>
        <v/>
      </c>
      <c r="AM219" s="51" t="str">
        <f t="shared" si="62"/>
        <v/>
      </c>
      <c r="AN219" t="str">
        <f t="shared" si="63"/>
        <v/>
      </c>
      <c r="AO219" s="50" t="str">
        <f>IF($A219="","",IFERROR(LOOKUP(2,1/($B$9:$B$218=$B219),$AO$9:$AO218),0)+IF($F219="sell_put",$I219*$AE219*$D219,IF($F219="roll",IF($AG219="put",($I219-IF($AF219&gt;0,INDEX($AH$9:$AH$218,$AF219),0))*$AE219*$D219,0),IF(AND(OR($F219="buy_to_close",$F219="expire",$F219="roll",$F219="assignment",$F219="called_away"),$F219&lt;&gt;"roll",$AG219="put"),-IF($AF219&gt;0,INDEX($AH$9:$AH$218,$AF219),0)*$AE219*$D219,0))))</f>
        <v/>
      </c>
      <c r="AP219" s="51" t="str">
        <f>IF($A219="","",IFERROR(LOOKUP(2,1/($B$9:$B$218=$B219),$AP$9:$AP218),0)+IF($F219="sell_put",$AE219*$D219,IF(AND(OR($F219="buy_to_close",$F219="expire",$F219="roll",$F219="assignment",$F219="called_away"),$F219&lt;&gt;"roll",$AG219="put"),-$AE219*$D219,0)))</f>
        <v/>
      </c>
      <c r="AQ219" s="51" t="str">
        <f>IF($A219="","",IFERROR(LOOKUP(2,1/($B$9:$B$218=$B219),$AQ$9:$AQ218),0)+IF(OR($F219="sell_put",$F219="sell_call"),$AE219,0)-IF(AND(OR($F219="buy_to_close",$F219="expire",$F219="roll",$F219="assignment",$F219="called_away"),$F219&lt;&gt;"roll"),$AE219,0))</f>
        <v/>
      </c>
      <c r="AR219" t="str">
        <f t="shared" si="64"/>
        <v/>
      </c>
      <c r="AS219" s="50" t="str">
        <f t="shared" si="65"/>
        <v/>
      </c>
      <c r="AT219" s="50" t="str">
        <f>IF($A219="","",MAX(IF($T219=IFERROR(LOOKUP(2,1/($B$9:$B$218=$B219),$T$9:$T218),0),IFERROR(LOOKUP(2,1/($B$9:$B$218=$B219),$AT$9:$AT218),0),0),$AS219))</f>
        <v/>
      </c>
      <c r="AU219" t="str">
        <f t="shared" si="66"/>
        <v/>
      </c>
      <c r="AV219" s="51">
        <f>IF($AU219="",0,IF(AND(IFERROR(LOOKUP(2,1/($B$9:$B$218=$B219),$AR$9:$AR218),1),NOT(AND(OR($F219="dividend",$F219="fee"),IFERROR(LOOKUP(2,1/($B$9:$B$218=$B219),$T$9:$T218),0)&gt;0))),ROW(),0))</f>
        <v>0</v>
      </c>
      <c r="AW219">
        <f>IF($A219="",0,IF($AV219&gt;0,MAX($AW$9:$AW$218)+1,MAX($AW$9:$AW$218)))</f>
        <v>0</v>
      </c>
      <c r="AX219">
        <f>IF($AU219="",0,IF(AND($AR219,OR(NOT(IFERROR(LOOKUP(2,1/($B$9:$B$218=$B219),$AR$9:$AR218),1)),IFERROR(LOOKUP(2,1/($B$9:$B$218=$B219),$T$9:$T218),0)=0)),ROW(),0))</f>
        <v>0</v>
      </c>
      <c r="AY219" t="str">
        <f t="shared" si="67"/>
        <v/>
      </c>
    </row>
    <row r="220" spans="1:51" ht="15" x14ac:dyDescent="0.25">
      <c r="A220" s="52" t="str">
        <f>IF(Trades!$A220="","",Trades!O220)</f>
        <v/>
      </c>
      <c r="B220" s="52" t="str">
        <f>IF(Trades!$A220="","",Trades!B220)</f>
        <v/>
      </c>
      <c r="C220" s="52" t="str">
        <f>IF(Trades!$A220="","",Trades!C220)</f>
        <v/>
      </c>
      <c r="D220" s="53" t="str">
        <f>IF(Trades!$A220="","",IF(Trades!$L220&gt;0,Trades!$L220,Trades!$C$6))</f>
        <v/>
      </c>
      <c r="E220" s="54" t="str">
        <f>IF(Trades!$A220="","",Trades!A220)</f>
        <v/>
      </c>
      <c r="F220" s="52" t="str">
        <f>IF(Trades!$A220="","",IFERROR(INDEX(Trades!$V$2:$V$14,MATCH(Trades!$E220,Trades!$U$2:$U$14,0)),""))</f>
        <v/>
      </c>
      <c r="G220" s="52" t="str">
        <f>IF(Trades!$A220="","",Trades!N220)</f>
        <v/>
      </c>
      <c r="H220" s="53" t="str">
        <f>IF(Trades!$A220="","",Trades!F220)</f>
        <v/>
      </c>
      <c r="I220" s="55" t="str">
        <f>IF(Trades!$A220="","",Trades!G220)</f>
        <v/>
      </c>
      <c r="J220" s="55" t="str">
        <f>IF(Trades!$A220="","",Trades!I220)</f>
        <v/>
      </c>
      <c r="K220" s="55" t="str">
        <f>IF(Trades!$A220="","",Trades!Q220)</f>
        <v/>
      </c>
      <c r="L220" s="53" t="str">
        <f>IF(Trades!$A220="","",Trades!F220)</f>
        <v/>
      </c>
      <c r="M220" s="55" t="str">
        <f>IF(Trades!$A220="","",Trades!M220)</f>
        <v/>
      </c>
      <c r="N220" s="55" t="str">
        <f>IF(Trades!$A220="","",Trades!R220)</f>
        <v/>
      </c>
      <c r="O220" s="55" t="str">
        <f>IF(Trades!$A220="","",Trades!J220)</f>
        <v/>
      </c>
      <c r="P220" s="54" t="str">
        <f>IF(Trades!$A220="","",Trades!H220)</f>
        <v/>
      </c>
      <c r="Q220" s="52" t="str">
        <f>IF(Trades!$A220="","",Trades!P220)</f>
        <v/>
      </c>
      <c r="R220" s="56" t="str">
        <f t="shared" si="51"/>
        <v/>
      </c>
      <c r="S220" s="56" t="str">
        <f t="shared" si="52"/>
        <v/>
      </c>
      <c r="T220" s="57" t="str">
        <f>IF(OR($A220="",$B220=""),"",IF(AND(IFERROR(LOOKUP(2,1/($B$9:$B$219=$B220),$AR$9:$AR219),1),NOT(AND(OR($F220="dividend",$F220="fee"),IFERROR(LOOKUP(2,1/($B$9:$B$219=$B220),$T$9:$T219),0)&gt;0))),IFERROR(LOOKUP(2,1/($B$9:$B$219=$B220),$T$9:$T219),0)+1,IFERROR(LOOKUP(2,1/($B$9:$B$219=$B220),$T$9:$T219),0)))</f>
        <v/>
      </c>
      <c r="U220" s="58" t="str">
        <f t="shared" si="53"/>
        <v/>
      </c>
      <c r="V220" s="58" t="str">
        <f>IF($A220="","",IF(OR($B220="",$C220="",$D220="",$E220="",$F220=""),"Missing required field",IF(COUNTIFS($A$9:$A220,$A220,$B$9:$B220,$B220)&gt;1,"Duplicate event ID",IF(AND($E220&lt;&gt;IFERROR(LOOKUP(2,1/($B$9:$B$219=$B220),$E$9:$E219),0),IFERROR(LOOKUP(2,1/($B$9:$B$219=$B220),$E$9:$E219),0)&gt;$E220),"Date out of order",IF(AND(OR($F220="buy_to_close",$F220="expire",$F220="roll",$F220="assignment",$F220="called_away"),$AF220=0),"Unknown lot",IF(OR(AND($F220="assignment",$AF220&gt;0,IF($AF220&gt;0,INDEX($AG$9:$AG$219,$AF220),"")&lt;&gt;"put"),AND($F220="called_away",$AF220&gt;0,IF($AF220&gt;0,INDEX($AG$9:$AG$219,$AF220),"")&lt;&gt;"call")),"Wrong option leg",IF(OR(AND(OR($F220="sell_put",$F220="sell_call"),OR($H220&lt;=0,$I220&lt;=0,$J220&lt;0)),AND(OR($F220="buy_to_close",$F220="expire",$F220="assignment",$F220="called_away"),OR($H220&lt;=0,$J220&lt;0)),AND($F220="roll",OR($H220&lt;=0,$I220&lt;=0,$J220&lt;0,$K220&lt;0)),AND(OR($F220="buy_shares",$F220="sell_shares"),OR($L220&lt;=0,$M220&lt;0)),AND(OR($F220="dividend",$F220="fee"),$N220&lt;0)),"Invalid value",IF(AND(OR($F220="sell_shares",$F220="called_away"),$AL220&lt;IF($F220="called_away",$AE220*$D220,$L220)),"Insufficient shares (capped)",IF(AND(OR($F220="buy_to_close",$F220="expire",$F220="roll",$F220="assignment",$F220="called_away"),$AF220&gt;0,$H220&gt;IF($AF220&gt;0,MAX(0,INDEX($AI$9:$AI$219,$AF220)-SUMIFS($AE$9:$AE$219,$G$9:$G$219,$G220,$B$9:$B$219,$B220)),0)),"Close quantity capped","OK")))))))))</f>
        <v/>
      </c>
      <c r="W220" s="59" t="str">
        <f t="shared" si="54"/>
        <v/>
      </c>
      <c r="X220" s="60" t="str">
        <f t="shared" si="55"/>
        <v/>
      </c>
      <c r="Y220" s="50" t="str">
        <f t="shared" si="56"/>
        <v/>
      </c>
      <c r="Z220" s="50" t="str">
        <f t="shared" si="57"/>
        <v/>
      </c>
      <c r="AA220" s="50" t="str">
        <f t="shared" si="58"/>
        <v/>
      </c>
      <c r="AB220" s="50" t="str">
        <f t="shared" si="59"/>
        <v/>
      </c>
      <c r="AC220" s="50" t="str">
        <f>IF($A220="","",IF($F220="assignment",IF($AF220&gt;0,INDEX($AH$9:$AH$219,$AF220),0)*$AE220*$D220,IF($F220="buy_shares",$M220*$AL220,0)))</f>
        <v/>
      </c>
      <c r="AD220" s="50" t="str">
        <f>IF($A220="","",IF($F220="called_away",IF($AF220&gt;0,INDEX($AH$9:$AH$219,$AF220),0)*$AL220,IF($F220="sell_shares",$M220*$AL220,0)))</f>
        <v/>
      </c>
      <c r="AE220" s="51" t="str">
        <f>IF($A220="","",IF(OR($F220="sell_put",$F220="sell_call"),IF(AND($H220&gt;0,$I220&gt;0,$J220&gt;=0),$H220,0),IF(OR($F220="buy_to_close",$F220="expire",$F220="roll",$F220="assignment",$F220="called_away"),IF(AND($AF220&gt;0,$H220&gt;0,IF($F220="assignment",IF($AF220&gt;0,INDEX($AG$9:$AG$219,$AF220),"")="put",TRUE),IF($F220="called_away",IF($AF220&gt;0,INDEX($AG$9:$AG$219,$AF220),"")="call",TRUE)),MIN($H220,IF($AF220&gt;0,MAX(0,INDEX($AI$9:$AI$219,$AF220)-SUMIFS($AE$9:$AE$219,$G$9:$G$219,$G220,$B$9:$B$219,$B220)),0)),0),0)))</f>
        <v/>
      </c>
      <c r="AF220" t="str">
        <f>IF($A220="","",IFERROR(MATCH(LEN($B220)&amp;":"&amp;$B220&amp;$G220,$AY$9:$AY$219,0),0))</f>
        <v/>
      </c>
      <c r="AG220" t="str">
        <f>IF($A220="","",IF($F220="sell_put","put",IF($F220="sell_call","call",IF($F220="roll",IF($AF220&gt;0,IF($AF220&gt;0,INDEX($AG$9:$AG$219,$AF220),""),""),IF($AF220&gt;0,IF($AF220&gt;0,INDEX($AG$9:$AG$219,$AF220),""),"")))))</f>
        <v/>
      </c>
      <c r="AH220" t="str">
        <f>IF($A220="","",IF(OR($F220="sell_put",$F220="sell_call",$F220="roll"),$I220,IF($AF220&gt;0,IF($AF220&gt;0,INDEX($AH$9:$AH$219,$AF220),0),0)))</f>
        <v/>
      </c>
      <c r="AI220" s="51" t="str">
        <f t="shared" si="60"/>
        <v/>
      </c>
      <c r="AJ220" s="51" t="str">
        <f>IF($A220="","",IFERROR(LOOKUP(2,1/($B$9:$B$219=$B220),$AM$9:$AM219),0))</f>
        <v/>
      </c>
      <c r="AK220" t="str">
        <f>IF($A220="","",IFERROR(LOOKUP(2,1/($B$9:$B$219=$B220),$AN$9:$AN219),0))</f>
        <v/>
      </c>
      <c r="AL220" s="51" t="str">
        <f t="shared" si="61"/>
        <v/>
      </c>
      <c r="AM220" s="51" t="str">
        <f t="shared" si="62"/>
        <v/>
      </c>
      <c r="AN220" t="str">
        <f t="shared" si="63"/>
        <v/>
      </c>
      <c r="AO220" s="50" t="str">
        <f>IF($A220="","",IFERROR(LOOKUP(2,1/($B$9:$B$219=$B220),$AO$9:$AO219),0)+IF($F220="sell_put",$I220*$AE220*$D220,IF($F220="roll",IF($AG220="put",($I220-IF($AF220&gt;0,INDEX($AH$9:$AH$219,$AF220),0))*$AE220*$D220,0),IF(AND(OR($F220="buy_to_close",$F220="expire",$F220="roll",$F220="assignment",$F220="called_away"),$F220&lt;&gt;"roll",$AG220="put"),-IF($AF220&gt;0,INDEX($AH$9:$AH$219,$AF220),0)*$AE220*$D220,0))))</f>
        <v/>
      </c>
      <c r="AP220" s="51" t="str">
        <f>IF($A220="","",IFERROR(LOOKUP(2,1/($B$9:$B$219=$B220),$AP$9:$AP219),0)+IF($F220="sell_put",$AE220*$D220,IF(AND(OR($F220="buy_to_close",$F220="expire",$F220="roll",$F220="assignment",$F220="called_away"),$F220&lt;&gt;"roll",$AG220="put"),-$AE220*$D220,0)))</f>
        <v/>
      </c>
      <c r="AQ220" s="51" t="str">
        <f>IF($A220="","",IFERROR(LOOKUP(2,1/($B$9:$B$219=$B220),$AQ$9:$AQ219),0)+IF(OR($F220="sell_put",$F220="sell_call"),$AE220,0)-IF(AND(OR($F220="buy_to_close",$F220="expire",$F220="roll",$F220="assignment",$F220="called_away"),$F220&lt;&gt;"roll"),$AE220,0))</f>
        <v/>
      </c>
      <c r="AR220" t="str">
        <f t="shared" si="64"/>
        <v/>
      </c>
      <c r="AS220" s="50" t="str">
        <f t="shared" si="65"/>
        <v/>
      </c>
      <c r="AT220" s="50" t="str">
        <f>IF($A220="","",MAX(IF($T220=IFERROR(LOOKUP(2,1/($B$9:$B$219=$B220),$T$9:$T219),0),IFERROR(LOOKUP(2,1/($B$9:$B$219=$B220),$AT$9:$AT219),0),0),$AS220))</f>
        <v/>
      </c>
      <c r="AU220" t="str">
        <f t="shared" si="66"/>
        <v/>
      </c>
      <c r="AV220" s="51">
        <f>IF($AU220="",0,IF(AND(IFERROR(LOOKUP(2,1/($B$9:$B$219=$B220),$AR$9:$AR219),1),NOT(AND(OR($F220="dividend",$F220="fee"),IFERROR(LOOKUP(2,1/($B$9:$B$219=$B220),$T$9:$T219),0)&gt;0))),ROW(),0))</f>
        <v>0</v>
      </c>
      <c r="AW220">
        <f>IF($A220="",0,IF($AV220&gt;0,MAX($AW$9:$AW$219)+1,MAX($AW$9:$AW$219)))</f>
        <v>0</v>
      </c>
      <c r="AX220">
        <f>IF($AU220="",0,IF(AND($AR220,OR(NOT(IFERROR(LOOKUP(2,1/($B$9:$B$219=$B220),$AR$9:$AR219),1)),IFERROR(LOOKUP(2,1/($B$9:$B$219=$B220),$T$9:$T219),0)=0)),ROW(),0))</f>
        <v>0</v>
      </c>
      <c r="AY220" t="str">
        <f t="shared" si="67"/>
        <v/>
      </c>
    </row>
    <row r="221" spans="1:51" ht="15" x14ac:dyDescent="0.25">
      <c r="A221" s="41" t="str">
        <f>IF(Trades!$A221="","",Trades!O221)</f>
        <v/>
      </c>
      <c r="B221" s="41" t="str">
        <f>IF(Trades!$A221="","",Trades!B221)</f>
        <v/>
      </c>
      <c r="C221" s="41" t="str">
        <f>IF(Trades!$A221="","",Trades!C221)</f>
        <v/>
      </c>
      <c r="D221" s="42" t="str">
        <f>IF(Trades!$A221="","",IF(Trades!$L221&gt;0,Trades!$L221,Trades!$C$6))</f>
        <v/>
      </c>
      <c r="E221" s="43" t="str">
        <f>IF(Trades!$A221="","",Trades!A221)</f>
        <v/>
      </c>
      <c r="F221" s="41" t="str">
        <f>IF(Trades!$A221="","",IFERROR(INDEX(Trades!$V$2:$V$14,MATCH(Trades!$E221,Trades!$U$2:$U$14,0)),""))</f>
        <v/>
      </c>
      <c r="G221" s="41" t="str">
        <f>IF(Trades!$A221="","",Trades!N221)</f>
        <v/>
      </c>
      <c r="H221" s="42" t="str">
        <f>IF(Trades!$A221="","",Trades!F221)</f>
        <v/>
      </c>
      <c r="I221" s="44" t="str">
        <f>IF(Trades!$A221="","",Trades!G221)</f>
        <v/>
      </c>
      <c r="J221" s="44" t="str">
        <f>IF(Trades!$A221="","",Trades!I221)</f>
        <v/>
      </c>
      <c r="K221" s="44" t="str">
        <f>IF(Trades!$A221="","",Trades!Q221)</f>
        <v/>
      </c>
      <c r="L221" s="42" t="str">
        <f>IF(Trades!$A221="","",Trades!F221)</f>
        <v/>
      </c>
      <c r="M221" s="44" t="str">
        <f>IF(Trades!$A221="","",Trades!M221)</f>
        <v/>
      </c>
      <c r="N221" s="44" t="str">
        <f>IF(Trades!$A221="","",Trades!R221)</f>
        <v/>
      </c>
      <c r="O221" s="44" t="str">
        <f>IF(Trades!$A221="","",Trades!J221)</f>
        <v/>
      </c>
      <c r="P221" s="43" t="str">
        <f>IF(Trades!$A221="","",Trades!H221)</f>
        <v/>
      </c>
      <c r="Q221" s="41" t="str">
        <f>IF(Trades!$A221="","",Trades!P221)</f>
        <v/>
      </c>
      <c r="R221" s="45" t="str">
        <f t="shared" si="51"/>
        <v/>
      </c>
      <c r="S221" s="45" t="str">
        <f t="shared" si="52"/>
        <v/>
      </c>
      <c r="T221" s="46" t="str">
        <f>IF(OR($A221="",$B221=""),"",IF(AND(IFERROR(LOOKUP(2,1/($B$9:$B$220=$B221),$AR$9:$AR220),1),NOT(AND(OR($F221="dividend",$F221="fee"),IFERROR(LOOKUP(2,1/($B$9:$B$220=$B221),$T$9:$T220),0)&gt;0))),IFERROR(LOOKUP(2,1/($B$9:$B$220=$B221),$T$9:$T220),0)+1,IFERROR(LOOKUP(2,1/($B$9:$B$220=$B221),$T$9:$T220),0)))</f>
        <v/>
      </c>
      <c r="U221" s="47" t="str">
        <f t="shared" si="53"/>
        <v/>
      </c>
      <c r="V221" s="47" t="str">
        <f>IF($A221="","",IF(OR($B221="",$C221="",$D221="",$E221="",$F221=""),"Missing required field",IF(COUNTIFS($A$9:$A221,$A221,$B$9:$B221,$B221)&gt;1,"Duplicate event ID",IF(AND($E221&lt;&gt;IFERROR(LOOKUP(2,1/($B$9:$B$220=$B221),$E$9:$E220),0),IFERROR(LOOKUP(2,1/($B$9:$B$220=$B221),$E$9:$E220),0)&gt;$E221),"Date out of order",IF(AND(OR($F221="buy_to_close",$F221="expire",$F221="roll",$F221="assignment",$F221="called_away"),$AF221=0),"Unknown lot",IF(OR(AND($F221="assignment",$AF221&gt;0,IF($AF221&gt;0,INDEX($AG$9:$AG$220,$AF221),"")&lt;&gt;"put"),AND($F221="called_away",$AF221&gt;0,IF($AF221&gt;0,INDEX($AG$9:$AG$220,$AF221),"")&lt;&gt;"call")),"Wrong option leg",IF(OR(AND(OR($F221="sell_put",$F221="sell_call"),OR($H221&lt;=0,$I221&lt;=0,$J221&lt;0)),AND(OR($F221="buy_to_close",$F221="expire",$F221="assignment",$F221="called_away"),OR($H221&lt;=0,$J221&lt;0)),AND($F221="roll",OR($H221&lt;=0,$I221&lt;=0,$J221&lt;0,$K221&lt;0)),AND(OR($F221="buy_shares",$F221="sell_shares"),OR($L221&lt;=0,$M221&lt;0)),AND(OR($F221="dividend",$F221="fee"),$N221&lt;0)),"Invalid value",IF(AND(OR($F221="sell_shares",$F221="called_away"),$AL221&lt;IF($F221="called_away",$AE221*$D221,$L221)),"Insufficient shares (capped)",IF(AND(OR($F221="buy_to_close",$F221="expire",$F221="roll",$F221="assignment",$F221="called_away"),$AF221&gt;0,$H221&gt;IF($AF221&gt;0,MAX(0,INDEX($AI$9:$AI$220,$AF221)-SUMIFS($AE$9:$AE$220,$G$9:$G$220,$G221,$B$9:$B$220,$B221)),0)),"Close quantity capped","OK")))))))))</f>
        <v/>
      </c>
      <c r="W221" s="48" t="str">
        <f t="shared" si="54"/>
        <v/>
      </c>
      <c r="X221" s="49" t="str">
        <f t="shared" si="55"/>
        <v/>
      </c>
      <c r="Y221" s="50" t="str">
        <f t="shared" si="56"/>
        <v/>
      </c>
      <c r="Z221" s="50" t="str">
        <f t="shared" si="57"/>
        <v/>
      </c>
      <c r="AA221" s="50" t="str">
        <f t="shared" si="58"/>
        <v/>
      </c>
      <c r="AB221" s="50" t="str">
        <f t="shared" si="59"/>
        <v/>
      </c>
      <c r="AC221" s="50" t="str">
        <f>IF($A221="","",IF($F221="assignment",IF($AF221&gt;0,INDEX($AH$9:$AH$220,$AF221),0)*$AE221*$D221,IF($F221="buy_shares",$M221*$AL221,0)))</f>
        <v/>
      </c>
      <c r="AD221" s="50" t="str">
        <f>IF($A221="","",IF($F221="called_away",IF($AF221&gt;0,INDEX($AH$9:$AH$220,$AF221),0)*$AL221,IF($F221="sell_shares",$M221*$AL221,0)))</f>
        <v/>
      </c>
      <c r="AE221" s="51" t="str">
        <f>IF($A221="","",IF(OR($F221="sell_put",$F221="sell_call"),IF(AND($H221&gt;0,$I221&gt;0,$J221&gt;=0),$H221,0),IF(OR($F221="buy_to_close",$F221="expire",$F221="roll",$F221="assignment",$F221="called_away"),IF(AND($AF221&gt;0,$H221&gt;0,IF($F221="assignment",IF($AF221&gt;0,INDEX($AG$9:$AG$220,$AF221),"")="put",TRUE),IF($F221="called_away",IF($AF221&gt;0,INDEX($AG$9:$AG$220,$AF221),"")="call",TRUE)),MIN($H221,IF($AF221&gt;0,MAX(0,INDEX($AI$9:$AI$220,$AF221)-SUMIFS($AE$9:$AE$220,$G$9:$G$220,$G221,$B$9:$B$220,$B221)),0)),0),0)))</f>
        <v/>
      </c>
      <c r="AF221" t="str">
        <f>IF($A221="","",IFERROR(MATCH(LEN($B221)&amp;":"&amp;$B221&amp;$G221,$AY$9:$AY$220,0),0))</f>
        <v/>
      </c>
      <c r="AG221" t="str">
        <f>IF($A221="","",IF($F221="sell_put","put",IF($F221="sell_call","call",IF($F221="roll",IF($AF221&gt;0,IF($AF221&gt;0,INDEX($AG$9:$AG$220,$AF221),""),""),IF($AF221&gt;0,IF($AF221&gt;0,INDEX($AG$9:$AG$220,$AF221),""),"")))))</f>
        <v/>
      </c>
      <c r="AH221" t="str">
        <f>IF($A221="","",IF(OR($F221="sell_put",$F221="sell_call",$F221="roll"),$I221,IF($AF221&gt;0,IF($AF221&gt;0,INDEX($AH$9:$AH$220,$AF221),0),0)))</f>
        <v/>
      </c>
      <c r="AI221" s="51" t="str">
        <f t="shared" si="60"/>
        <v/>
      </c>
      <c r="AJ221" s="51" t="str">
        <f>IF($A221="","",IFERROR(LOOKUP(2,1/($B$9:$B$220=$B221),$AM$9:$AM220),0))</f>
        <v/>
      </c>
      <c r="AK221" t="str">
        <f>IF($A221="","",IFERROR(LOOKUP(2,1/($B$9:$B$220=$B221),$AN$9:$AN220),0))</f>
        <v/>
      </c>
      <c r="AL221" s="51" t="str">
        <f t="shared" si="61"/>
        <v/>
      </c>
      <c r="AM221" s="51" t="str">
        <f t="shared" si="62"/>
        <v/>
      </c>
      <c r="AN221" t="str">
        <f t="shared" si="63"/>
        <v/>
      </c>
      <c r="AO221" s="50" t="str">
        <f>IF($A221="","",IFERROR(LOOKUP(2,1/($B$9:$B$220=$B221),$AO$9:$AO220),0)+IF($F221="sell_put",$I221*$AE221*$D221,IF($F221="roll",IF($AG221="put",($I221-IF($AF221&gt;0,INDEX($AH$9:$AH$220,$AF221),0))*$AE221*$D221,0),IF(AND(OR($F221="buy_to_close",$F221="expire",$F221="roll",$F221="assignment",$F221="called_away"),$F221&lt;&gt;"roll",$AG221="put"),-IF($AF221&gt;0,INDEX($AH$9:$AH$220,$AF221),0)*$AE221*$D221,0))))</f>
        <v/>
      </c>
      <c r="AP221" s="51" t="str">
        <f>IF($A221="","",IFERROR(LOOKUP(2,1/($B$9:$B$220=$B221),$AP$9:$AP220),0)+IF($F221="sell_put",$AE221*$D221,IF(AND(OR($F221="buy_to_close",$F221="expire",$F221="roll",$F221="assignment",$F221="called_away"),$F221&lt;&gt;"roll",$AG221="put"),-$AE221*$D221,0)))</f>
        <v/>
      </c>
      <c r="AQ221" s="51" t="str">
        <f>IF($A221="","",IFERROR(LOOKUP(2,1/($B$9:$B$220=$B221),$AQ$9:$AQ220),0)+IF(OR($F221="sell_put",$F221="sell_call"),$AE221,0)-IF(AND(OR($F221="buy_to_close",$F221="expire",$F221="roll",$F221="assignment",$F221="called_away"),$F221&lt;&gt;"roll"),$AE221,0))</f>
        <v/>
      </c>
      <c r="AR221" t="str">
        <f t="shared" si="64"/>
        <v/>
      </c>
      <c r="AS221" s="50" t="str">
        <f t="shared" si="65"/>
        <v/>
      </c>
      <c r="AT221" s="50" t="str">
        <f>IF($A221="","",MAX(IF($T221=IFERROR(LOOKUP(2,1/($B$9:$B$220=$B221),$T$9:$T220),0),IFERROR(LOOKUP(2,1/($B$9:$B$220=$B221),$AT$9:$AT220),0),0),$AS221))</f>
        <v/>
      </c>
      <c r="AU221" t="str">
        <f t="shared" si="66"/>
        <v/>
      </c>
      <c r="AV221" s="51">
        <f>IF($AU221="",0,IF(AND(IFERROR(LOOKUP(2,1/($B$9:$B$220=$B221),$AR$9:$AR220),1),NOT(AND(OR($F221="dividend",$F221="fee"),IFERROR(LOOKUP(2,1/($B$9:$B$220=$B221),$T$9:$T220),0)&gt;0))),ROW(),0))</f>
        <v>0</v>
      </c>
      <c r="AW221">
        <f>IF($A221="",0,IF($AV221&gt;0,MAX($AW$9:$AW$220)+1,MAX($AW$9:$AW$220)))</f>
        <v>0</v>
      </c>
      <c r="AX221">
        <f>IF($AU221="",0,IF(AND($AR221,OR(NOT(IFERROR(LOOKUP(2,1/($B$9:$B$220=$B221),$AR$9:$AR220),1)),IFERROR(LOOKUP(2,1/($B$9:$B$220=$B221),$T$9:$T220),0)=0)),ROW(),0))</f>
        <v>0</v>
      </c>
      <c r="AY221" t="str">
        <f t="shared" si="67"/>
        <v/>
      </c>
    </row>
    <row r="222" spans="1:51" ht="15" x14ac:dyDescent="0.25">
      <c r="A222" s="52" t="str">
        <f>IF(Trades!$A222="","",Trades!O222)</f>
        <v/>
      </c>
      <c r="B222" s="52" t="str">
        <f>IF(Trades!$A222="","",Trades!B222)</f>
        <v/>
      </c>
      <c r="C222" s="52" t="str">
        <f>IF(Trades!$A222="","",Trades!C222)</f>
        <v/>
      </c>
      <c r="D222" s="53" t="str">
        <f>IF(Trades!$A222="","",IF(Trades!$L222&gt;0,Trades!$L222,Trades!$C$6))</f>
        <v/>
      </c>
      <c r="E222" s="54" t="str">
        <f>IF(Trades!$A222="","",Trades!A222)</f>
        <v/>
      </c>
      <c r="F222" s="52" t="str">
        <f>IF(Trades!$A222="","",IFERROR(INDEX(Trades!$V$2:$V$14,MATCH(Trades!$E222,Trades!$U$2:$U$14,0)),""))</f>
        <v/>
      </c>
      <c r="G222" s="52" t="str">
        <f>IF(Trades!$A222="","",Trades!N222)</f>
        <v/>
      </c>
      <c r="H222" s="53" t="str">
        <f>IF(Trades!$A222="","",Trades!F222)</f>
        <v/>
      </c>
      <c r="I222" s="55" t="str">
        <f>IF(Trades!$A222="","",Trades!G222)</f>
        <v/>
      </c>
      <c r="J222" s="55" t="str">
        <f>IF(Trades!$A222="","",Trades!I222)</f>
        <v/>
      </c>
      <c r="K222" s="55" t="str">
        <f>IF(Trades!$A222="","",Trades!Q222)</f>
        <v/>
      </c>
      <c r="L222" s="53" t="str">
        <f>IF(Trades!$A222="","",Trades!F222)</f>
        <v/>
      </c>
      <c r="M222" s="55" t="str">
        <f>IF(Trades!$A222="","",Trades!M222)</f>
        <v/>
      </c>
      <c r="N222" s="55" t="str">
        <f>IF(Trades!$A222="","",Trades!R222)</f>
        <v/>
      </c>
      <c r="O222" s="55" t="str">
        <f>IF(Trades!$A222="","",Trades!J222)</f>
        <v/>
      </c>
      <c r="P222" s="54" t="str">
        <f>IF(Trades!$A222="","",Trades!H222)</f>
        <v/>
      </c>
      <c r="Q222" s="52" t="str">
        <f>IF(Trades!$A222="","",Trades!P222)</f>
        <v/>
      </c>
      <c r="R222" s="56" t="str">
        <f t="shared" si="51"/>
        <v/>
      </c>
      <c r="S222" s="56" t="str">
        <f t="shared" si="52"/>
        <v/>
      </c>
      <c r="T222" s="57" t="str">
        <f>IF(OR($A222="",$B222=""),"",IF(AND(IFERROR(LOOKUP(2,1/($B$9:$B$221=$B222),$AR$9:$AR221),1),NOT(AND(OR($F222="dividend",$F222="fee"),IFERROR(LOOKUP(2,1/($B$9:$B$221=$B222),$T$9:$T221),0)&gt;0))),IFERROR(LOOKUP(2,1/($B$9:$B$221=$B222),$T$9:$T221),0)+1,IFERROR(LOOKUP(2,1/($B$9:$B$221=$B222),$T$9:$T221),0)))</f>
        <v/>
      </c>
      <c r="U222" s="58" t="str">
        <f t="shared" si="53"/>
        <v/>
      </c>
      <c r="V222" s="58" t="str">
        <f>IF($A222="","",IF(OR($B222="",$C222="",$D222="",$E222="",$F222=""),"Missing required field",IF(COUNTIFS($A$9:$A222,$A222,$B$9:$B222,$B222)&gt;1,"Duplicate event ID",IF(AND($E222&lt;&gt;IFERROR(LOOKUP(2,1/($B$9:$B$221=$B222),$E$9:$E221),0),IFERROR(LOOKUP(2,1/($B$9:$B$221=$B222),$E$9:$E221),0)&gt;$E222),"Date out of order",IF(AND(OR($F222="buy_to_close",$F222="expire",$F222="roll",$F222="assignment",$F222="called_away"),$AF222=0),"Unknown lot",IF(OR(AND($F222="assignment",$AF222&gt;0,IF($AF222&gt;0,INDEX($AG$9:$AG$221,$AF222),"")&lt;&gt;"put"),AND($F222="called_away",$AF222&gt;0,IF($AF222&gt;0,INDEX($AG$9:$AG$221,$AF222),"")&lt;&gt;"call")),"Wrong option leg",IF(OR(AND(OR($F222="sell_put",$F222="sell_call"),OR($H222&lt;=0,$I222&lt;=0,$J222&lt;0)),AND(OR($F222="buy_to_close",$F222="expire",$F222="assignment",$F222="called_away"),OR($H222&lt;=0,$J222&lt;0)),AND($F222="roll",OR($H222&lt;=0,$I222&lt;=0,$J222&lt;0,$K222&lt;0)),AND(OR($F222="buy_shares",$F222="sell_shares"),OR($L222&lt;=0,$M222&lt;0)),AND(OR($F222="dividend",$F222="fee"),$N222&lt;0)),"Invalid value",IF(AND(OR($F222="sell_shares",$F222="called_away"),$AL222&lt;IF($F222="called_away",$AE222*$D222,$L222)),"Insufficient shares (capped)",IF(AND(OR($F222="buy_to_close",$F222="expire",$F222="roll",$F222="assignment",$F222="called_away"),$AF222&gt;0,$H222&gt;IF($AF222&gt;0,MAX(0,INDEX($AI$9:$AI$221,$AF222)-SUMIFS($AE$9:$AE$221,$G$9:$G$221,$G222,$B$9:$B$221,$B222)),0)),"Close quantity capped","OK")))))))))</f>
        <v/>
      </c>
      <c r="W222" s="59" t="str">
        <f t="shared" si="54"/>
        <v/>
      </c>
      <c r="X222" s="60" t="str">
        <f t="shared" si="55"/>
        <v/>
      </c>
      <c r="Y222" s="50" t="str">
        <f t="shared" si="56"/>
        <v/>
      </c>
      <c r="Z222" s="50" t="str">
        <f t="shared" si="57"/>
        <v/>
      </c>
      <c r="AA222" s="50" t="str">
        <f t="shared" si="58"/>
        <v/>
      </c>
      <c r="AB222" s="50" t="str">
        <f t="shared" si="59"/>
        <v/>
      </c>
      <c r="AC222" s="50" t="str">
        <f>IF($A222="","",IF($F222="assignment",IF($AF222&gt;0,INDEX($AH$9:$AH$221,$AF222),0)*$AE222*$D222,IF($F222="buy_shares",$M222*$AL222,0)))</f>
        <v/>
      </c>
      <c r="AD222" s="50" t="str">
        <f>IF($A222="","",IF($F222="called_away",IF($AF222&gt;0,INDEX($AH$9:$AH$221,$AF222),0)*$AL222,IF($F222="sell_shares",$M222*$AL222,0)))</f>
        <v/>
      </c>
      <c r="AE222" s="51" t="str">
        <f>IF($A222="","",IF(OR($F222="sell_put",$F222="sell_call"),IF(AND($H222&gt;0,$I222&gt;0,$J222&gt;=0),$H222,0),IF(OR($F222="buy_to_close",$F222="expire",$F222="roll",$F222="assignment",$F222="called_away"),IF(AND($AF222&gt;0,$H222&gt;0,IF($F222="assignment",IF($AF222&gt;0,INDEX($AG$9:$AG$221,$AF222),"")="put",TRUE),IF($F222="called_away",IF($AF222&gt;0,INDEX($AG$9:$AG$221,$AF222),"")="call",TRUE)),MIN($H222,IF($AF222&gt;0,MAX(0,INDEX($AI$9:$AI$221,$AF222)-SUMIFS($AE$9:$AE$221,$G$9:$G$221,$G222,$B$9:$B$221,$B222)),0)),0),0)))</f>
        <v/>
      </c>
      <c r="AF222" t="str">
        <f>IF($A222="","",IFERROR(MATCH(LEN($B222)&amp;":"&amp;$B222&amp;$G222,$AY$9:$AY$221,0),0))</f>
        <v/>
      </c>
      <c r="AG222" t="str">
        <f>IF($A222="","",IF($F222="sell_put","put",IF($F222="sell_call","call",IF($F222="roll",IF($AF222&gt;0,IF($AF222&gt;0,INDEX($AG$9:$AG$221,$AF222),""),""),IF($AF222&gt;0,IF($AF222&gt;0,INDEX($AG$9:$AG$221,$AF222),""),"")))))</f>
        <v/>
      </c>
      <c r="AH222" t="str">
        <f>IF($A222="","",IF(OR($F222="sell_put",$F222="sell_call",$F222="roll"),$I222,IF($AF222&gt;0,IF($AF222&gt;0,INDEX($AH$9:$AH$221,$AF222),0),0)))</f>
        <v/>
      </c>
      <c r="AI222" s="51" t="str">
        <f t="shared" si="60"/>
        <v/>
      </c>
      <c r="AJ222" s="51" t="str">
        <f>IF($A222="","",IFERROR(LOOKUP(2,1/($B$9:$B$221=$B222),$AM$9:$AM221),0))</f>
        <v/>
      </c>
      <c r="AK222" t="str">
        <f>IF($A222="","",IFERROR(LOOKUP(2,1/($B$9:$B$221=$B222),$AN$9:$AN221),0))</f>
        <v/>
      </c>
      <c r="AL222" s="51" t="str">
        <f t="shared" si="61"/>
        <v/>
      </c>
      <c r="AM222" s="51" t="str">
        <f t="shared" si="62"/>
        <v/>
      </c>
      <c r="AN222" t="str">
        <f t="shared" si="63"/>
        <v/>
      </c>
      <c r="AO222" s="50" t="str">
        <f>IF($A222="","",IFERROR(LOOKUP(2,1/($B$9:$B$221=$B222),$AO$9:$AO221),0)+IF($F222="sell_put",$I222*$AE222*$D222,IF($F222="roll",IF($AG222="put",($I222-IF($AF222&gt;0,INDEX($AH$9:$AH$221,$AF222),0))*$AE222*$D222,0),IF(AND(OR($F222="buy_to_close",$F222="expire",$F222="roll",$F222="assignment",$F222="called_away"),$F222&lt;&gt;"roll",$AG222="put"),-IF($AF222&gt;0,INDEX($AH$9:$AH$221,$AF222),0)*$AE222*$D222,0))))</f>
        <v/>
      </c>
      <c r="AP222" s="51" t="str">
        <f>IF($A222="","",IFERROR(LOOKUP(2,1/($B$9:$B$221=$B222),$AP$9:$AP221),0)+IF($F222="sell_put",$AE222*$D222,IF(AND(OR($F222="buy_to_close",$F222="expire",$F222="roll",$F222="assignment",$F222="called_away"),$F222&lt;&gt;"roll",$AG222="put"),-$AE222*$D222,0)))</f>
        <v/>
      </c>
      <c r="AQ222" s="51" t="str">
        <f>IF($A222="","",IFERROR(LOOKUP(2,1/($B$9:$B$221=$B222),$AQ$9:$AQ221),0)+IF(OR($F222="sell_put",$F222="sell_call"),$AE222,0)-IF(AND(OR($F222="buy_to_close",$F222="expire",$F222="roll",$F222="assignment",$F222="called_away"),$F222&lt;&gt;"roll"),$AE222,0))</f>
        <v/>
      </c>
      <c r="AR222" t="str">
        <f t="shared" si="64"/>
        <v/>
      </c>
      <c r="AS222" s="50" t="str">
        <f t="shared" si="65"/>
        <v/>
      </c>
      <c r="AT222" s="50" t="str">
        <f>IF($A222="","",MAX(IF($T222=IFERROR(LOOKUP(2,1/($B$9:$B$221=$B222),$T$9:$T221),0),IFERROR(LOOKUP(2,1/($B$9:$B$221=$B222),$AT$9:$AT221),0),0),$AS222))</f>
        <v/>
      </c>
      <c r="AU222" t="str">
        <f t="shared" si="66"/>
        <v/>
      </c>
      <c r="AV222" s="51">
        <f>IF($AU222="",0,IF(AND(IFERROR(LOOKUP(2,1/($B$9:$B$221=$B222),$AR$9:$AR221),1),NOT(AND(OR($F222="dividend",$F222="fee"),IFERROR(LOOKUP(2,1/($B$9:$B$221=$B222),$T$9:$T221),0)&gt;0))),ROW(),0))</f>
        <v>0</v>
      </c>
      <c r="AW222">
        <f>IF($A222="",0,IF($AV222&gt;0,MAX($AW$9:$AW$221)+1,MAX($AW$9:$AW$221)))</f>
        <v>0</v>
      </c>
      <c r="AX222">
        <f>IF($AU222="",0,IF(AND($AR222,OR(NOT(IFERROR(LOOKUP(2,1/($B$9:$B$221=$B222),$AR$9:$AR221),1)),IFERROR(LOOKUP(2,1/($B$9:$B$221=$B222),$T$9:$T221),0)=0)),ROW(),0))</f>
        <v>0</v>
      </c>
      <c r="AY222" t="str">
        <f t="shared" si="67"/>
        <v/>
      </c>
    </row>
    <row r="223" spans="1:51" ht="15" x14ac:dyDescent="0.25">
      <c r="A223" s="41" t="str">
        <f>IF(Trades!$A223="","",Trades!O223)</f>
        <v/>
      </c>
      <c r="B223" s="41" t="str">
        <f>IF(Trades!$A223="","",Trades!B223)</f>
        <v/>
      </c>
      <c r="C223" s="41" t="str">
        <f>IF(Trades!$A223="","",Trades!C223)</f>
        <v/>
      </c>
      <c r="D223" s="42" t="str">
        <f>IF(Trades!$A223="","",IF(Trades!$L223&gt;0,Trades!$L223,Trades!$C$6))</f>
        <v/>
      </c>
      <c r="E223" s="43" t="str">
        <f>IF(Trades!$A223="","",Trades!A223)</f>
        <v/>
      </c>
      <c r="F223" s="41" t="str">
        <f>IF(Trades!$A223="","",IFERROR(INDEX(Trades!$V$2:$V$14,MATCH(Trades!$E223,Trades!$U$2:$U$14,0)),""))</f>
        <v/>
      </c>
      <c r="G223" s="41" t="str">
        <f>IF(Trades!$A223="","",Trades!N223)</f>
        <v/>
      </c>
      <c r="H223" s="42" t="str">
        <f>IF(Trades!$A223="","",Trades!F223)</f>
        <v/>
      </c>
      <c r="I223" s="44" t="str">
        <f>IF(Trades!$A223="","",Trades!G223)</f>
        <v/>
      </c>
      <c r="J223" s="44" t="str">
        <f>IF(Trades!$A223="","",Trades!I223)</f>
        <v/>
      </c>
      <c r="K223" s="44" t="str">
        <f>IF(Trades!$A223="","",Trades!Q223)</f>
        <v/>
      </c>
      <c r="L223" s="42" t="str">
        <f>IF(Trades!$A223="","",Trades!F223)</f>
        <v/>
      </c>
      <c r="M223" s="44" t="str">
        <f>IF(Trades!$A223="","",Trades!M223)</f>
        <v/>
      </c>
      <c r="N223" s="44" t="str">
        <f>IF(Trades!$A223="","",Trades!R223)</f>
        <v/>
      </c>
      <c r="O223" s="44" t="str">
        <f>IF(Trades!$A223="","",Trades!J223)</f>
        <v/>
      </c>
      <c r="P223" s="43" t="str">
        <f>IF(Trades!$A223="","",Trades!H223)</f>
        <v/>
      </c>
      <c r="Q223" s="41" t="str">
        <f>IF(Trades!$A223="","",Trades!P223)</f>
        <v/>
      </c>
      <c r="R223" s="45" t="str">
        <f t="shared" si="51"/>
        <v/>
      </c>
      <c r="S223" s="45" t="str">
        <f t="shared" si="52"/>
        <v/>
      </c>
      <c r="T223" s="46" t="str">
        <f>IF(OR($A223="",$B223=""),"",IF(AND(IFERROR(LOOKUP(2,1/($B$9:$B$222=$B223),$AR$9:$AR222),1),NOT(AND(OR($F223="dividend",$F223="fee"),IFERROR(LOOKUP(2,1/($B$9:$B$222=$B223),$T$9:$T222),0)&gt;0))),IFERROR(LOOKUP(2,1/($B$9:$B$222=$B223),$T$9:$T222),0)+1,IFERROR(LOOKUP(2,1/($B$9:$B$222=$B223),$T$9:$T222),0)))</f>
        <v/>
      </c>
      <c r="U223" s="47" t="str">
        <f t="shared" si="53"/>
        <v/>
      </c>
      <c r="V223" s="47" t="str">
        <f>IF($A223="","",IF(OR($B223="",$C223="",$D223="",$E223="",$F223=""),"Missing required field",IF(COUNTIFS($A$9:$A223,$A223,$B$9:$B223,$B223)&gt;1,"Duplicate event ID",IF(AND($E223&lt;&gt;IFERROR(LOOKUP(2,1/($B$9:$B$222=$B223),$E$9:$E222),0),IFERROR(LOOKUP(2,1/($B$9:$B$222=$B223),$E$9:$E222),0)&gt;$E223),"Date out of order",IF(AND(OR($F223="buy_to_close",$F223="expire",$F223="roll",$F223="assignment",$F223="called_away"),$AF223=0),"Unknown lot",IF(OR(AND($F223="assignment",$AF223&gt;0,IF($AF223&gt;0,INDEX($AG$9:$AG$222,$AF223),"")&lt;&gt;"put"),AND($F223="called_away",$AF223&gt;0,IF($AF223&gt;0,INDEX($AG$9:$AG$222,$AF223),"")&lt;&gt;"call")),"Wrong option leg",IF(OR(AND(OR($F223="sell_put",$F223="sell_call"),OR($H223&lt;=0,$I223&lt;=0,$J223&lt;0)),AND(OR($F223="buy_to_close",$F223="expire",$F223="assignment",$F223="called_away"),OR($H223&lt;=0,$J223&lt;0)),AND($F223="roll",OR($H223&lt;=0,$I223&lt;=0,$J223&lt;0,$K223&lt;0)),AND(OR($F223="buy_shares",$F223="sell_shares"),OR($L223&lt;=0,$M223&lt;0)),AND(OR($F223="dividend",$F223="fee"),$N223&lt;0)),"Invalid value",IF(AND(OR($F223="sell_shares",$F223="called_away"),$AL223&lt;IF($F223="called_away",$AE223*$D223,$L223)),"Insufficient shares (capped)",IF(AND(OR($F223="buy_to_close",$F223="expire",$F223="roll",$F223="assignment",$F223="called_away"),$AF223&gt;0,$H223&gt;IF($AF223&gt;0,MAX(0,INDEX($AI$9:$AI$222,$AF223)-SUMIFS($AE$9:$AE$222,$G$9:$G$222,$G223,$B$9:$B$222,$B223)),0)),"Close quantity capped","OK")))))))))</f>
        <v/>
      </c>
      <c r="W223" s="48" t="str">
        <f t="shared" si="54"/>
        <v/>
      </c>
      <c r="X223" s="49" t="str">
        <f t="shared" si="55"/>
        <v/>
      </c>
      <c r="Y223" s="50" t="str">
        <f t="shared" si="56"/>
        <v/>
      </c>
      <c r="Z223" s="50" t="str">
        <f t="shared" si="57"/>
        <v/>
      </c>
      <c r="AA223" s="50" t="str">
        <f t="shared" si="58"/>
        <v/>
      </c>
      <c r="AB223" s="50" t="str">
        <f t="shared" si="59"/>
        <v/>
      </c>
      <c r="AC223" s="50" t="str">
        <f>IF($A223="","",IF($F223="assignment",IF($AF223&gt;0,INDEX($AH$9:$AH$222,$AF223),0)*$AE223*$D223,IF($F223="buy_shares",$M223*$AL223,0)))</f>
        <v/>
      </c>
      <c r="AD223" s="50" t="str">
        <f>IF($A223="","",IF($F223="called_away",IF($AF223&gt;0,INDEX($AH$9:$AH$222,$AF223),0)*$AL223,IF($F223="sell_shares",$M223*$AL223,0)))</f>
        <v/>
      </c>
      <c r="AE223" s="51" t="str">
        <f>IF($A223="","",IF(OR($F223="sell_put",$F223="sell_call"),IF(AND($H223&gt;0,$I223&gt;0,$J223&gt;=0),$H223,0),IF(OR($F223="buy_to_close",$F223="expire",$F223="roll",$F223="assignment",$F223="called_away"),IF(AND($AF223&gt;0,$H223&gt;0,IF($F223="assignment",IF($AF223&gt;0,INDEX($AG$9:$AG$222,$AF223),"")="put",TRUE),IF($F223="called_away",IF($AF223&gt;0,INDEX($AG$9:$AG$222,$AF223),"")="call",TRUE)),MIN($H223,IF($AF223&gt;0,MAX(0,INDEX($AI$9:$AI$222,$AF223)-SUMIFS($AE$9:$AE$222,$G$9:$G$222,$G223,$B$9:$B$222,$B223)),0)),0),0)))</f>
        <v/>
      </c>
      <c r="AF223" t="str">
        <f>IF($A223="","",IFERROR(MATCH(LEN($B223)&amp;":"&amp;$B223&amp;$G223,$AY$9:$AY$222,0),0))</f>
        <v/>
      </c>
      <c r="AG223" t="str">
        <f>IF($A223="","",IF($F223="sell_put","put",IF($F223="sell_call","call",IF($F223="roll",IF($AF223&gt;0,IF($AF223&gt;0,INDEX($AG$9:$AG$222,$AF223),""),""),IF($AF223&gt;0,IF($AF223&gt;0,INDEX($AG$9:$AG$222,$AF223),""),"")))))</f>
        <v/>
      </c>
      <c r="AH223" t="str">
        <f>IF($A223="","",IF(OR($F223="sell_put",$F223="sell_call",$F223="roll"),$I223,IF($AF223&gt;0,IF($AF223&gt;0,INDEX($AH$9:$AH$222,$AF223),0),0)))</f>
        <v/>
      </c>
      <c r="AI223" s="51" t="str">
        <f t="shared" si="60"/>
        <v/>
      </c>
      <c r="AJ223" s="51" t="str">
        <f>IF($A223="","",IFERROR(LOOKUP(2,1/($B$9:$B$222=$B223),$AM$9:$AM222),0))</f>
        <v/>
      </c>
      <c r="AK223" t="str">
        <f>IF($A223="","",IFERROR(LOOKUP(2,1/($B$9:$B$222=$B223),$AN$9:$AN222),0))</f>
        <v/>
      </c>
      <c r="AL223" s="51" t="str">
        <f t="shared" si="61"/>
        <v/>
      </c>
      <c r="AM223" s="51" t="str">
        <f t="shared" si="62"/>
        <v/>
      </c>
      <c r="AN223" t="str">
        <f t="shared" si="63"/>
        <v/>
      </c>
      <c r="AO223" s="50" t="str">
        <f>IF($A223="","",IFERROR(LOOKUP(2,1/($B$9:$B$222=$B223),$AO$9:$AO222),0)+IF($F223="sell_put",$I223*$AE223*$D223,IF($F223="roll",IF($AG223="put",($I223-IF($AF223&gt;0,INDEX($AH$9:$AH$222,$AF223),0))*$AE223*$D223,0),IF(AND(OR($F223="buy_to_close",$F223="expire",$F223="roll",$F223="assignment",$F223="called_away"),$F223&lt;&gt;"roll",$AG223="put"),-IF($AF223&gt;0,INDEX($AH$9:$AH$222,$AF223),0)*$AE223*$D223,0))))</f>
        <v/>
      </c>
      <c r="AP223" s="51" t="str">
        <f>IF($A223="","",IFERROR(LOOKUP(2,1/($B$9:$B$222=$B223),$AP$9:$AP222),0)+IF($F223="sell_put",$AE223*$D223,IF(AND(OR($F223="buy_to_close",$F223="expire",$F223="roll",$F223="assignment",$F223="called_away"),$F223&lt;&gt;"roll",$AG223="put"),-$AE223*$D223,0)))</f>
        <v/>
      </c>
      <c r="AQ223" s="51" t="str">
        <f>IF($A223="","",IFERROR(LOOKUP(2,1/($B$9:$B$222=$B223),$AQ$9:$AQ222),0)+IF(OR($F223="sell_put",$F223="sell_call"),$AE223,0)-IF(AND(OR($F223="buy_to_close",$F223="expire",$F223="roll",$F223="assignment",$F223="called_away"),$F223&lt;&gt;"roll"),$AE223,0))</f>
        <v/>
      </c>
      <c r="AR223" t="str">
        <f t="shared" si="64"/>
        <v/>
      </c>
      <c r="AS223" s="50" t="str">
        <f t="shared" si="65"/>
        <v/>
      </c>
      <c r="AT223" s="50" t="str">
        <f>IF($A223="","",MAX(IF($T223=IFERROR(LOOKUP(2,1/($B$9:$B$222=$B223),$T$9:$T222),0),IFERROR(LOOKUP(2,1/($B$9:$B$222=$B223),$AT$9:$AT222),0),0),$AS223))</f>
        <v/>
      </c>
      <c r="AU223" t="str">
        <f t="shared" si="66"/>
        <v/>
      </c>
      <c r="AV223" s="51">
        <f>IF($AU223="",0,IF(AND(IFERROR(LOOKUP(2,1/($B$9:$B$222=$B223),$AR$9:$AR222),1),NOT(AND(OR($F223="dividend",$F223="fee"),IFERROR(LOOKUP(2,1/($B$9:$B$222=$B223),$T$9:$T222),0)&gt;0))),ROW(),0))</f>
        <v>0</v>
      </c>
      <c r="AW223">
        <f>IF($A223="",0,IF($AV223&gt;0,MAX($AW$9:$AW$222)+1,MAX($AW$9:$AW$222)))</f>
        <v>0</v>
      </c>
      <c r="AX223">
        <f>IF($AU223="",0,IF(AND($AR223,OR(NOT(IFERROR(LOOKUP(2,1/($B$9:$B$222=$B223),$AR$9:$AR222),1)),IFERROR(LOOKUP(2,1/($B$9:$B$222=$B223),$T$9:$T222),0)=0)),ROW(),0))</f>
        <v>0</v>
      </c>
      <c r="AY223" t="str">
        <f t="shared" si="67"/>
        <v/>
      </c>
    </row>
    <row r="224" spans="1:51" ht="15" x14ac:dyDescent="0.25">
      <c r="A224" s="52" t="str">
        <f>IF(Trades!$A224="","",Trades!O224)</f>
        <v/>
      </c>
      <c r="B224" s="52" t="str">
        <f>IF(Trades!$A224="","",Trades!B224)</f>
        <v/>
      </c>
      <c r="C224" s="52" t="str">
        <f>IF(Trades!$A224="","",Trades!C224)</f>
        <v/>
      </c>
      <c r="D224" s="53" t="str">
        <f>IF(Trades!$A224="","",IF(Trades!$L224&gt;0,Trades!$L224,Trades!$C$6))</f>
        <v/>
      </c>
      <c r="E224" s="54" t="str">
        <f>IF(Trades!$A224="","",Trades!A224)</f>
        <v/>
      </c>
      <c r="F224" s="52" t="str">
        <f>IF(Trades!$A224="","",IFERROR(INDEX(Trades!$V$2:$V$14,MATCH(Trades!$E224,Trades!$U$2:$U$14,0)),""))</f>
        <v/>
      </c>
      <c r="G224" s="52" t="str">
        <f>IF(Trades!$A224="","",Trades!N224)</f>
        <v/>
      </c>
      <c r="H224" s="53" t="str">
        <f>IF(Trades!$A224="","",Trades!F224)</f>
        <v/>
      </c>
      <c r="I224" s="55" t="str">
        <f>IF(Trades!$A224="","",Trades!G224)</f>
        <v/>
      </c>
      <c r="J224" s="55" t="str">
        <f>IF(Trades!$A224="","",Trades!I224)</f>
        <v/>
      </c>
      <c r="K224" s="55" t="str">
        <f>IF(Trades!$A224="","",Trades!Q224)</f>
        <v/>
      </c>
      <c r="L224" s="53" t="str">
        <f>IF(Trades!$A224="","",Trades!F224)</f>
        <v/>
      </c>
      <c r="M224" s="55" t="str">
        <f>IF(Trades!$A224="","",Trades!M224)</f>
        <v/>
      </c>
      <c r="N224" s="55" t="str">
        <f>IF(Trades!$A224="","",Trades!R224)</f>
        <v/>
      </c>
      <c r="O224" s="55" t="str">
        <f>IF(Trades!$A224="","",Trades!J224)</f>
        <v/>
      </c>
      <c r="P224" s="54" t="str">
        <f>IF(Trades!$A224="","",Trades!H224)</f>
        <v/>
      </c>
      <c r="Q224" s="52" t="str">
        <f>IF(Trades!$A224="","",Trades!P224)</f>
        <v/>
      </c>
      <c r="R224" s="56" t="str">
        <f t="shared" si="51"/>
        <v/>
      </c>
      <c r="S224" s="56" t="str">
        <f t="shared" si="52"/>
        <v/>
      </c>
      <c r="T224" s="57" t="str">
        <f>IF(OR($A224="",$B224=""),"",IF(AND(IFERROR(LOOKUP(2,1/($B$9:$B$223=$B224),$AR$9:$AR223),1),NOT(AND(OR($F224="dividend",$F224="fee"),IFERROR(LOOKUP(2,1/($B$9:$B$223=$B224),$T$9:$T223),0)&gt;0))),IFERROR(LOOKUP(2,1/($B$9:$B$223=$B224),$T$9:$T223),0)+1,IFERROR(LOOKUP(2,1/($B$9:$B$223=$B224),$T$9:$T223),0)))</f>
        <v/>
      </c>
      <c r="U224" s="58" t="str">
        <f t="shared" si="53"/>
        <v/>
      </c>
      <c r="V224" s="58" t="str">
        <f>IF($A224="","",IF(OR($B224="",$C224="",$D224="",$E224="",$F224=""),"Missing required field",IF(COUNTIFS($A$9:$A224,$A224,$B$9:$B224,$B224)&gt;1,"Duplicate event ID",IF(AND($E224&lt;&gt;IFERROR(LOOKUP(2,1/($B$9:$B$223=$B224),$E$9:$E223),0),IFERROR(LOOKUP(2,1/($B$9:$B$223=$B224),$E$9:$E223),0)&gt;$E224),"Date out of order",IF(AND(OR($F224="buy_to_close",$F224="expire",$F224="roll",$F224="assignment",$F224="called_away"),$AF224=0),"Unknown lot",IF(OR(AND($F224="assignment",$AF224&gt;0,IF($AF224&gt;0,INDEX($AG$9:$AG$223,$AF224),"")&lt;&gt;"put"),AND($F224="called_away",$AF224&gt;0,IF($AF224&gt;0,INDEX($AG$9:$AG$223,$AF224),"")&lt;&gt;"call")),"Wrong option leg",IF(OR(AND(OR($F224="sell_put",$F224="sell_call"),OR($H224&lt;=0,$I224&lt;=0,$J224&lt;0)),AND(OR($F224="buy_to_close",$F224="expire",$F224="assignment",$F224="called_away"),OR($H224&lt;=0,$J224&lt;0)),AND($F224="roll",OR($H224&lt;=0,$I224&lt;=0,$J224&lt;0,$K224&lt;0)),AND(OR($F224="buy_shares",$F224="sell_shares"),OR($L224&lt;=0,$M224&lt;0)),AND(OR($F224="dividend",$F224="fee"),$N224&lt;0)),"Invalid value",IF(AND(OR($F224="sell_shares",$F224="called_away"),$AL224&lt;IF($F224="called_away",$AE224*$D224,$L224)),"Insufficient shares (capped)",IF(AND(OR($F224="buy_to_close",$F224="expire",$F224="roll",$F224="assignment",$F224="called_away"),$AF224&gt;0,$H224&gt;IF($AF224&gt;0,MAX(0,INDEX($AI$9:$AI$223,$AF224)-SUMIFS($AE$9:$AE$223,$G$9:$G$223,$G224,$B$9:$B$223,$B224)),0)),"Close quantity capped","OK")))))))))</f>
        <v/>
      </c>
      <c r="W224" s="59" t="str">
        <f t="shared" si="54"/>
        <v/>
      </c>
      <c r="X224" s="60" t="str">
        <f t="shared" si="55"/>
        <v/>
      </c>
      <c r="Y224" s="50" t="str">
        <f t="shared" si="56"/>
        <v/>
      </c>
      <c r="Z224" s="50" t="str">
        <f t="shared" si="57"/>
        <v/>
      </c>
      <c r="AA224" s="50" t="str">
        <f t="shared" si="58"/>
        <v/>
      </c>
      <c r="AB224" s="50" t="str">
        <f t="shared" si="59"/>
        <v/>
      </c>
      <c r="AC224" s="50" t="str">
        <f>IF($A224="","",IF($F224="assignment",IF($AF224&gt;0,INDEX($AH$9:$AH$223,$AF224),0)*$AE224*$D224,IF($F224="buy_shares",$M224*$AL224,0)))</f>
        <v/>
      </c>
      <c r="AD224" s="50" t="str">
        <f>IF($A224="","",IF($F224="called_away",IF($AF224&gt;0,INDEX($AH$9:$AH$223,$AF224),0)*$AL224,IF($F224="sell_shares",$M224*$AL224,0)))</f>
        <v/>
      </c>
      <c r="AE224" s="51" t="str">
        <f>IF($A224="","",IF(OR($F224="sell_put",$F224="sell_call"),IF(AND($H224&gt;0,$I224&gt;0,$J224&gt;=0),$H224,0),IF(OR($F224="buy_to_close",$F224="expire",$F224="roll",$F224="assignment",$F224="called_away"),IF(AND($AF224&gt;0,$H224&gt;0,IF($F224="assignment",IF($AF224&gt;0,INDEX($AG$9:$AG$223,$AF224),"")="put",TRUE),IF($F224="called_away",IF($AF224&gt;0,INDEX($AG$9:$AG$223,$AF224),"")="call",TRUE)),MIN($H224,IF($AF224&gt;0,MAX(0,INDEX($AI$9:$AI$223,$AF224)-SUMIFS($AE$9:$AE$223,$G$9:$G$223,$G224,$B$9:$B$223,$B224)),0)),0),0)))</f>
        <v/>
      </c>
      <c r="AF224" t="str">
        <f>IF($A224="","",IFERROR(MATCH(LEN($B224)&amp;":"&amp;$B224&amp;$G224,$AY$9:$AY$223,0),0))</f>
        <v/>
      </c>
      <c r="AG224" t="str">
        <f>IF($A224="","",IF($F224="sell_put","put",IF($F224="sell_call","call",IF($F224="roll",IF($AF224&gt;0,IF($AF224&gt;0,INDEX($AG$9:$AG$223,$AF224),""),""),IF($AF224&gt;0,IF($AF224&gt;0,INDEX($AG$9:$AG$223,$AF224),""),"")))))</f>
        <v/>
      </c>
      <c r="AH224" t="str">
        <f>IF($A224="","",IF(OR($F224="sell_put",$F224="sell_call",$F224="roll"),$I224,IF($AF224&gt;0,IF($AF224&gt;0,INDEX($AH$9:$AH$223,$AF224),0),0)))</f>
        <v/>
      </c>
      <c r="AI224" s="51" t="str">
        <f t="shared" si="60"/>
        <v/>
      </c>
      <c r="AJ224" s="51" t="str">
        <f>IF($A224="","",IFERROR(LOOKUP(2,1/($B$9:$B$223=$B224),$AM$9:$AM223),0))</f>
        <v/>
      </c>
      <c r="AK224" t="str">
        <f>IF($A224="","",IFERROR(LOOKUP(2,1/($B$9:$B$223=$B224),$AN$9:$AN223),0))</f>
        <v/>
      </c>
      <c r="AL224" s="51" t="str">
        <f t="shared" si="61"/>
        <v/>
      </c>
      <c r="AM224" s="51" t="str">
        <f t="shared" si="62"/>
        <v/>
      </c>
      <c r="AN224" t="str">
        <f t="shared" si="63"/>
        <v/>
      </c>
      <c r="AO224" s="50" t="str">
        <f>IF($A224="","",IFERROR(LOOKUP(2,1/($B$9:$B$223=$B224),$AO$9:$AO223),0)+IF($F224="sell_put",$I224*$AE224*$D224,IF($F224="roll",IF($AG224="put",($I224-IF($AF224&gt;0,INDEX($AH$9:$AH$223,$AF224),0))*$AE224*$D224,0),IF(AND(OR($F224="buy_to_close",$F224="expire",$F224="roll",$F224="assignment",$F224="called_away"),$F224&lt;&gt;"roll",$AG224="put"),-IF($AF224&gt;0,INDEX($AH$9:$AH$223,$AF224),0)*$AE224*$D224,0))))</f>
        <v/>
      </c>
      <c r="AP224" s="51" t="str">
        <f>IF($A224="","",IFERROR(LOOKUP(2,1/($B$9:$B$223=$B224),$AP$9:$AP223),0)+IF($F224="sell_put",$AE224*$D224,IF(AND(OR($F224="buy_to_close",$F224="expire",$F224="roll",$F224="assignment",$F224="called_away"),$F224&lt;&gt;"roll",$AG224="put"),-$AE224*$D224,0)))</f>
        <v/>
      </c>
      <c r="AQ224" s="51" t="str">
        <f>IF($A224="","",IFERROR(LOOKUP(2,1/($B$9:$B$223=$B224),$AQ$9:$AQ223),0)+IF(OR($F224="sell_put",$F224="sell_call"),$AE224,0)-IF(AND(OR($F224="buy_to_close",$F224="expire",$F224="roll",$F224="assignment",$F224="called_away"),$F224&lt;&gt;"roll"),$AE224,0))</f>
        <v/>
      </c>
      <c r="AR224" t="str">
        <f t="shared" si="64"/>
        <v/>
      </c>
      <c r="AS224" s="50" t="str">
        <f t="shared" si="65"/>
        <v/>
      </c>
      <c r="AT224" s="50" t="str">
        <f>IF($A224="","",MAX(IF($T224=IFERROR(LOOKUP(2,1/($B$9:$B$223=$B224),$T$9:$T223),0),IFERROR(LOOKUP(2,1/($B$9:$B$223=$B224),$AT$9:$AT223),0),0),$AS224))</f>
        <v/>
      </c>
      <c r="AU224" t="str">
        <f t="shared" si="66"/>
        <v/>
      </c>
      <c r="AV224" s="51">
        <f>IF($AU224="",0,IF(AND(IFERROR(LOOKUP(2,1/($B$9:$B$223=$B224),$AR$9:$AR223),1),NOT(AND(OR($F224="dividend",$F224="fee"),IFERROR(LOOKUP(2,1/($B$9:$B$223=$B224),$T$9:$T223),0)&gt;0))),ROW(),0))</f>
        <v>0</v>
      </c>
      <c r="AW224">
        <f>IF($A224="",0,IF($AV224&gt;0,MAX($AW$9:$AW$223)+1,MAX($AW$9:$AW$223)))</f>
        <v>0</v>
      </c>
      <c r="AX224">
        <f>IF($AU224="",0,IF(AND($AR224,OR(NOT(IFERROR(LOOKUP(2,1/($B$9:$B$223=$B224),$AR$9:$AR223),1)),IFERROR(LOOKUP(2,1/($B$9:$B$223=$B224),$T$9:$T223),0)=0)),ROW(),0))</f>
        <v>0</v>
      </c>
      <c r="AY224" t="str">
        <f t="shared" si="67"/>
        <v/>
      </c>
    </row>
    <row r="225" spans="1:51" ht="15" x14ac:dyDescent="0.25">
      <c r="A225" s="41" t="str">
        <f>IF(Trades!$A225="","",Trades!O225)</f>
        <v/>
      </c>
      <c r="B225" s="41" t="str">
        <f>IF(Trades!$A225="","",Trades!B225)</f>
        <v/>
      </c>
      <c r="C225" s="41" t="str">
        <f>IF(Trades!$A225="","",Trades!C225)</f>
        <v/>
      </c>
      <c r="D225" s="42" t="str">
        <f>IF(Trades!$A225="","",IF(Trades!$L225&gt;0,Trades!$L225,Trades!$C$6))</f>
        <v/>
      </c>
      <c r="E225" s="43" t="str">
        <f>IF(Trades!$A225="","",Trades!A225)</f>
        <v/>
      </c>
      <c r="F225" s="41" t="str">
        <f>IF(Trades!$A225="","",IFERROR(INDEX(Trades!$V$2:$V$14,MATCH(Trades!$E225,Trades!$U$2:$U$14,0)),""))</f>
        <v/>
      </c>
      <c r="G225" s="41" t="str">
        <f>IF(Trades!$A225="","",Trades!N225)</f>
        <v/>
      </c>
      <c r="H225" s="42" t="str">
        <f>IF(Trades!$A225="","",Trades!F225)</f>
        <v/>
      </c>
      <c r="I225" s="44" t="str">
        <f>IF(Trades!$A225="","",Trades!G225)</f>
        <v/>
      </c>
      <c r="J225" s="44" t="str">
        <f>IF(Trades!$A225="","",Trades!I225)</f>
        <v/>
      </c>
      <c r="K225" s="44" t="str">
        <f>IF(Trades!$A225="","",Trades!Q225)</f>
        <v/>
      </c>
      <c r="L225" s="42" t="str">
        <f>IF(Trades!$A225="","",Trades!F225)</f>
        <v/>
      </c>
      <c r="M225" s="44" t="str">
        <f>IF(Trades!$A225="","",Trades!M225)</f>
        <v/>
      </c>
      <c r="N225" s="44" t="str">
        <f>IF(Trades!$A225="","",Trades!R225)</f>
        <v/>
      </c>
      <c r="O225" s="44" t="str">
        <f>IF(Trades!$A225="","",Trades!J225)</f>
        <v/>
      </c>
      <c r="P225" s="43" t="str">
        <f>IF(Trades!$A225="","",Trades!H225)</f>
        <v/>
      </c>
      <c r="Q225" s="41" t="str">
        <f>IF(Trades!$A225="","",Trades!P225)</f>
        <v/>
      </c>
      <c r="R225" s="45" t="str">
        <f t="shared" si="51"/>
        <v/>
      </c>
      <c r="S225" s="45" t="str">
        <f t="shared" si="52"/>
        <v/>
      </c>
      <c r="T225" s="46" t="str">
        <f>IF(OR($A225="",$B225=""),"",IF(AND(IFERROR(LOOKUP(2,1/($B$9:$B$224=$B225),$AR$9:$AR224),1),NOT(AND(OR($F225="dividend",$F225="fee"),IFERROR(LOOKUP(2,1/($B$9:$B$224=$B225),$T$9:$T224),0)&gt;0))),IFERROR(LOOKUP(2,1/($B$9:$B$224=$B225),$T$9:$T224),0)+1,IFERROR(LOOKUP(2,1/($B$9:$B$224=$B225),$T$9:$T224),0)))</f>
        <v/>
      </c>
      <c r="U225" s="47" t="str">
        <f t="shared" si="53"/>
        <v/>
      </c>
      <c r="V225" s="47" t="str">
        <f>IF($A225="","",IF(OR($B225="",$C225="",$D225="",$E225="",$F225=""),"Missing required field",IF(COUNTIFS($A$9:$A225,$A225,$B$9:$B225,$B225)&gt;1,"Duplicate event ID",IF(AND($E225&lt;&gt;IFERROR(LOOKUP(2,1/($B$9:$B$224=$B225),$E$9:$E224),0),IFERROR(LOOKUP(2,1/($B$9:$B$224=$B225),$E$9:$E224),0)&gt;$E225),"Date out of order",IF(AND(OR($F225="buy_to_close",$F225="expire",$F225="roll",$F225="assignment",$F225="called_away"),$AF225=0),"Unknown lot",IF(OR(AND($F225="assignment",$AF225&gt;0,IF($AF225&gt;0,INDEX($AG$9:$AG$224,$AF225),"")&lt;&gt;"put"),AND($F225="called_away",$AF225&gt;0,IF($AF225&gt;0,INDEX($AG$9:$AG$224,$AF225),"")&lt;&gt;"call")),"Wrong option leg",IF(OR(AND(OR($F225="sell_put",$F225="sell_call"),OR($H225&lt;=0,$I225&lt;=0,$J225&lt;0)),AND(OR($F225="buy_to_close",$F225="expire",$F225="assignment",$F225="called_away"),OR($H225&lt;=0,$J225&lt;0)),AND($F225="roll",OR($H225&lt;=0,$I225&lt;=0,$J225&lt;0,$K225&lt;0)),AND(OR($F225="buy_shares",$F225="sell_shares"),OR($L225&lt;=0,$M225&lt;0)),AND(OR($F225="dividend",$F225="fee"),$N225&lt;0)),"Invalid value",IF(AND(OR($F225="sell_shares",$F225="called_away"),$AL225&lt;IF($F225="called_away",$AE225*$D225,$L225)),"Insufficient shares (capped)",IF(AND(OR($F225="buy_to_close",$F225="expire",$F225="roll",$F225="assignment",$F225="called_away"),$AF225&gt;0,$H225&gt;IF($AF225&gt;0,MAX(0,INDEX($AI$9:$AI$224,$AF225)-SUMIFS($AE$9:$AE$224,$G$9:$G$224,$G225,$B$9:$B$224,$B225)),0)),"Close quantity capped","OK")))))))))</f>
        <v/>
      </c>
      <c r="W225" s="48" t="str">
        <f t="shared" si="54"/>
        <v/>
      </c>
      <c r="X225" s="49" t="str">
        <f t="shared" si="55"/>
        <v/>
      </c>
      <c r="Y225" s="50" t="str">
        <f t="shared" si="56"/>
        <v/>
      </c>
      <c r="Z225" s="50" t="str">
        <f t="shared" si="57"/>
        <v/>
      </c>
      <c r="AA225" s="50" t="str">
        <f t="shared" si="58"/>
        <v/>
      </c>
      <c r="AB225" s="50" t="str">
        <f t="shared" si="59"/>
        <v/>
      </c>
      <c r="AC225" s="50" t="str">
        <f>IF($A225="","",IF($F225="assignment",IF($AF225&gt;0,INDEX($AH$9:$AH$224,$AF225),0)*$AE225*$D225,IF($F225="buy_shares",$M225*$AL225,0)))</f>
        <v/>
      </c>
      <c r="AD225" s="50" t="str">
        <f>IF($A225="","",IF($F225="called_away",IF($AF225&gt;0,INDEX($AH$9:$AH$224,$AF225),0)*$AL225,IF($F225="sell_shares",$M225*$AL225,0)))</f>
        <v/>
      </c>
      <c r="AE225" s="51" t="str">
        <f>IF($A225="","",IF(OR($F225="sell_put",$F225="sell_call"),IF(AND($H225&gt;0,$I225&gt;0,$J225&gt;=0),$H225,0),IF(OR($F225="buy_to_close",$F225="expire",$F225="roll",$F225="assignment",$F225="called_away"),IF(AND($AF225&gt;0,$H225&gt;0,IF($F225="assignment",IF($AF225&gt;0,INDEX($AG$9:$AG$224,$AF225),"")="put",TRUE),IF($F225="called_away",IF($AF225&gt;0,INDEX($AG$9:$AG$224,$AF225),"")="call",TRUE)),MIN($H225,IF($AF225&gt;0,MAX(0,INDEX($AI$9:$AI$224,$AF225)-SUMIFS($AE$9:$AE$224,$G$9:$G$224,$G225,$B$9:$B$224,$B225)),0)),0),0)))</f>
        <v/>
      </c>
      <c r="AF225" t="str">
        <f>IF($A225="","",IFERROR(MATCH(LEN($B225)&amp;":"&amp;$B225&amp;$G225,$AY$9:$AY$224,0),0))</f>
        <v/>
      </c>
      <c r="AG225" t="str">
        <f>IF($A225="","",IF($F225="sell_put","put",IF($F225="sell_call","call",IF($F225="roll",IF($AF225&gt;0,IF($AF225&gt;0,INDEX($AG$9:$AG$224,$AF225),""),""),IF($AF225&gt;0,IF($AF225&gt;0,INDEX($AG$9:$AG$224,$AF225),""),"")))))</f>
        <v/>
      </c>
      <c r="AH225" t="str">
        <f>IF($A225="","",IF(OR($F225="sell_put",$F225="sell_call",$F225="roll"),$I225,IF($AF225&gt;0,IF($AF225&gt;0,INDEX($AH$9:$AH$224,$AF225),0),0)))</f>
        <v/>
      </c>
      <c r="AI225" s="51" t="str">
        <f t="shared" si="60"/>
        <v/>
      </c>
      <c r="AJ225" s="51" t="str">
        <f>IF($A225="","",IFERROR(LOOKUP(2,1/($B$9:$B$224=$B225),$AM$9:$AM224),0))</f>
        <v/>
      </c>
      <c r="AK225" t="str">
        <f>IF($A225="","",IFERROR(LOOKUP(2,1/($B$9:$B$224=$B225),$AN$9:$AN224),0))</f>
        <v/>
      </c>
      <c r="AL225" s="51" t="str">
        <f t="shared" si="61"/>
        <v/>
      </c>
      <c r="AM225" s="51" t="str">
        <f t="shared" si="62"/>
        <v/>
      </c>
      <c r="AN225" t="str">
        <f t="shared" si="63"/>
        <v/>
      </c>
      <c r="AO225" s="50" t="str">
        <f>IF($A225="","",IFERROR(LOOKUP(2,1/($B$9:$B$224=$B225),$AO$9:$AO224),0)+IF($F225="sell_put",$I225*$AE225*$D225,IF($F225="roll",IF($AG225="put",($I225-IF($AF225&gt;0,INDEX($AH$9:$AH$224,$AF225),0))*$AE225*$D225,0),IF(AND(OR($F225="buy_to_close",$F225="expire",$F225="roll",$F225="assignment",$F225="called_away"),$F225&lt;&gt;"roll",$AG225="put"),-IF($AF225&gt;0,INDEX($AH$9:$AH$224,$AF225),0)*$AE225*$D225,0))))</f>
        <v/>
      </c>
      <c r="AP225" s="51" t="str">
        <f>IF($A225="","",IFERROR(LOOKUP(2,1/($B$9:$B$224=$B225),$AP$9:$AP224),0)+IF($F225="sell_put",$AE225*$D225,IF(AND(OR($F225="buy_to_close",$F225="expire",$F225="roll",$F225="assignment",$F225="called_away"),$F225&lt;&gt;"roll",$AG225="put"),-$AE225*$D225,0)))</f>
        <v/>
      </c>
      <c r="AQ225" s="51" t="str">
        <f>IF($A225="","",IFERROR(LOOKUP(2,1/($B$9:$B$224=$B225),$AQ$9:$AQ224),0)+IF(OR($F225="sell_put",$F225="sell_call"),$AE225,0)-IF(AND(OR($F225="buy_to_close",$F225="expire",$F225="roll",$F225="assignment",$F225="called_away"),$F225&lt;&gt;"roll"),$AE225,0))</f>
        <v/>
      </c>
      <c r="AR225" t="str">
        <f t="shared" si="64"/>
        <v/>
      </c>
      <c r="AS225" s="50" t="str">
        <f t="shared" si="65"/>
        <v/>
      </c>
      <c r="AT225" s="50" t="str">
        <f>IF($A225="","",MAX(IF($T225=IFERROR(LOOKUP(2,1/($B$9:$B$224=$B225),$T$9:$T224),0),IFERROR(LOOKUP(2,1/($B$9:$B$224=$B225),$AT$9:$AT224),0),0),$AS225))</f>
        <v/>
      </c>
      <c r="AU225" t="str">
        <f t="shared" si="66"/>
        <v/>
      </c>
      <c r="AV225" s="51">
        <f>IF($AU225="",0,IF(AND(IFERROR(LOOKUP(2,1/($B$9:$B$224=$B225),$AR$9:$AR224),1),NOT(AND(OR($F225="dividend",$F225="fee"),IFERROR(LOOKUP(2,1/($B$9:$B$224=$B225),$T$9:$T224),0)&gt;0))),ROW(),0))</f>
        <v>0</v>
      </c>
      <c r="AW225">
        <f>IF($A225="",0,IF($AV225&gt;0,MAX($AW$9:$AW$224)+1,MAX($AW$9:$AW$224)))</f>
        <v>0</v>
      </c>
      <c r="AX225">
        <f>IF($AU225="",0,IF(AND($AR225,OR(NOT(IFERROR(LOOKUP(2,1/($B$9:$B$224=$B225),$AR$9:$AR224),1)),IFERROR(LOOKUP(2,1/($B$9:$B$224=$B225),$T$9:$T224),0)=0)),ROW(),0))</f>
        <v>0</v>
      </c>
      <c r="AY225" t="str">
        <f t="shared" si="67"/>
        <v/>
      </c>
    </row>
    <row r="226" spans="1:51" ht="15" x14ac:dyDescent="0.25">
      <c r="A226" s="52" t="str">
        <f>IF(Trades!$A226="","",Trades!O226)</f>
        <v/>
      </c>
      <c r="B226" s="52" t="str">
        <f>IF(Trades!$A226="","",Trades!B226)</f>
        <v/>
      </c>
      <c r="C226" s="52" t="str">
        <f>IF(Trades!$A226="","",Trades!C226)</f>
        <v/>
      </c>
      <c r="D226" s="53" t="str">
        <f>IF(Trades!$A226="","",IF(Trades!$L226&gt;0,Trades!$L226,Trades!$C$6))</f>
        <v/>
      </c>
      <c r="E226" s="54" t="str">
        <f>IF(Trades!$A226="","",Trades!A226)</f>
        <v/>
      </c>
      <c r="F226" s="52" t="str">
        <f>IF(Trades!$A226="","",IFERROR(INDEX(Trades!$V$2:$V$14,MATCH(Trades!$E226,Trades!$U$2:$U$14,0)),""))</f>
        <v/>
      </c>
      <c r="G226" s="52" t="str">
        <f>IF(Trades!$A226="","",Trades!N226)</f>
        <v/>
      </c>
      <c r="H226" s="53" t="str">
        <f>IF(Trades!$A226="","",Trades!F226)</f>
        <v/>
      </c>
      <c r="I226" s="55" t="str">
        <f>IF(Trades!$A226="","",Trades!G226)</f>
        <v/>
      </c>
      <c r="J226" s="55" t="str">
        <f>IF(Trades!$A226="","",Trades!I226)</f>
        <v/>
      </c>
      <c r="K226" s="55" t="str">
        <f>IF(Trades!$A226="","",Trades!Q226)</f>
        <v/>
      </c>
      <c r="L226" s="53" t="str">
        <f>IF(Trades!$A226="","",Trades!F226)</f>
        <v/>
      </c>
      <c r="M226" s="55" t="str">
        <f>IF(Trades!$A226="","",Trades!M226)</f>
        <v/>
      </c>
      <c r="N226" s="55" t="str">
        <f>IF(Trades!$A226="","",Trades!R226)</f>
        <v/>
      </c>
      <c r="O226" s="55" t="str">
        <f>IF(Trades!$A226="","",Trades!J226)</f>
        <v/>
      </c>
      <c r="P226" s="54" t="str">
        <f>IF(Trades!$A226="","",Trades!H226)</f>
        <v/>
      </c>
      <c r="Q226" s="52" t="str">
        <f>IF(Trades!$A226="","",Trades!P226)</f>
        <v/>
      </c>
      <c r="R226" s="56" t="str">
        <f t="shared" si="51"/>
        <v/>
      </c>
      <c r="S226" s="56" t="str">
        <f t="shared" si="52"/>
        <v/>
      </c>
      <c r="T226" s="57" t="str">
        <f>IF(OR($A226="",$B226=""),"",IF(AND(IFERROR(LOOKUP(2,1/($B$9:$B$225=$B226),$AR$9:$AR225),1),NOT(AND(OR($F226="dividend",$F226="fee"),IFERROR(LOOKUP(2,1/($B$9:$B$225=$B226),$T$9:$T225),0)&gt;0))),IFERROR(LOOKUP(2,1/($B$9:$B$225=$B226),$T$9:$T225),0)+1,IFERROR(LOOKUP(2,1/($B$9:$B$225=$B226),$T$9:$T225),0)))</f>
        <v/>
      </c>
      <c r="U226" s="58" t="str">
        <f t="shared" si="53"/>
        <v/>
      </c>
      <c r="V226" s="58" t="str">
        <f>IF($A226="","",IF(OR($B226="",$C226="",$D226="",$E226="",$F226=""),"Missing required field",IF(COUNTIFS($A$9:$A226,$A226,$B$9:$B226,$B226)&gt;1,"Duplicate event ID",IF(AND($E226&lt;&gt;IFERROR(LOOKUP(2,1/($B$9:$B$225=$B226),$E$9:$E225),0),IFERROR(LOOKUP(2,1/($B$9:$B$225=$B226),$E$9:$E225),0)&gt;$E226),"Date out of order",IF(AND(OR($F226="buy_to_close",$F226="expire",$F226="roll",$F226="assignment",$F226="called_away"),$AF226=0),"Unknown lot",IF(OR(AND($F226="assignment",$AF226&gt;0,IF($AF226&gt;0,INDEX($AG$9:$AG$225,$AF226),"")&lt;&gt;"put"),AND($F226="called_away",$AF226&gt;0,IF($AF226&gt;0,INDEX($AG$9:$AG$225,$AF226),"")&lt;&gt;"call")),"Wrong option leg",IF(OR(AND(OR($F226="sell_put",$F226="sell_call"),OR($H226&lt;=0,$I226&lt;=0,$J226&lt;0)),AND(OR($F226="buy_to_close",$F226="expire",$F226="assignment",$F226="called_away"),OR($H226&lt;=0,$J226&lt;0)),AND($F226="roll",OR($H226&lt;=0,$I226&lt;=0,$J226&lt;0,$K226&lt;0)),AND(OR($F226="buy_shares",$F226="sell_shares"),OR($L226&lt;=0,$M226&lt;0)),AND(OR($F226="dividend",$F226="fee"),$N226&lt;0)),"Invalid value",IF(AND(OR($F226="sell_shares",$F226="called_away"),$AL226&lt;IF($F226="called_away",$AE226*$D226,$L226)),"Insufficient shares (capped)",IF(AND(OR($F226="buy_to_close",$F226="expire",$F226="roll",$F226="assignment",$F226="called_away"),$AF226&gt;0,$H226&gt;IF($AF226&gt;0,MAX(0,INDEX($AI$9:$AI$225,$AF226)-SUMIFS($AE$9:$AE$225,$G$9:$G$225,$G226,$B$9:$B$225,$B226)),0)),"Close quantity capped","OK")))))))))</f>
        <v/>
      </c>
      <c r="W226" s="59" t="str">
        <f t="shared" si="54"/>
        <v/>
      </c>
      <c r="X226" s="60" t="str">
        <f t="shared" si="55"/>
        <v/>
      </c>
      <c r="Y226" s="50" t="str">
        <f t="shared" si="56"/>
        <v/>
      </c>
      <c r="Z226" s="50" t="str">
        <f t="shared" si="57"/>
        <v/>
      </c>
      <c r="AA226" s="50" t="str">
        <f t="shared" si="58"/>
        <v/>
      </c>
      <c r="AB226" s="50" t="str">
        <f t="shared" si="59"/>
        <v/>
      </c>
      <c r="AC226" s="50" t="str">
        <f>IF($A226="","",IF($F226="assignment",IF($AF226&gt;0,INDEX($AH$9:$AH$225,$AF226),0)*$AE226*$D226,IF($F226="buy_shares",$M226*$AL226,0)))</f>
        <v/>
      </c>
      <c r="AD226" s="50" t="str">
        <f>IF($A226="","",IF($F226="called_away",IF($AF226&gt;0,INDEX($AH$9:$AH$225,$AF226),0)*$AL226,IF($F226="sell_shares",$M226*$AL226,0)))</f>
        <v/>
      </c>
      <c r="AE226" s="51" t="str">
        <f>IF($A226="","",IF(OR($F226="sell_put",$F226="sell_call"),IF(AND($H226&gt;0,$I226&gt;0,$J226&gt;=0),$H226,0),IF(OR($F226="buy_to_close",$F226="expire",$F226="roll",$F226="assignment",$F226="called_away"),IF(AND($AF226&gt;0,$H226&gt;0,IF($F226="assignment",IF($AF226&gt;0,INDEX($AG$9:$AG$225,$AF226),"")="put",TRUE),IF($F226="called_away",IF($AF226&gt;0,INDEX($AG$9:$AG$225,$AF226),"")="call",TRUE)),MIN($H226,IF($AF226&gt;0,MAX(0,INDEX($AI$9:$AI$225,$AF226)-SUMIFS($AE$9:$AE$225,$G$9:$G$225,$G226,$B$9:$B$225,$B226)),0)),0),0)))</f>
        <v/>
      </c>
      <c r="AF226" t="str">
        <f>IF($A226="","",IFERROR(MATCH(LEN($B226)&amp;":"&amp;$B226&amp;$G226,$AY$9:$AY$225,0),0))</f>
        <v/>
      </c>
      <c r="AG226" t="str">
        <f>IF($A226="","",IF($F226="sell_put","put",IF($F226="sell_call","call",IF($F226="roll",IF($AF226&gt;0,IF($AF226&gt;0,INDEX($AG$9:$AG$225,$AF226),""),""),IF($AF226&gt;0,IF($AF226&gt;0,INDEX($AG$9:$AG$225,$AF226),""),"")))))</f>
        <v/>
      </c>
      <c r="AH226" t="str">
        <f>IF($A226="","",IF(OR($F226="sell_put",$F226="sell_call",$F226="roll"),$I226,IF($AF226&gt;0,IF($AF226&gt;0,INDEX($AH$9:$AH$225,$AF226),0),0)))</f>
        <v/>
      </c>
      <c r="AI226" s="51" t="str">
        <f t="shared" si="60"/>
        <v/>
      </c>
      <c r="AJ226" s="51" t="str">
        <f>IF($A226="","",IFERROR(LOOKUP(2,1/($B$9:$B$225=$B226),$AM$9:$AM225),0))</f>
        <v/>
      </c>
      <c r="AK226" t="str">
        <f>IF($A226="","",IFERROR(LOOKUP(2,1/($B$9:$B$225=$B226),$AN$9:$AN225),0))</f>
        <v/>
      </c>
      <c r="AL226" s="51" t="str">
        <f t="shared" si="61"/>
        <v/>
      </c>
      <c r="AM226" s="51" t="str">
        <f t="shared" si="62"/>
        <v/>
      </c>
      <c r="AN226" t="str">
        <f t="shared" si="63"/>
        <v/>
      </c>
      <c r="AO226" s="50" t="str">
        <f>IF($A226="","",IFERROR(LOOKUP(2,1/($B$9:$B$225=$B226),$AO$9:$AO225),0)+IF($F226="sell_put",$I226*$AE226*$D226,IF($F226="roll",IF($AG226="put",($I226-IF($AF226&gt;0,INDEX($AH$9:$AH$225,$AF226),0))*$AE226*$D226,0),IF(AND(OR($F226="buy_to_close",$F226="expire",$F226="roll",$F226="assignment",$F226="called_away"),$F226&lt;&gt;"roll",$AG226="put"),-IF($AF226&gt;0,INDEX($AH$9:$AH$225,$AF226),0)*$AE226*$D226,0))))</f>
        <v/>
      </c>
      <c r="AP226" s="51" t="str">
        <f>IF($A226="","",IFERROR(LOOKUP(2,1/($B$9:$B$225=$B226),$AP$9:$AP225),0)+IF($F226="sell_put",$AE226*$D226,IF(AND(OR($F226="buy_to_close",$F226="expire",$F226="roll",$F226="assignment",$F226="called_away"),$F226&lt;&gt;"roll",$AG226="put"),-$AE226*$D226,0)))</f>
        <v/>
      </c>
      <c r="AQ226" s="51" t="str">
        <f>IF($A226="","",IFERROR(LOOKUP(2,1/($B$9:$B$225=$B226),$AQ$9:$AQ225),0)+IF(OR($F226="sell_put",$F226="sell_call"),$AE226,0)-IF(AND(OR($F226="buy_to_close",$F226="expire",$F226="roll",$F226="assignment",$F226="called_away"),$F226&lt;&gt;"roll"),$AE226,0))</f>
        <v/>
      </c>
      <c r="AR226" t="str">
        <f t="shared" si="64"/>
        <v/>
      </c>
      <c r="AS226" s="50" t="str">
        <f t="shared" si="65"/>
        <v/>
      </c>
      <c r="AT226" s="50" t="str">
        <f>IF($A226="","",MAX(IF($T226=IFERROR(LOOKUP(2,1/($B$9:$B$225=$B226),$T$9:$T225),0),IFERROR(LOOKUP(2,1/($B$9:$B$225=$B226),$AT$9:$AT225),0),0),$AS226))</f>
        <v/>
      </c>
      <c r="AU226" t="str">
        <f t="shared" si="66"/>
        <v/>
      </c>
      <c r="AV226" s="51">
        <f>IF($AU226="",0,IF(AND(IFERROR(LOOKUP(2,1/($B$9:$B$225=$B226),$AR$9:$AR225),1),NOT(AND(OR($F226="dividend",$F226="fee"),IFERROR(LOOKUP(2,1/($B$9:$B$225=$B226),$T$9:$T225),0)&gt;0))),ROW(),0))</f>
        <v>0</v>
      </c>
      <c r="AW226">
        <f>IF($A226="",0,IF($AV226&gt;0,MAX($AW$9:$AW$225)+1,MAX($AW$9:$AW$225)))</f>
        <v>0</v>
      </c>
      <c r="AX226">
        <f>IF($AU226="",0,IF(AND($AR226,OR(NOT(IFERROR(LOOKUP(2,1/($B$9:$B$225=$B226),$AR$9:$AR225),1)),IFERROR(LOOKUP(2,1/($B$9:$B$225=$B226),$T$9:$T225),0)=0)),ROW(),0))</f>
        <v>0</v>
      </c>
      <c r="AY226" t="str">
        <f t="shared" si="67"/>
        <v/>
      </c>
    </row>
    <row r="227" spans="1:51" ht="15" x14ac:dyDescent="0.25">
      <c r="A227" s="41" t="str">
        <f>IF(Trades!$A227="","",Trades!O227)</f>
        <v/>
      </c>
      <c r="B227" s="41" t="str">
        <f>IF(Trades!$A227="","",Trades!B227)</f>
        <v/>
      </c>
      <c r="C227" s="41" t="str">
        <f>IF(Trades!$A227="","",Trades!C227)</f>
        <v/>
      </c>
      <c r="D227" s="42" t="str">
        <f>IF(Trades!$A227="","",IF(Trades!$L227&gt;0,Trades!$L227,Trades!$C$6))</f>
        <v/>
      </c>
      <c r="E227" s="43" t="str">
        <f>IF(Trades!$A227="","",Trades!A227)</f>
        <v/>
      </c>
      <c r="F227" s="41" t="str">
        <f>IF(Trades!$A227="","",IFERROR(INDEX(Trades!$V$2:$V$14,MATCH(Trades!$E227,Trades!$U$2:$U$14,0)),""))</f>
        <v/>
      </c>
      <c r="G227" s="41" t="str">
        <f>IF(Trades!$A227="","",Trades!N227)</f>
        <v/>
      </c>
      <c r="H227" s="42" t="str">
        <f>IF(Trades!$A227="","",Trades!F227)</f>
        <v/>
      </c>
      <c r="I227" s="44" t="str">
        <f>IF(Trades!$A227="","",Trades!G227)</f>
        <v/>
      </c>
      <c r="J227" s="44" t="str">
        <f>IF(Trades!$A227="","",Trades!I227)</f>
        <v/>
      </c>
      <c r="K227" s="44" t="str">
        <f>IF(Trades!$A227="","",Trades!Q227)</f>
        <v/>
      </c>
      <c r="L227" s="42" t="str">
        <f>IF(Trades!$A227="","",Trades!F227)</f>
        <v/>
      </c>
      <c r="M227" s="44" t="str">
        <f>IF(Trades!$A227="","",Trades!M227)</f>
        <v/>
      </c>
      <c r="N227" s="44" t="str">
        <f>IF(Trades!$A227="","",Trades!R227)</f>
        <v/>
      </c>
      <c r="O227" s="44" t="str">
        <f>IF(Trades!$A227="","",Trades!J227)</f>
        <v/>
      </c>
      <c r="P227" s="43" t="str">
        <f>IF(Trades!$A227="","",Trades!H227)</f>
        <v/>
      </c>
      <c r="Q227" s="41" t="str">
        <f>IF(Trades!$A227="","",Trades!P227)</f>
        <v/>
      </c>
      <c r="R227" s="45" t="str">
        <f t="shared" si="51"/>
        <v/>
      </c>
      <c r="S227" s="45" t="str">
        <f t="shared" si="52"/>
        <v/>
      </c>
      <c r="T227" s="46" t="str">
        <f>IF(OR($A227="",$B227=""),"",IF(AND(IFERROR(LOOKUP(2,1/($B$9:$B$226=$B227),$AR$9:$AR226),1),NOT(AND(OR($F227="dividend",$F227="fee"),IFERROR(LOOKUP(2,1/($B$9:$B$226=$B227),$T$9:$T226),0)&gt;0))),IFERROR(LOOKUP(2,1/($B$9:$B$226=$B227),$T$9:$T226),0)+1,IFERROR(LOOKUP(2,1/($B$9:$B$226=$B227),$T$9:$T226),0)))</f>
        <v/>
      </c>
      <c r="U227" s="47" t="str">
        <f t="shared" si="53"/>
        <v/>
      </c>
      <c r="V227" s="47" t="str">
        <f>IF($A227="","",IF(OR($B227="",$C227="",$D227="",$E227="",$F227=""),"Missing required field",IF(COUNTIFS($A$9:$A227,$A227,$B$9:$B227,$B227)&gt;1,"Duplicate event ID",IF(AND($E227&lt;&gt;IFERROR(LOOKUP(2,1/($B$9:$B$226=$B227),$E$9:$E226),0),IFERROR(LOOKUP(2,1/($B$9:$B$226=$B227),$E$9:$E226),0)&gt;$E227),"Date out of order",IF(AND(OR($F227="buy_to_close",$F227="expire",$F227="roll",$F227="assignment",$F227="called_away"),$AF227=0),"Unknown lot",IF(OR(AND($F227="assignment",$AF227&gt;0,IF($AF227&gt;0,INDEX($AG$9:$AG$226,$AF227),"")&lt;&gt;"put"),AND($F227="called_away",$AF227&gt;0,IF($AF227&gt;0,INDEX($AG$9:$AG$226,$AF227),"")&lt;&gt;"call")),"Wrong option leg",IF(OR(AND(OR($F227="sell_put",$F227="sell_call"),OR($H227&lt;=0,$I227&lt;=0,$J227&lt;0)),AND(OR($F227="buy_to_close",$F227="expire",$F227="assignment",$F227="called_away"),OR($H227&lt;=0,$J227&lt;0)),AND($F227="roll",OR($H227&lt;=0,$I227&lt;=0,$J227&lt;0,$K227&lt;0)),AND(OR($F227="buy_shares",$F227="sell_shares"),OR($L227&lt;=0,$M227&lt;0)),AND(OR($F227="dividend",$F227="fee"),$N227&lt;0)),"Invalid value",IF(AND(OR($F227="sell_shares",$F227="called_away"),$AL227&lt;IF($F227="called_away",$AE227*$D227,$L227)),"Insufficient shares (capped)",IF(AND(OR($F227="buy_to_close",$F227="expire",$F227="roll",$F227="assignment",$F227="called_away"),$AF227&gt;0,$H227&gt;IF($AF227&gt;0,MAX(0,INDEX($AI$9:$AI$226,$AF227)-SUMIFS($AE$9:$AE$226,$G$9:$G$226,$G227,$B$9:$B$226,$B227)),0)),"Close quantity capped","OK")))))))))</f>
        <v/>
      </c>
      <c r="W227" s="48" t="str">
        <f t="shared" si="54"/>
        <v/>
      </c>
      <c r="X227" s="49" t="str">
        <f t="shared" si="55"/>
        <v/>
      </c>
      <c r="Y227" s="50" t="str">
        <f t="shared" si="56"/>
        <v/>
      </c>
      <c r="Z227" s="50" t="str">
        <f t="shared" si="57"/>
        <v/>
      </c>
      <c r="AA227" s="50" t="str">
        <f t="shared" si="58"/>
        <v/>
      </c>
      <c r="AB227" s="50" t="str">
        <f t="shared" si="59"/>
        <v/>
      </c>
      <c r="AC227" s="50" t="str">
        <f>IF($A227="","",IF($F227="assignment",IF($AF227&gt;0,INDEX($AH$9:$AH$226,$AF227),0)*$AE227*$D227,IF($F227="buy_shares",$M227*$AL227,0)))</f>
        <v/>
      </c>
      <c r="AD227" s="50" t="str">
        <f>IF($A227="","",IF($F227="called_away",IF($AF227&gt;0,INDEX($AH$9:$AH$226,$AF227),0)*$AL227,IF($F227="sell_shares",$M227*$AL227,0)))</f>
        <v/>
      </c>
      <c r="AE227" s="51" t="str">
        <f>IF($A227="","",IF(OR($F227="sell_put",$F227="sell_call"),IF(AND($H227&gt;0,$I227&gt;0,$J227&gt;=0),$H227,0),IF(OR($F227="buy_to_close",$F227="expire",$F227="roll",$F227="assignment",$F227="called_away"),IF(AND($AF227&gt;0,$H227&gt;0,IF($F227="assignment",IF($AF227&gt;0,INDEX($AG$9:$AG$226,$AF227),"")="put",TRUE),IF($F227="called_away",IF($AF227&gt;0,INDEX($AG$9:$AG$226,$AF227),"")="call",TRUE)),MIN($H227,IF($AF227&gt;0,MAX(0,INDEX($AI$9:$AI$226,$AF227)-SUMIFS($AE$9:$AE$226,$G$9:$G$226,$G227,$B$9:$B$226,$B227)),0)),0),0)))</f>
        <v/>
      </c>
      <c r="AF227" t="str">
        <f>IF($A227="","",IFERROR(MATCH(LEN($B227)&amp;":"&amp;$B227&amp;$G227,$AY$9:$AY$226,0),0))</f>
        <v/>
      </c>
      <c r="AG227" t="str">
        <f>IF($A227="","",IF($F227="sell_put","put",IF($F227="sell_call","call",IF($F227="roll",IF($AF227&gt;0,IF($AF227&gt;0,INDEX($AG$9:$AG$226,$AF227),""),""),IF($AF227&gt;0,IF($AF227&gt;0,INDEX($AG$9:$AG$226,$AF227),""),"")))))</f>
        <v/>
      </c>
      <c r="AH227" t="str">
        <f>IF($A227="","",IF(OR($F227="sell_put",$F227="sell_call",$F227="roll"),$I227,IF($AF227&gt;0,IF($AF227&gt;0,INDEX($AH$9:$AH$226,$AF227),0),0)))</f>
        <v/>
      </c>
      <c r="AI227" s="51" t="str">
        <f t="shared" si="60"/>
        <v/>
      </c>
      <c r="AJ227" s="51" t="str">
        <f>IF($A227="","",IFERROR(LOOKUP(2,1/($B$9:$B$226=$B227),$AM$9:$AM226),0))</f>
        <v/>
      </c>
      <c r="AK227" t="str">
        <f>IF($A227="","",IFERROR(LOOKUP(2,1/($B$9:$B$226=$B227),$AN$9:$AN226),0))</f>
        <v/>
      </c>
      <c r="AL227" s="51" t="str">
        <f t="shared" si="61"/>
        <v/>
      </c>
      <c r="AM227" s="51" t="str">
        <f t="shared" si="62"/>
        <v/>
      </c>
      <c r="AN227" t="str">
        <f t="shared" si="63"/>
        <v/>
      </c>
      <c r="AO227" s="50" t="str">
        <f>IF($A227="","",IFERROR(LOOKUP(2,1/($B$9:$B$226=$B227),$AO$9:$AO226),0)+IF($F227="sell_put",$I227*$AE227*$D227,IF($F227="roll",IF($AG227="put",($I227-IF($AF227&gt;0,INDEX($AH$9:$AH$226,$AF227),0))*$AE227*$D227,0),IF(AND(OR($F227="buy_to_close",$F227="expire",$F227="roll",$F227="assignment",$F227="called_away"),$F227&lt;&gt;"roll",$AG227="put"),-IF($AF227&gt;0,INDEX($AH$9:$AH$226,$AF227),0)*$AE227*$D227,0))))</f>
        <v/>
      </c>
      <c r="AP227" s="51" t="str">
        <f>IF($A227="","",IFERROR(LOOKUP(2,1/($B$9:$B$226=$B227),$AP$9:$AP226),0)+IF($F227="sell_put",$AE227*$D227,IF(AND(OR($F227="buy_to_close",$F227="expire",$F227="roll",$F227="assignment",$F227="called_away"),$F227&lt;&gt;"roll",$AG227="put"),-$AE227*$D227,0)))</f>
        <v/>
      </c>
      <c r="AQ227" s="51" t="str">
        <f>IF($A227="","",IFERROR(LOOKUP(2,1/($B$9:$B$226=$B227),$AQ$9:$AQ226),0)+IF(OR($F227="sell_put",$F227="sell_call"),$AE227,0)-IF(AND(OR($F227="buy_to_close",$F227="expire",$F227="roll",$F227="assignment",$F227="called_away"),$F227&lt;&gt;"roll"),$AE227,0))</f>
        <v/>
      </c>
      <c r="AR227" t="str">
        <f t="shared" si="64"/>
        <v/>
      </c>
      <c r="AS227" s="50" t="str">
        <f t="shared" si="65"/>
        <v/>
      </c>
      <c r="AT227" s="50" t="str">
        <f>IF($A227="","",MAX(IF($T227=IFERROR(LOOKUP(2,1/($B$9:$B$226=$B227),$T$9:$T226),0),IFERROR(LOOKUP(2,1/($B$9:$B$226=$B227),$AT$9:$AT226),0),0),$AS227))</f>
        <v/>
      </c>
      <c r="AU227" t="str">
        <f t="shared" si="66"/>
        <v/>
      </c>
      <c r="AV227" s="51">
        <f>IF($AU227="",0,IF(AND(IFERROR(LOOKUP(2,1/($B$9:$B$226=$B227),$AR$9:$AR226),1),NOT(AND(OR($F227="dividend",$F227="fee"),IFERROR(LOOKUP(2,1/($B$9:$B$226=$B227),$T$9:$T226),0)&gt;0))),ROW(),0))</f>
        <v>0</v>
      </c>
      <c r="AW227">
        <f>IF($A227="",0,IF($AV227&gt;0,MAX($AW$9:$AW$226)+1,MAX($AW$9:$AW$226)))</f>
        <v>0</v>
      </c>
      <c r="AX227">
        <f>IF($AU227="",0,IF(AND($AR227,OR(NOT(IFERROR(LOOKUP(2,1/($B$9:$B$226=$B227),$AR$9:$AR226),1)),IFERROR(LOOKUP(2,1/($B$9:$B$226=$B227),$T$9:$T226),0)=0)),ROW(),0))</f>
        <v>0</v>
      </c>
      <c r="AY227" t="str">
        <f t="shared" si="67"/>
        <v/>
      </c>
    </row>
    <row r="228" spans="1:51" ht="15" x14ac:dyDescent="0.25">
      <c r="A228" s="52" t="str">
        <f>IF(Trades!$A228="","",Trades!O228)</f>
        <v/>
      </c>
      <c r="B228" s="52" t="str">
        <f>IF(Trades!$A228="","",Trades!B228)</f>
        <v/>
      </c>
      <c r="C228" s="52" t="str">
        <f>IF(Trades!$A228="","",Trades!C228)</f>
        <v/>
      </c>
      <c r="D228" s="53" t="str">
        <f>IF(Trades!$A228="","",IF(Trades!$L228&gt;0,Trades!$L228,Trades!$C$6))</f>
        <v/>
      </c>
      <c r="E228" s="54" t="str">
        <f>IF(Trades!$A228="","",Trades!A228)</f>
        <v/>
      </c>
      <c r="F228" s="52" t="str">
        <f>IF(Trades!$A228="","",IFERROR(INDEX(Trades!$V$2:$V$14,MATCH(Trades!$E228,Trades!$U$2:$U$14,0)),""))</f>
        <v/>
      </c>
      <c r="G228" s="52" t="str">
        <f>IF(Trades!$A228="","",Trades!N228)</f>
        <v/>
      </c>
      <c r="H228" s="53" t="str">
        <f>IF(Trades!$A228="","",Trades!F228)</f>
        <v/>
      </c>
      <c r="I228" s="55" t="str">
        <f>IF(Trades!$A228="","",Trades!G228)</f>
        <v/>
      </c>
      <c r="J228" s="55" t="str">
        <f>IF(Trades!$A228="","",Trades!I228)</f>
        <v/>
      </c>
      <c r="K228" s="55" t="str">
        <f>IF(Trades!$A228="","",Trades!Q228)</f>
        <v/>
      </c>
      <c r="L228" s="53" t="str">
        <f>IF(Trades!$A228="","",Trades!F228)</f>
        <v/>
      </c>
      <c r="M228" s="55" t="str">
        <f>IF(Trades!$A228="","",Trades!M228)</f>
        <v/>
      </c>
      <c r="N228" s="55" t="str">
        <f>IF(Trades!$A228="","",Trades!R228)</f>
        <v/>
      </c>
      <c r="O228" s="55" t="str">
        <f>IF(Trades!$A228="","",Trades!J228)</f>
        <v/>
      </c>
      <c r="P228" s="54" t="str">
        <f>IF(Trades!$A228="","",Trades!H228)</f>
        <v/>
      </c>
      <c r="Q228" s="52" t="str">
        <f>IF(Trades!$A228="","",Trades!P228)</f>
        <v/>
      </c>
      <c r="R228" s="56" t="str">
        <f t="shared" si="51"/>
        <v/>
      </c>
      <c r="S228" s="56" t="str">
        <f t="shared" si="52"/>
        <v/>
      </c>
      <c r="T228" s="57" t="str">
        <f>IF(OR($A228="",$B228=""),"",IF(AND(IFERROR(LOOKUP(2,1/($B$9:$B$227=$B228),$AR$9:$AR227),1),NOT(AND(OR($F228="dividend",$F228="fee"),IFERROR(LOOKUP(2,1/($B$9:$B$227=$B228),$T$9:$T227),0)&gt;0))),IFERROR(LOOKUP(2,1/($B$9:$B$227=$B228),$T$9:$T227),0)+1,IFERROR(LOOKUP(2,1/($B$9:$B$227=$B228),$T$9:$T227),0)))</f>
        <v/>
      </c>
      <c r="U228" s="58" t="str">
        <f t="shared" si="53"/>
        <v/>
      </c>
      <c r="V228" s="58" t="str">
        <f>IF($A228="","",IF(OR($B228="",$C228="",$D228="",$E228="",$F228=""),"Missing required field",IF(COUNTIFS($A$9:$A228,$A228,$B$9:$B228,$B228)&gt;1,"Duplicate event ID",IF(AND($E228&lt;&gt;IFERROR(LOOKUP(2,1/($B$9:$B$227=$B228),$E$9:$E227),0),IFERROR(LOOKUP(2,1/($B$9:$B$227=$B228),$E$9:$E227),0)&gt;$E228),"Date out of order",IF(AND(OR($F228="buy_to_close",$F228="expire",$F228="roll",$F228="assignment",$F228="called_away"),$AF228=0),"Unknown lot",IF(OR(AND($F228="assignment",$AF228&gt;0,IF($AF228&gt;0,INDEX($AG$9:$AG$227,$AF228),"")&lt;&gt;"put"),AND($F228="called_away",$AF228&gt;0,IF($AF228&gt;0,INDEX($AG$9:$AG$227,$AF228),"")&lt;&gt;"call")),"Wrong option leg",IF(OR(AND(OR($F228="sell_put",$F228="sell_call"),OR($H228&lt;=0,$I228&lt;=0,$J228&lt;0)),AND(OR($F228="buy_to_close",$F228="expire",$F228="assignment",$F228="called_away"),OR($H228&lt;=0,$J228&lt;0)),AND($F228="roll",OR($H228&lt;=0,$I228&lt;=0,$J228&lt;0,$K228&lt;0)),AND(OR($F228="buy_shares",$F228="sell_shares"),OR($L228&lt;=0,$M228&lt;0)),AND(OR($F228="dividend",$F228="fee"),$N228&lt;0)),"Invalid value",IF(AND(OR($F228="sell_shares",$F228="called_away"),$AL228&lt;IF($F228="called_away",$AE228*$D228,$L228)),"Insufficient shares (capped)",IF(AND(OR($F228="buy_to_close",$F228="expire",$F228="roll",$F228="assignment",$F228="called_away"),$AF228&gt;0,$H228&gt;IF($AF228&gt;0,MAX(0,INDEX($AI$9:$AI$227,$AF228)-SUMIFS($AE$9:$AE$227,$G$9:$G$227,$G228,$B$9:$B$227,$B228)),0)),"Close quantity capped","OK")))))))))</f>
        <v/>
      </c>
      <c r="W228" s="59" t="str">
        <f t="shared" si="54"/>
        <v/>
      </c>
      <c r="X228" s="60" t="str">
        <f t="shared" si="55"/>
        <v/>
      </c>
      <c r="Y228" s="50" t="str">
        <f t="shared" si="56"/>
        <v/>
      </c>
      <c r="Z228" s="50" t="str">
        <f t="shared" si="57"/>
        <v/>
      </c>
      <c r="AA228" s="50" t="str">
        <f t="shared" si="58"/>
        <v/>
      </c>
      <c r="AB228" s="50" t="str">
        <f t="shared" si="59"/>
        <v/>
      </c>
      <c r="AC228" s="50" t="str">
        <f>IF($A228="","",IF($F228="assignment",IF($AF228&gt;0,INDEX($AH$9:$AH$227,$AF228),0)*$AE228*$D228,IF($F228="buy_shares",$M228*$AL228,0)))</f>
        <v/>
      </c>
      <c r="AD228" s="50" t="str">
        <f>IF($A228="","",IF($F228="called_away",IF($AF228&gt;0,INDEX($AH$9:$AH$227,$AF228),0)*$AL228,IF($F228="sell_shares",$M228*$AL228,0)))</f>
        <v/>
      </c>
      <c r="AE228" s="51" t="str">
        <f>IF($A228="","",IF(OR($F228="sell_put",$F228="sell_call"),IF(AND($H228&gt;0,$I228&gt;0,$J228&gt;=0),$H228,0),IF(OR($F228="buy_to_close",$F228="expire",$F228="roll",$F228="assignment",$F228="called_away"),IF(AND($AF228&gt;0,$H228&gt;0,IF($F228="assignment",IF($AF228&gt;0,INDEX($AG$9:$AG$227,$AF228),"")="put",TRUE),IF($F228="called_away",IF($AF228&gt;0,INDEX($AG$9:$AG$227,$AF228),"")="call",TRUE)),MIN($H228,IF($AF228&gt;0,MAX(0,INDEX($AI$9:$AI$227,$AF228)-SUMIFS($AE$9:$AE$227,$G$9:$G$227,$G228,$B$9:$B$227,$B228)),0)),0),0)))</f>
        <v/>
      </c>
      <c r="AF228" t="str">
        <f>IF($A228="","",IFERROR(MATCH(LEN($B228)&amp;":"&amp;$B228&amp;$G228,$AY$9:$AY$227,0),0))</f>
        <v/>
      </c>
      <c r="AG228" t="str">
        <f>IF($A228="","",IF($F228="sell_put","put",IF($F228="sell_call","call",IF($F228="roll",IF($AF228&gt;0,IF($AF228&gt;0,INDEX($AG$9:$AG$227,$AF228),""),""),IF($AF228&gt;0,IF($AF228&gt;0,INDEX($AG$9:$AG$227,$AF228),""),"")))))</f>
        <v/>
      </c>
      <c r="AH228" t="str">
        <f>IF($A228="","",IF(OR($F228="sell_put",$F228="sell_call",$F228="roll"),$I228,IF($AF228&gt;0,IF($AF228&gt;0,INDEX($AH$9:$AH$227,$AF228),0),0)))</f>
        <v/>
      </c>
      <c r="AI228" s="51" t="str">
        <f t="shared" si="60"/>
        <v/>
      </c>
      <c r="AJ228" s="51" t="str">
        <f>IF($A228="","",IFERROR(LOOKUP(2,1/($B$9:$B$227=$B228),$AM$9:$AM227),0))</f>
        <v/>
      </c>
      <c r="AK228" t="str">
        <f>IF($A228="","",IFERROR(LOOKUP(2,1/($B$9:$B$227=$B228),$AN$9:$AN227),0))</f>
        <v/>
      </c>
      <c r="AL228" s="51" t="str">
        <f t="shared" si="61"/>
        <v/>
      </c>
      <c r="AM228" s="51" t="str">
        <f t="shared" si="62"/>
        <v/>
      </c>
      <c r="AN228" t="str">
        <f t="shared" si="63"/>
        <v/>
      </c>
      <c r="AO228" s="50" t="str">
        <f>IF($A228="","",IFERROR(LOOKUP(2,1/($B$9:$B$227=$B228),$AO$9:$AO227),0)+IF($F228="sell_put",$I228*$AE228*$D228,IF($F228="roll",IF($AG228="put",($I228-IF($AF228&gt;0,INDEX($AH$9:$AH$227,$AF228),0))*$AE228*$D228,0),IF(AND(OR($F228="buy_to_close",$F228="expire",$F228="roll",$F228="assignment",$F228="called_away"),$F228&lt;&gt;"roll",$AG228="put"),-IF($AF228&gt;0,INDEX($AH$9:$AH$227,$AF228),0)*$AE228*$D228,0))))</f>
        <v/>
      </c>
      <c r="AP228" s="51" t="str">
        <f>IF($A228="","",IFERROR(LOOKUP(2,1/($B$9:$B$227=$B228),$AP$9:$AP227),0)+IF($F228="sell_put",$AE228*$D228,IF(AND(OR($F228="buy_to_close",$F228="expire",$F228="roll",$F228="assignment",$F228="called_away"),$F228&lt;&gt;"roll",$AG228="put"),-$AE228*$D228,0)))</f>
        <v/>
      </c>
      <c r="AQ228" s="51" t="str">
        <f>IF($A228="","",IFERROR(LOOKUP(2,1/($B$9:$B$227=$B228),$AQ$9:$AQ227),0)+IF(OR($F228="sell_put",$F228="sell_call"),$AE228,0)-IF(AND(OR($F228="buy_to_close",$F228="expire",$F228="roll",$F228="assignment",$F228="called_away"),$F228&lt;&gt;"roll"),$AE228,0))</f>
        <v/>
      </c>
      <c r="AR228" t="str">
        <f t="shared" si="64"/>
        <v/>
      </c>
      <c r="AS228" s="50" t="str">
        <f t="shared" si="65"/>
        <v/>
      </c>
      <c r="AT228" s="50" t="str">
        <f>IF($A228="","",MAX(IF($T228=IFERROR(LOOKUP(2,1/($B$9:$B$227=$B228),$T$9:$T227),0),IFERROR(LOOKUP(2,1/($B$9:$B$227=$B228),$AT$9:$AT227),0),0),$AS228))</f>
        <v/>
      </c>
      <c r="AU228" t="str">
        <f t="shared" si="66"/>
        <v/>
      </c>
      <c r="AV228" s="51">
        <f>IF($AU228="",0,IF(AND(IFERROR(LOOKUP(2,1/($B$9:$B$227=$B228),$AR$9:$AR227),1),NOT(AND(OR($F228="dividend",$F228="fee"),IFERROR(LOOKUP(2,1/($B$9:$B$227=$B228),$T$9:$T227),0)&gt;0))),ROW(),0))</f>
        <v>0</v>
      </c>
      <c r="AW228">
        <f>IF($A228="",0,IF($AV228&gt;0,MAX($AW$9:$AW$227)+1,MAX($AW$9:$AW$227)))</f>
        <v>0</v>
      </c>
      <c r="AX228">
        <f>IF($AU228="",0,IF(AND($AR228,OR(NOT(IFERROR(LOOKUP(2,1/($B$9:$B$227=$B228),$AR$9:$AR227),1)),IFERROR(LOOKUP(2,1/($B$9:$B$227=$B228),$T$9:$T227),0)=0)),ROW(),0))</f>
        <v>0</v>
      </c>
      <c r="AY228" t="str">
        <f t="shared" si="67"/>
        <v/>
      </c>
    </row>
    <row r="229" spans="1:51" ht="15" x14ac:dyDescent="0.25">
      <c r="A229" s="41" t="str">
        <f>IF(Trades!$A229="","",Trades!O229)</f>
        <v/>
      </c>
      <c r="B229" s="41" t="str">
        <f>IF(Trades!$A229="","",Trades!B229)</f>
        <v/>
      </c>
      <c r="C229" s="41" t="str">
        <f>IF(Trades!$A229="","",Trades!C229)</f>
        <v/>
      </c>
      <c r="D229" s="42" t="str">
        <f>IF(Trades!$A229="","",IF(Trades!$L229&gt;0,Trades!$L229,Trades!$C$6))</f>
        <v/>
      </c>
      <c r="E229" s="43" t="str">
        <f>IF(Trades!$A229="","",Trades!A229)</f>
        <v/>
      </c>
      <c r="F229" s="41" t="str">
        <f>IF(Trades!$A229="","",IFERROR(INDEX(Trades!$V$2:$V$14,MATCH(Trades!$E229,Trades!$U$2:$U$14,0)),""))</f>
        <v/>
      </c>
      <c r="G229" s="41" t="str">
        <f>IF(Trades!$A229="","",Trades!N229)</f>
        <v/>
      </c>
      <c r="H229" s="42" t="str">
        <f>IF(Trades!$A229="","",Trades!F229)</f>
        <v/>
      </c>
      <c r="I229" s="44" t="str">
        <f>IF(Trades!$A229="","",Trades!G229)</f>
        <v/>
      </c>
      <c r="J229" s="44" t="str">
        <f>IF(Trades!$A229="","",Trades!I229)</f>
        <v/>
      </c>
      <c r="K229" s="44" t="str">
        <f>IF(Trades!$A229="","",Trades!Q229)</f>
        <v/>
      </c>
      <c r="L229" s="42" t="str">
        <f>IF(Trades!$A229="","",Trades!F229)</f>
        <v/>
      </c>
      <c r="M229" s="44" t="str">
        <f>IF(Trades!$A229="","",Trades!M229)</f>
        <v/>
      </c>
      <c r="N229" s="44" t="str">
        <f>IF(Trades!$A229="","",Trades!R229)</f>
        <v/>
      </c>
      <c r="O229" s="44" t="str">
        <f>IF(Trades!$A229="","",Trades!J229)</f>
        <v/>
      </c>
      <c r="P229" s="43" t="str">
        <f>IF(Trades!$A229="","",Trades!H229)</f>
        <v/>
      </c>
      <c r="Q229" s="41" t="str">
        <f>IF(Trades!$A229="","",Trades!P229)</f>
        <v/>
      </c>
      <c r="R229" s="45" t="str">
        <f t="shared" si="51"/>
        <v/>
      </c>
      <c r="S229" s="45" t="str">
        <f t="shared" si="52"/>
        <v/>
      </c>
      <c r="T229" s="46" t="str">
        <f>IF(OR($A229="",$B229=""),"",IF(AND(IFERROR(LOOKUP(2,1/($B$9:$B$228=$B229),$AR$9:$AR228),1),NOT(AND(OR($F229="dividend",$F229="fee"),IFERROR(LOOKUP(2,1/($B$9:$B$228=$B229),$T$9:$T228),0)&gt;0))),IFERROR(LOOKUP(2,1/($B$9:$B$228=$B229),$T$9:$T228),0)+1,IFERROR(LOOKUP(2,1/($B$9:$B$228=$B229),$T$9:$T228),0)))</f>
        <v/>
      </c>
      <c r="U229" s="47" t="str">
        <f t="shared" si="53"/>
        <v/>
      </c>
      <c r="V229" s="47" t="str">
        <f>IF($A229="","",IF(OR($B229="",$C229="",$D229="",$E229="",$F229=""),"Missing required field",IF(COUNTIFS($A$9:$A229,$A229,$B$9:$B229,$B229)&gt;1,"Duplicate event ID",IF(AND($E229&lt;&gt;IFERROR(LOOKUP(2,1/($B$9:$B$228=$B229),$E$9:$E228),0),IFERROR(LOOKUP(2,1/($B$9:$B$228=$B229),$E$9:$E228),0)&gt;$E229),"Date out of order",IF(AND(OR($F229="buy_to_close",$F229="expire",$F229="roll",$F229="assignment",$F229="called_away"),$AF229=0),"Unknown lot",IF(OR(AND($F229="assignment",$AF229&gt;0,IF($AF229&gt;0,INDEX($AG$9:$AG$228,$AF229),"")&lt;&gt;"put"),AND($F229="called_away",$AF229&gt;0,IF($AF229&gt;0,INDEX($AG$9:$AG$228,$AF229),"")&lt;&gt;"call")),"Wrong option leg",IF(OR(AND(OR($F229="sell_put",$F229="sell_call"),OR($H229&lt;=0,$I229&lt;=0,$J229&lt;0)),AND(OR($F229="buy_to_close",$F229="expire",$F229="assignment",$F229="called_away"),OR($H229&lt;=0,$J229&lt;0)),AND($F229="roll",OR($H229&lt;=0,$I229&lt;=0,$J229&lt;0,$K229&lt;0)),AND(OR($F229="buy_shares",$F229="sell_shares"),OR($L229&lt;=0,$M229&lt;0)),AND(OR($F229="dividend",$F229="fee"),$N229&lt;0)),"Invalid value",IF(AND(OR($F229="sell_shares",$F229="called_away"),$AL229&lt;IF($F229="called_away",$AE229*$D229,$L229)),"Insufficient shares (capped)",IF(AND(OR($F229="buy_to_close",$F229="expire",$F229="roll",$F229="assignment",$F229="called_away"),$AF229&gt;0,$H229&gt;IF($AF229&gt;0,MAX(0,INDEX($AI$9:$AI$228,$AF229)-SUMIFS($AE$9:$AE$228,$G$9:$G$228,$G229,$B$9:$B$228,$B229)),0)),"Close quantity capped","OK")))))))))</f>
        <v/>
      </c>
      <c r="W229" s="48" t="str">
        <f t="shared" si="54"/>
        <v/>
      </c>
      <c r="X229" s="49" t="str">
        <f t="shared" si="55"/>
        <v/>
      </c>
      <c r="Y229" s="50" t="str">
        <f t="shared" si="56"/>
        <v/>
      </c>
      <c r="Z229" s="50" t="str">
        <f t="shared" si="57"/>
        <v/>
      </c>
      <c r="AA229" s="50" t="str">
        <f t="shared" si="58"/>
        <v/>
      </c>
      <c r="AB229" s="50" t="str">
        <f t="shared" si="59"/>
        <v/>
      </c>
      <c r="AC229" s="50" t="str">
        <f>IF($A229="","",IF($F229="assignment",IF($AF229&gt;0,INDEX($AH$9:$AH$228,$AF229),0)*$AE229*$D229,IF($F229="buy_shares",$M229*$AL229,0)))</f>
        <v/>
      </c>
      <c r="AD229" s="50" t="str">
        <f>IF($A229="","",IF($F229="called_away",IF($AF229&gt;0,INDEX($AH$9:$AH$228,$AF229),0)*$AL229,IF($F229="sell_shares",$M229*$AL229,0)))</f>
        <v/>
      </c>
      <c r="AE229" s="51" t="str">
        <f>IF($A229="","",IF(OR($F229="sell_put",$F229="sell_call"),IF(AND($H229&gt;0,$I229&gt;0,$J229&gt;=0),$H229,0),IF(OR($F229="buy_to_close",$F229="expire",$F229="roll",$F229="assignment",$F229="called_away"),IF(AND($AF229&gt;0,$H229&gt;0,IF($F229="assignment",IF($AF229&gt;0,INDEX($AG$9:$AG$228,$AF229),"")="put",TRUE),IF($F229="called_away",IF($AF229&gt;0,INDEX($AG$9:$AG$228,$AF229),"")="call",TRUE)),MIN($H229,IF($AF229&gt;0,MAX(0,INDEX($AI$9:$AI$228,$AF229)-SUMIFS($AE$9:$AE$228,$G$9:$G$228,$G229,$B$9:$B$228,$B229)),0)),0),0)))</f>
        <v/>
      </c>
      <c r="AF229" t="str">
        <f>IF($A229="","",IFERROR(MATCH(LEN($B229)&amp;":"&amp;$B229&amp;$G229,$AY$9:$AY$228,0),0))</f>
        <v/>
      </c>
      <c r="AG229" t="str">
        <f>IF($A229="","",IF($F229="sell_put","put",IF($F229="sell_call","call",IF($F229="roll",IF($AF229&gt;0,IF($AF229&gt;0,INDEX($AG$9:$AG$228,$AF229),""),""),IF($AF229&gt;0,IF($AF229&gt;0,INDEX($AG$9:$AG$228,$AF229),""),"")))))</f>
        <v/>
      </c>
      <c r="AH229" t="str">
        <f>IF($A229="","",IF(OR($F229="sell_put",$F229="sell_call",$F229="roll"),$I229,IF($AF229&gt;0,IF($AF229&gt;0,INDEX($AH$9:$AH$228,$AF229),0),0)))</f>
        <v/>
      </c>
      <c r="AI229" s="51" t="str">
        <f t="shared" si="60"/>
        <v/>
      </c>
      <c r="AJ229" s="51" t="str">
        <f>IF($A229="","",IFERROR(LOOKUP(2,1/($B$9:$B$228=$B229),$AM$9:$AM228),0))</f>
        <v/>
      </c>
      <c r="AK229" t="str">
        <f>IF($A229="","",IFERROR(LOOKUP(2,1/($B$9:$B$228=$B229),$AN$9:$AN228),0))</f>
        <v/>
      </c>
      <c r="AL229" s="51" t="str">
        <f t="shared" si="61"/>
        <v/>
      </c>
      <c r="AM229" s="51" t="str">
        <f t="shared" si="62"/>
        <v/>
      </c>
      <c r="AN229" t="str">
        <f t="shared" si="63"/>
        <v/>
      </c>
      <c r="AO229" s="50" t="str">
        <f>IF($A229="","",IFERROR(LOOKUP(2,1/($B$9:$B$228=$B229),$AO$9:$AO228),0)+IF($F229="sell_put",$I229*$AE229*$D229,IF($F229="roll",IF($AG229="put",($I229-IF($AF229&gt;0,INDEX($AH$9:$AH$228,$AF229),0))*$AE229*$D229,0),IF(AND(OR($F229="buy_to_close",$F229="expire",$F229="roll",$F229="assignment",$F229="called_away"),$F229&lt;&gt;"roll",$AG229="put"),-IF($AF229&gt;0,INDEX($AH$9:$AH$228,$AF229),0)*$AE229*$D229,0))))</f>
        <v/>
      </c>
      <c r="AP229" s="51" t="str">
        <f>IF($A229="","",IFERROR(LOOKUP(2,1/($B$9:$B$228=$B229),$AP$9:$AP228),0)+IF($F229="sell_put",$AE229*$D229,IF(AND(OR($F229="buy_to_close",$F229="expire",$F229="roll",$F229="assignment",$F229="called_away"),$F229&lt;&gt;"roll",$AG229="put"),-$AE229*$D229,0)))</f>
        <v/>
      </c>
      <c r="AQ229" s="51" t="str">
        <f>IF($A229="","",IFERROR(LOOKUP(2,1/($B$9:$B$228=$B229),$AQ$9:$AQ228),0)+IF(OR($F229="sell_put",$F229="sell_call"),$AE229,0)-IF(AND(OR($F229="buy_to_close",$F229="expire",$F229="roll",$F229="assignment",$F229="called_away"),$F229&lt;&gt;"roll"),$AE229,0))</f>
        <v/>
      </c>
      <c r="AR229" t="str">
        <f t="shared" si="64"/>
        <v/>
      </c>
      <c r="AS229" s="50" t="str">
        <f t="shared" si="65"/>
        <v/>
      </c>
      <c r="AT229" s="50" t="str">
        <f>IF($A229="","",MAX(IF($T229=IFERROR(LOOKUP(2,1/($B$9:$B$228=$B229),$T$9:$T228),0),IFERROR(LOOKUP(2,1/($B$9:$B$228=$B229),$AT$9:$AT228),0),0),$AS229))</f>
        <v/>
      </c>
      <c r="AU229" t="str">
        <f t="shared" si="66"/>
        <v/>
      </c>
      <c r="AV229" s="51">
        <f>IF($AU229="",0,IF(AND(IFERROR(LOOKUP(2,1/($B$9:$B$228=$B229),$AR$9:$AR228),1),NOT(AND(OR($F229="dividend",$F229="fee"),IFERROR(LOOKUP(2,1/($B$9:$B$228=$B229),$T$9:$T228),0)&gt;0))),ROW(),0))</f>
        <v>0</v>
      </c>
      <c r="AW229">
        <f>IF($A229="",0,IF($AV229&gt;0,MAX($AW$9:$AW$228)+1,MAX($AW$9:$AW$228)))</f>
        <v>0</v>
      </c>
      <c r="AX229">
        <f>IF($AU229="",0,IF(AND($AR229,OR(NOT(IFERROR(LOOKUP(2,1/($B$9:$B$228=$B229),$AR$9:$AR228),1)),IFERROR(LOOKUP(2,1/($B$9:$B$228=$B229),$T$9:$T228),0)=0)),ROW(),0))</f>
        <v>0</v>
      </c>
      <c r="AY229" t="str">
        <f t="shared" si="67"/>
        <v/>
      </c>
    </row>
    <row r="230" spans="1:51" ht="15" x14ac:dyDescent="0.25">
      <c r="A230" s="52" t="str">
        <f>IF(Trades!$A230="","",Trades!O230)</f>
        <v/>
      </c>
      <c r="B230" s="52" t="str">
        <f>IF(Trades!$A230="","",Trades!B230)</f>
        <v/>
      </c>
      <c r="C230" s="52" t="str">
        <f>IF(Trades!$A230="","",Trades!C230)</f>
        <v/>
      </c>
      <c r="D230" s="53" t="str">
        <f>IF(Trades!$A230="","",IF(Trades!$L230&gt;0,Trades!$L230,Trades!$C$6))</f>
        <v/>
      </c>
      <c r="E230" s="54" t="str">
        <f>IF(Trades!$A230="","",Trades!A230)</f>
        <v/>
      </c>
      <c r="F230" s="52" t="str">
        <f>IF(Trades!$A230="","",IFERROR(INDEX(Trades!$V$2:$V$14,MATCH(Trades!$E230,Trades!$U$2:$U$14,0)),""))</f>
        <v/>
      </c>
      <c r="G230" s="52" t="str">
        <f>IF(Trades!$A230="","",Trades!N230)</f>
        <v/>
      </c>
      <c r="H230" s="53" t="str">
        <f>IF(Trades!$A230="","",Trades!F230)</f>
        <v/>
      </c>
      <c r="I230" s="55" t="str">
        <f>IF(Trades!$A230="","",Trades!G230)</f>
        <v/>
      </c>
      <c r="J230" s="55" t="str">
        <f>IF(Trades!$A230="","",Trades!I230)</f>
        <v/>
      </c>
      <c r="K230" s="55" t="str">
        <f>IF(Trades!$A230="","",Trades!Q230)</f>
        <v/>
      </c>
      <c r="L230" s="53" t="str">
        <f>IF(Trades!$A230="","",Trades!F230)</f>
        <v/>
      </c>
      <c r="M230" s="55" t="str">
        <f>IF(Trades!$A230="","",Trades!M230)</f>
        <v/>
      </c>
      <c r="N230" s="55" t="str">
        <f>IF(Trades!$A230="","",Trades!R230)</f>
        <v/>
      </c>
      <c r="O230" s="55" t="str">
        <f>IF(Trades!$A230="","",Trades!J230)</f>
        <v/>
      </c>
      <c r="P230" s="54" t="str">
        <f>IF(Trades!$A230="","",Trades!H230)</f>
        <v/>
      </c>
      <c r="Q230" s="52" t="str">
        <f>IF(Trades!$A230="","",Trades!P230)</f>
        <v/>
      </c>
      <c r="R230" s="56" t="str">
        <f t="shared" si="51"/>
        <v/>
      </c>
      <c r="S230" s="56" t="str">
        <f t="shared" si="52"/>
        <v/>
      </c>
      <c r="T230" s="57" t="str">
        <f>IF(OR($A230="",$B230=""),"",IF(AND(IFERROR(LOOKUP(2,1/($B$9:$B$229=$B230),$AR$9:$AR229),1),NOT(AND(OR($F230="dividend",$F230="fee"),IFERROR(LOOKUP(2,1/($B$9:$B$229=$B230),$T$9:$T229),0)&gt;0))),IFERROR(LOOKUP(2,1/($B$9:$B$229=$B230),$T$9:$T229),0)+1,IFERROR(LOOKUP(2,1/($B$9:$B$229=$B230),$T$9:$T229),0)))</f>
        <v/>
      </c>
      <c r="U230" s="58" t="str">
        <f t="shared" si="53"/>
        <v/>
      </c>
      <c r="V230" s="58" t="str">
        <f>IF($A230="","",IF(OR($B230="",$C230="",$D230="",$E230="",$F230=""),"Missing required field",IF(COUNTIFS($A$9:$A230,$A230,$B$9:$B230,$B230)&gt;1,"Duplicate event ID",IF(AND($E230&lt;&gt;IFERROR(LOOKUP(2,1/($B$9:$B$229=$B230),$E$9:$E229),0),IFERROR(LOOKUP(2,1/($B$9:$B$229=$B230),$E$9:$E229),0)&gt;$E230),"Date out of order",IF(AND(OR($F230="buy_to_close",$F230="expire",$F230="roll",$F230="assignment",$F230="called_away"),$AF230=0),"Unknown lot",IF(OR(AND($F230="assignment",$AF230&gt;0,IF($AF230&gt;0,INDEX($AG$9:$AG$229,$AF230),"")&lt;&gt;"put"),AND($F230="called_away",$AF230&gt;0,IF($AF230&gt;0,INDEX($AG$9:$AG$229,$AF230),"")&lt;&gt;"call")),"Wrong option leg",IF(OR(AND(OR($F230="sell_put",$F230="sell_call"),OR($H230&lt;=0,$I230&lt;=0,$J230&lt;0)),AND(OR($F230="buy_to_close",$F230="expire",$F230="assignment",$F230="called_away"),OR($H230&lt;=0,$J230&lt;0)),AND($F230="roll",OR($H230&lt;=0,$I230&lt;=0,$J230&lt;0,$K230&lt;0)),AND(OR($F230="buy_shares",$F230="sell_shares"),OR($L230&lt;=0,$M230&lt;0)),AND(OR($F230="dividend",$F230="fee"),$N230&lt;0)),"Invalid value",IF(AND(OR($F230="sell_shares",$F230="called_away"),$AL230&lt;IF($F230="called_away",$AE230*$D230,$L230)),"Insufficient shares (capped)",IF(AND(OR($F230="buy_to_close",$F230="expire",$F230="roll",$F230="assignment",$F230="called_away"),$AF230&gt;0,$H230&gt;IF($AF230&gt;0,MAX(0,INDEX($AI$9:$AI$229,$AF230)-SUMIFS($AE$9:$AE$229,$G$9:$G$229,$G230,$B$9:$B$229,$B230)),0)),"Close quantity capped","OK")))))))))</f>
        <v/>
      </c>
      <c r="W230" s="59" t="str">
        <f t="shared" si="54"/>
        <v/>
      </c>
      <c r="X230" s="60" t="str">
        <f t="shared" si="55"/>
        <v/>
      </c>
      <c r="Y230" s="50" t="str">
        <f t="shared" si="56"/>
        <v/>
      </c>
      <c r="Z230" s="50" t="str">
        <f t="shared" si="57"/>
        <v/>
      </c>
      <c r="AA230" s="50" t="str">
        <f t="shared" si="58"/>
        <v/>
      </c>
      <c r="AB230" s="50" t="str">
        <f t="shared" si="59"/>
        <v/>
      </c>
      <c r="AC230" s="50" t="str">
        <f>IF($A230="","",IF($F230="assignment",IF($AF230&gt;0,INDEX($AH$9:$AH$229,$AF230),0)*$AE230*$D230,IF($F230="buy_shares",$M230*$AL230,0)))</f>
        <v/>
      </c>
      <c r="AD230" s="50" t="str">
        <f>IF($A230="","",IF($F230="called_away",IF($AF230&gt;0,INDEX($AH$9:$AH$229,$AF230),0)*$AL230,IF($F230="sell_shares",$M230*$AL230,0)))</f>
        <v/>
      </c>
      <c r="AE230" s="51" t="str">
        <f>IF($A230="","",IF(OR($F230="sell_put",$F230="sell_call"),IF(AND($H230&gt;0,$I230&gt;0,$J230&gt;=0),$H230,0),IF(OR($F230="buy_to_close",$F230="expire",$F230="roll",$F230="assignment",$F230="called_away"),IF(AND($AF230&gt;0,$H230&gt;0,IF($F230="assignment",IF($AF230&gt;0,INDEX($AG$9:$AG$229,$AF230),"")="put",TRUE),IF($F230="called_away",IF($AF230&gt;0,INDEX($AG$9:$AG$229,$AF230),"")="call",TRUE)),MIN($H230,IF($AF230&gt;0,MAX(0,INDEX($AI$9:$AI$229,$AF230)-SUMIFS($AE$9:$AE$229,$G$9:$G$229,$G230,$B$9:$B$229,$B230)),0)),0),0)))</f>
        <v/>
      </c>
      <c r="AF230" t="str">
        <f>IF($A230="","",IFERROR(MATCH(LEN($B230)&amp;":"&amp;$B230&amp;$G230,$AY$9:$AY$229,0),0))</f>
        <v/>
      </c>
      <c r="AG230" t="str">
        <f>IF($A230="","",IF($F230="sell_put","put",IF($F230="sell_call","call",IF($F230="roll",IF($AF230&gt;0,IF($AF230&gt;0,INDEX($AG$9:$AG$229,$AF230),""),""),IF($AF230&gt;0,IF($AF230&gt;0,INDEX($AG$9:$AG$229,$AF230),""),"")))))</f>
        <v/>
      </c>
      <c r="AH230" t="str">
        <f>IF($A230="","",IF(OR($F230="sell_put",$F230="sell_call",$F230="roll"),$I230,IF($AF230&gt;0,IF($AF230&gt;0,INDEX($AH$9:$AH$229,$AF230),0),0)))</f>
        <v/>
      </c>
      <c r="AI230" s="51" t="str">
        <f t="shared" si="60"/>
        <v/>
      </c>
      <c r="AJ230" s="51" t="str">
        <f>IF($A230="","",IFERROR(LOOKUP(2,1/($B$9:$B$229=$B230),$AM$9:$AM229),0))</f>
        <v/>
      </c>
      <c r="AK230" t="str">
        <f>IF($A230="","",IFERROR(LOOKUP(2,1/($B$9:$B$229=$B230),$AN$9:$AN229),0))</f>
        <v/>
      </c>
      <c r="AL230" s="51" t="str">
        <f t="shared" si="61"/>
        <v/>
      </c>
      <c r="AM230" s="51" t="str">
        <f t="shared" si="62"/>
        <v/>
      </c>
      <c r="AN230" t="str">
        <f t="shared" si="63"/>
        <v/>
      </c>
      <c r="AO230" s="50" t="str">
        <f>IF($A230="","",IFERROR(LOOKUP(2,1/($B$9:$B$229=$B230),$AO$9:$AO229),0)+IF($F230="sell_put",$I230*$AE230*$D230,IF($F230="roll",IF($AG230="put",($I230-IF($AF230&gt;0,INDEX($AH$9:$AH$229,$AF230),0))*$AE230*$D230,0),IF(AND(OR($F230="buy_to_close",$F230="expire",$F230="roll",$F230="assignment",$F230="called_away"),$F230&lt;&gt;"roll",$AG230="put"),-IF($AF230&gt;0,INDEX($AH$9:$AH$229,$AF230),0)*$AE230*$D230,0))))</f>
        <v/>
      </c>
      <c r="AP230" s="51" t="str">
        <f>IF($A230="","",IFERROR(LOOKUP(2,1/($B$9:$B$229=$B230),$AP$9:$AP229),0)+IF($F230="sell_put",$AE230*$D230,IF(AND(OR($F230="buy_to_close",$F230="expire",$F230="roll",$F230="assignment",$F230="called_away"),$F230&lt;&gt;"roll",$AG230="put"),-$AE230*$D230,0)))</f>
        <v/>
      </c>
      <c r="AQ230" s="51" t="str">
        <f>IF($A230="","",IFERROR(LOOKUP(2,1/($B$9:$B$229=$B230),$AQ$9:$AQ229),0)+IF(OR($F230="sell_put",$F230="sell_call"),$AE230,0)-IF(AND(OR($F230="buy_to_close",$F230="expire",$F230="roll",$F230="assignment",$F230="called_away"),$F230&lt;&gt;"roll"),$AE230,0))</f>
        <v/>
      </c>
      <c r="AR230" t="str">
        <f t="shared" si="64"/>
        <v/>
      </c>
      <c r="AS230" s="50" t="str">
        <f t="shared" si="65"/>
        <v/>
      </c>
      <c r="AT230" s="50" t="str">
        <f>IF($A230="","",MAX(IF($T230=IFERROR(LOOKUP(2,1/($B$9:$B$229=$B230),$T$9:$T229),0),IFERROR(LOOKUP(2,1/($B$9:$B$229=$B230),$AT$9:$AT229),0),0),$AS230))</f>
        <v/>
      </c>
      <c r="AU230" t="str">
        <f t="shared" si="66"/>
        <v/>
      </c>
      <c r="AV230" s="51">
        <f>IF($AU230="",0,IF(AND(IFERROR(LOOKUP(2,1/($B$9:$B$229=$B230),$AR$9:$AR229),1),NOT(AND(OR($F230="dividend",$F230="fee"),IFERROR(LOOKUP(2,1/($B$9:$B$229=$B230),$T$9:$T229),0)&gt;0))),ROW(),0))</f>
        <v>0</v>
      </c>
      <c r="AW230">
        <f>IF($A230="",0,IF($AV230&gt;0,MAX($AW$9:$AW$229)+1,MAX($AW$9:$AW$229)))</f>
        <v>0</v>
      </c>
      <c r="AX230">
        <f>IF($AU230="",0,IF(AND($AR230,OR(NOT(IFERROR(LOOKUP(2,1/($B$9:$B$229=$B230),$AR$9:$AR229),1)),IFERROR(LOOKUP(2,1/($B$9:$B$229=$B230),$T$9:$T229),0)=0)),ROW(),0))</f>
        <v>0</v>
      </c>
      <c r="AY230" t="str">
        <f t="shared" si="67"/>
        <v/>
      </c>
    </row>
    <row r="231" spans="1:51" ht="15" x14ac:dyDescent="0.25">
      <c r="A231" s="41" t="str">
        <f>IF(Trades!$A231="","",Trades!O231)</f>
        <v/>
      </c>
      <c r="B231" s="41" t="str">
        <f>IF(Trades!$A231="","",Trades!B231)</f>
        <v/>
      </c>
      <c r="C231" s="41" t="str">
        <f>IF(Trades!$A231="","",Trades!C231)</f>
        <v/>
      </c>
      <c r="D231" s="42" t="str">
        <f>IF(Trades!$A231="","",IF(Trades!$L231&gt;0,Trades!$L231,Trades!$C$6))</f>
        <v/>
      </c>
      <c r="E231" s="43" t="str">
        <f>IF(Trades!$A231="","",Trades!A231)</f>
        <v/>
      </c>
      <c r="F231" s="41" t="str">
        <f>IF(Trades!$A231="","",IFERROR(INDEX(Trades!$V$2:$V$14,MATCH(Trades!$E231,Trades!$U$2:$U$14,0)),""))</f>
        <v/>
      </c>
      <c r="G231" s="41" t="str">
        <f>IF(Trades!$A231="","",Trades!N231)</f>
        <v/>
      </c>
      <c r="H231" s="42" t="str">
        <f>IF(Trades!$A231="","",Trades!F231)</f>
        <v/>
      </c>
      <c r="I231" s="44" t="str">
        <f>IF(Trades!$A231="","",Trades!G231)</f>
        <v/>
      </c>
      <c r="J231" s="44" t="str">
        <f>IF(Trades!$A231="","",Trades!I231)</f>
        <v/>
      </c>
      <c r="K231" s="44" t="str">
        <f>IF(Trades!$A231="","",Trades!Q231)</f>
        <v/>
      </c>
      <c r="L231" s="42" t="str">
        <f>IF(Trades!$A231="","",Trades!F231)</f>
        <v/>
      </c>
      <c r="M231" s="44" t="str">
        <f>IF(Trades!$A231="","",Trades!M231)</f>
        <v/>
      </c>
      <c r="N231" s="44" t="str">
        <f>IF(Trades!$A231="","",Trades!R231)</f>
        <v/>
      </c>
      <c r="O231" s="44" t="str">
        <f>IF(Trades!$A231="","",Trades!J231)</f>
        <v/>
      </c>
      <c r="P231" s="43" t="str">
        <f>IF(Trades!$A231="","",Trades!H231)</f>
        <v/>
      </c>
      <c r="Q231" s="41" t="str">
        <f>IF(Trades!$A231="","",Trades!P231)</f>
        <v/>
      </c>
      <c r="R231" s="45" t="str">
        <f t="shared" si="51"/>
        <v/>
      </c>
      <c r="S231" s="45" t="str">
        <f t="shared" si="52"/>
        <v/>
      </c>
      <c r="T231" s="46" t="str">
        <f>IF(OR($A231="",$B231=""),"",IF(AND(IFERROR(LOOKUP(2,1/($B$9:$B$230=$B231),$AR$9:$AR230),1),NOT(AND(OR($F231="dividend",$F231="fee"),IFERROR(LOOKUP(2,1/($B$9:$B$230=$B231),$T$9:$T230),0)&gt;0))),IFERROR(LOOKUP(2,1/($B$9:$B$230=$B231),$T$9:$T230),0)+1,IFERROR(LOOKUP(2,1/($B$9:$B$230=$B231),$T$9:$T230),0)))</f>
        <v/>
      </c>
      <c r="U231" s="47" t="str">
        <f t="shared" si="53"/>
        <v/>
      </c>
      <c r="V231" s="47" t="str">
        <f>IF($A231="","",IF(OR($B231="",$C231="",$D231="",$E231="",$F231=""),"Missing required field",IF(COUNTIFS($A$9:$A231,$A231,$B$9:$B231,$B231)&gt;1,"Duplicate event ID",IF(AND($E231&lt;&gt;IFERROR(LOOKUP(2,1/($B$9:$B$230=$B231),$E$9:$E230),0),IFERROR(LOOKUP(2,1/($B$9:$B$230=$B231),$E$9:$E230),0)&gt;$E231),"Date out of order",IF(AND(OR($F231="buy_to_close",$F231="expire",$F231="roll",$F231="assignment",$F231="called_away"),$AF231=0),"Unknown lot",IF(OR(AND($F231="assignment",$AF231&gt;0,IF($AF231&gt;0,INDEX($AG$9:$AG$230,$AF231),"")&lt;&gt;"put"),AND($F231="called_away",$AF231&gt;0,IF($AF231&gt;0,INDEX($AG$9:$AG$230,$AF231),"")&lt;&gt;"call")),"Wrong option leg",IF(OR(AND(OR($F231="sell_put",$F231="sell_call"),OR($H231&lt;=0,$I231&lt;=0,$J231&lt;0)),AND(OR($F231="buy_to_close",$F231="expire",$F231="assignment",$F231="called_away"),OR($H231&lt;=0,$J231&lt;0)),AND($F231="roll",OR($H231&lt;=0,$I231&lt;=0,$J231&lt;0,$K231&lt;0)),AND(OR($F231="buy_shares",$F231="sell_shares"),OR($L231&lt;=0,$M231&lt;0)),AND(OR($F231="dividend",$F231="fee"),$N231&lt;0)),"Invalid value",IF(AND(OR($F231="sell_shares",$F231="called_away"),$AL231&lt;IF($F231="called_away",$AE231*$D231,$L231)),"Insufficient shares (capped)",IF(AND(OR($F231="buy_to_close",$F231="expire",$F231="roll",$F231="assignment",$F231="called_away"),$AF231&gt;0,$H231&gt;IF($AF231&gt;0,MAX(0,INDEX($AI$9:$AI$230,$AF231)-SUMIFS($AE$9:$AE$230,$G$9:$G$230,$G231,$B$9:$B$230,$B231)),0)),"Close quantity capped","OK")))))))))</f>
        <v/>
      </c>
      <c r="W231" s="48" t="str">
        <f t="shared" si="54"/>
        <v/>
      </c>
      <c r="X231" s="49" t="str">
        <f t="shared" si="55"/>
        <v/>
      </c>
      <c r="Y231" s="50" t="str">
        <f t="shared" si="56"/>
        <v/>
      </c>
      <c r="Z231" s="50" t="str">
        <f t="shared" si="57"/>
        <v/>
      </c>
      <c r="AA231" s="50" t="str">
        <f t="shared" si="58"/>
        <v/>
      </c>
      <c r="AB231" s="50" t="str">
        <f t="shared" si="59"/>
        <v/>
      </c>
      <c r="AC231" s="50" t="str">
        <f>IF($A231="","",IF($F231="assignment",IF($AF231&gt;0,INDEX($AH$9:$AH$230,$AF231),0)*$AE231*$D231,IF($F231="buy_shares",$M231*$AL231,0)))</f>
        <v/>
      </c>
      <c r="AD231" s="50" t="str">
        <f>IF($A231="","",IF($F231="called_away",IF($AF231&gt;0,INDEX($AH$9:$AH$230,$AF231),0)*$AL231,IF($F231="sell_shares",$M231*$AL231,0)))</f>
        <v/>
      </c>
      <c r="AE231" s="51" t="str">
        <f>IF($A231="","",IF(OR($F231="sell_put",$F231="sell_call"),IF(AND($H231&gt;0,$I231&gt;0,$J231&gt;=0),$H231,0),IF(OR($F231="buy_to_close",$F231="expire",$F231="roll",$F231="assignment",$F231="called_away"),IF(AND($AF231&gt;0,$H231&gt;0,IF($F231="assignment",IF($AF231&gt;0,INDEX($AG$9:$AG$230,$AF231),"")="put",TRUE),IF($F231="called_away",IF($AF231&gt;0,INDEX($AG$9:$AG$230,$AF231),"")="call",TRUE)),MIN($H231,IF($AF231&gt;0,MAX(0,INDEX($AI$9:$AI$230,$AF231)-SUMIFS($AE$9:$AE$230,$G$9:$G$230,$G231,$B$9:$B$230,$B231)),0)),0),0)))</f>
        <v/>
      </c>
      <c r="AF231" t="str">
        <f>IF($A231="","",IFERROR(MATCH(LEN($B231)&amp;":"&amp;$B231&amp;$G231,$AY$9:$AY$230,0),0))</f>
        <v/>
      </c>
      <c r="AG231" t="str">
        <f>IF($A231="","",IF($F231="sell_put","put",IF($F231="sell_call","call",IF($F231="roll",IF($AF231&gt;0,IF($AF231&gt;0,INDEX($AG$9:$AG$230,$AF231),""),""),IF($AF231&gt;0,IF($AF231&gt;0,INDEX($AG$9:$AG$230,$AF231),""),"")))))</f>
        <v/>
      </c>
      <c r="AH231" t="str">
        <f>IF($A231="","",IF(OR($F231="sell_put",$F231="sell_call",$F231="roll"),$I231,IF($AF231&gt;0,IF($AF231&gt;0,INDEX($AH$9:$AH$230,$AF231),0),0)))</f>
        <v/>
      </c>
      <c r="AI231" s="51" t="str">
        <f t="shared" si="60"/>
        <v/>
      </c>
      <c r="AJ231" s="51" t="str">
        <f>IF($A231="","",IFERROR(LOOKUP(2,1/($B$9:$B$230=$B231),$AM$9:$AM230),0))</f>
        <v/>
      </c>
      <c r="AK231" t="str">
        <f>IF($A231="","",IFERROR(LOOKUP(2,1/($B$9:$B$230=$B231),$AN$9:$AN230),0))</f>
        <v/>
      </c>
      <c r="AL231" s="51" t="str">
        <f t="shared" si="61"/>
        <v/>
      </c>
      <c r="AM231" s="51" t="str">
        <f t="shared" si="62"/>
        <v/>
      </c>
      <c r="AN231" t="str">
        <f t="shared" si="63"/>
        <v/>
      </c>
      <c r="AO231" s="50" t="str">
        <f>IF($A231="","",IFERROR(LOOKUP(2,1/($B$9:$B$230=$B231),$AO$9:$AO230),0)+IF($F231="sell_put",$I231*$AE231*$D231,IF($F231="roll",IF($AG231="put",($I231-IF($AF231&gt;0,INDEX($AH$9:$AH$230,$AF231),0))*$AE231*$D231,0),IF(AND(OR($F231="buy_to_close",$F231="expire",$F231="roll",$F231="assignment",$F231="called_away"),$F231&lt;&gt;"roll",$AG231="put"),-IF($AF231&gt;0,INDEX($AH$9:$AH$230,$AF231),0)*$AE231*$D231,0))))</f>
        <v/>
      </c>
      <c r="AP231" s="51" t="str">
        <f>IF($A231="","",IFERROR(LOOKUP(2,1/($B$9:$B$230=$B231),$AP$9:$AP230),0)+IF($F231="sell_put",$AE231*$D231,IF(AND(OR($F231="buy_to_close",$F231="expire",$F231="roll",$F231="assignment",$F231="called_away"),$F231&lt;&gt;"roll",$AG231="put"),-$AE231*$D231,0)))</f>
        <v/>
      </c>
      <c r="AQ231" s="51" t="str">
        <f>IF($A231="","",IFERROR(LOOKUP(2,1/($B$9:$B$230=$B231),$AQ$9:$AQ230),0)+IF(OR($F231="sell_put",$F231="sell_call"),$AE231,0)-IF(AND(OR($F231="buy_to_close",$F231="expire",$F231="roll",$F231="assignment",$F231="called_away"),$F231&lt;&gt;"roll"),$AE231,0))</f>
        <v/>
      </c>
      <c r="AR231" t="str">
        <f t="shared" si="64"/>
        <v/>
      </c>
      <c r="AS231" s="50" t="str">
        <f t="shared" si="65"/>
        <v/>
      </c>
      <c r="AT231" s="50" t="str">
        <f>IF($A231="","",MAX(IF($T231=IFERROR(LOOKUP(2,1/($B$9:$B$230=$B231),$T$9:$T230),0),IFERROR(LOOKUP(2,1/($B$9:$B$230=$B231),$AT$9:$AT230),0),0),$AS231))</f>
        <v/>
      </c>
      <c r="AU231" t="str">
        <f t="shared" si="66"/>
        <v/>
      </c>
      <c r="AV231" s="51">
        <f>IF($AU231="",0,IF(AND(IFERROR(LOOKUP(2,1/($B$9:$B$230=$B231),$AR$9:$AR230),1),NOT(AND(OR($F231="dividend",$F231="fee"),IFERROR(LOOKUP(2,1/($B$9:$B$230=$B231),$T$9:$T230),0)&gt;0))),ROW(),0))</f>
        <v>0</v>
      </c>
      <c r="AW231">
        <f>IF($A231="",0,IF($AV231&gt;0,MAX($AW$9:$AW$230)+1,MAX($AW$9:$AW$230)))</f>
        <v>0</v>
      </c>
      <c r="AX231">
        <f>IF($AU231="",0,IF(AND($AR231,OR(NOT(IFERROR(LOOKUP(2,1/($B$9:$B$230=$B231),$AR$9:$AR230),1)),IFERROR(LOOKUP(2,1/($B$9:$B$230=$B231),$T$9:$T230),0)=0)),ROW(),0))</f>
        <v>0</v>
      </c>
      <c r="AY231" t="str">
        <f t="shared" si="67"/>
        <v/>
      </c>
    </row>
    <row r="232" spans="1:51" ht="15" x14ac:dyDescent="0.25">
      <c r="A232" s="52" t="str">
        <f>IF(Trades!$A232="","",Trades!O232)</f>
        <v/>
      </c>
      <c r="B232" s="52" t="str">
        <f>IF(Trades!$A232="","",Trades!B232)</f>
        <v/>
      </c>
      <c r="C232" s="52" t="str">
        <f>IF(Trades!$A232="","",Trades!C232)</f>
        <v/>
      </c>
      <c r="D232" s="53" t="str">
        <f>IF(Trades!$A232="","",IF(Trades!$L232&gt;0,Trades!$L232,Trades!$C$6))</f>
        <v/>
      </c>
      <c r="E232" s="54" t="str">
        <f>IF(Trades!$A232="","",Trades!A232)</f>
        <v/>
      </c>
      <c r="F232" s="52" t="str">
        <f>IF(Trades!$A232="","",IFERROR(INDEX(Trades!$V$2:$V$14,MATCH(Trades!$E232,Trades!$U$2:$U$14,0)),""))</f>
        <v/>
      </c>
      <c r="G232" s="52" t="str">
        <f>IF(Trades!$A232="","",Trades!N232)</f>
        <v/>
      </c>
      <c r="H232" s="53" t="str">
        <f>IF(Trades!$A232="","",Trades!F232)</f>
        <v/>
      </c>
      <c r="I232" s="55" t="str">
        <f>IF(Trades!$A232="","",Trades!G232)</f>
        <v/>
      </c>
      <c r="J232" s="55" t="str">
        <f>IF(Trades!$A232="","",Trades!I232)</f>
        <v/>
      </c>
      <c r="K232" s="55" t="str">
        <f>IF(Trades!$A232="","",Trades!Q232)</f>
        <v/>
      </c>
      <c r="L232" s="53" t="str">
        <f>IF(Trades!$A232="","",Trades!F232)</f>
        <v/>
      </c>
      <c r="M232" s="55" t="str">
        <f>IF(Trades!$A232="","",Trades!M232)</f>
        <v/>
      </c>
      <c r="N232" s="55" t="str">
        <f>IF(Trades!$A232="","",Trades!R232)</f>
        <v/>
      </c>
      <c r="O232" s="55" t="str">
        <f>IF(Trades!$A232="","",Trades!J232)</f>
        <v/>
      </c>
      <c r="P232" s="54" t="str">
        <f>IF(Trades!$A232="","",Trades!H232)</f>
        <v/>
      </c>
      <c r="Q232" s="52" t="str">
        <f>IF(Trades!$A232="","",Trades!P232)</f>
        <v/>
      </c>
      <c r="R232" s="56" t="str">
        <f t="shared" si="51"/>
        <v/>
      </c>
      <c r="S232" s="56" t="str">
        <f t="shared" si="52"/>
        <v/>
      </c>
      <c r="T232" s="57" t="str">
        <f>IF(OR($A232="",$B232=""),"",IF(AND(IFERROR(LOOKUP(2,1/($B$9:$B$231=$B232),$AR$9:$AR231),1),NOT(AND(OR($F232="dividend",$F232="fee"),IFERROR(LOOKUP(2,1/($B$9:$B$231=$B232),$T$9:$T231),0)&gt;0))),IFERROR(LOOKUP(2,1/($B$9:$B$231=$B232),$T$9:$T231),0)+1,IFERROR(LOOKUP(2,1/($B$9:$B$231=$B232),$T$9:$T231),0)))</f>
        <v/>
      </c>
      <c r="U232" s="58" t="str">
        <f t="shared" si="53"/>
        <v/>
      </c>
      <c r="V232" s="58" t="str">
        <f>IF($A232="","",IF(OR($B232="",$C232="",$D232="",$E232="",$F232=""),"Missing required field",IF(COUNTIFS($A$9:$A232,$A232,$B$9:$B232,$B232)&gt;1,"Duplicate event ID",IF(AND($E232&lt;&gt;IFERROR(LOOKUP(2,1/($B$9:$B$231=$B232),$E$9:$E231),0),IFERROR(LOOKUP(2,1/($B$9:$B$231=$B232),$E$9:$E231),0)&gt;$E232),"Date out of order",IF(AND(OR($F232="buy_to_close",$F232="expire",$F232="roll",$F232="assignment",$F232="called_away"),$AF232=0),"Unknown lot",IF(OR(AND($F232="assignment",$AF232&gt;0,IF($AF232&gt;0,INDEX($AG$9:$AG$231,$AF232),"")&lt;&gt;"put"),AND($F232="called_away",$AF232&gt;0,IF($AF232&gt;0,INDEX($AG$9:$AG$231,$AF232),"")&lt;&gt;"call")),"Wrong option leg",IF(OR(AND(OR($F232="sell_put",$F232="sell_call"),OR($H232&lt;=0,$I232&lt;=0,$J232&lt;0)),AND(OR($F232="buy_to_close",$F232="expire",$F232="assignment",$F232="called_away"),OR($H232&lt;=0,$J232&lt;0)),AND($F232="roll",OR($H232&lt;=0,$I232&lt;=0,$J232&lt;0,$K232&lt;0)),AND(OR($F232="buy_shares",$F232="sell_shares"),OR($L232&lt;=0,$M232&lt;0)),AND(OR($F232="dividend",$F232="fee"),$N232&lt;0)),"Invalid value",IF(AND(OR($F232="sell_shares",$F232="called_away"),$AL232&lt;IF($F232="called_away",$AE232*$D232,$L232)),"Insufficient shares (capped)",IF(AND(OR($F232="buy_to_close",$F232="expire",$F232="roll",$F232="assignment",$F232="called_away"),$AF232&gt;0,$H232&gt;IF($AF232&gt;0,MAX(0,INDEX($AI$9:$AI$231,$AF232)-SUMIFS($AE$9:$AE$231,$G$9:$G$231,$G232,$B$9:$B$231,$B232)),0)),"Close quantity capped","OK")))))))))</f>
        <v/>
      </c>
      <c r="W232" s="59" t="str">
        <f t="shared" si="54"/>
        <v/>
      </c>
      <c r="X232" s="60" t="str">
        <f t="shared" si="55"/>
        <v/>
      </c>
      <c r="Y232" s="50" t="str">
        <f t="shared" si="56"/>
        <v/>
      </c>
      <c r="Z232" s="50" t="str">
        <f t="shared" si="57"/>
        <v/>
      </c>
      <c r="AA232" s="50" t="str">
        <f t="shared" si="58"/>
        <v/>
      </c>
      <c r="AB232" s="50" t="str">
        <f t="shared" si="59"/>
        <v/>
      </c>
      <c r="AC232" s="50" t="str">
        <f>IF($A232="","",IF($F232="assignment",IF($AF232&gt;0,INDEX($AH$9:$AH$231,$AF232),0)*$AE232*$D232,IF($F232="buy_shares",$M232*$AL232,0)))</f>
        <v/>
      </c>
      <c r="AD232" s="50" t="str">
        <f>IF($A232="","",IF($F232="called_away",IF($AF232&gt;0,INDEX($AH$9:$AH$231,$AF232),0)*$AL232,IF($F232="sell_shares",$M232*$AL232,0)))</f>
        <v/>
      </c>
      <c r="AE232" s="51" t="str">
        <f>IF($A232="","",IF(OR($F232="sell_put",$F232="sell_call"),IF(AND($H232&gt;0,$I232&gt;0,$J232&gt;=0),$H232,0),IF(OR($F232="buy_to_close",$F232="expire",$F232="roll",$F232="assignment",$F232="called_away"),IF(AND($AF232&gt;0,$H232&gt;0,IF($F232="assignment",IF($AF232&gt;0,INDEX($AG$9:$AG$231,$AF232),"")="put",TRUE),IF($F232="called_away",IF($AF232&gt;0,INDEX($AG$9:$AG$231,$AF232),"")="call",TRUE)),MIN($H232,IF($AF232&gt;0,MAX(0,INDEX($AI$9:$AI$231,$AF232)-SUMIFS($AE$9:$AE$231,$G$9:$G$231,$G232,$B$9:$B$231,$B232)),0)),0),0)))</f>
        <v/>
      </c>
      <c r="AF232" t="str">
        <f>IF($A232="","",IFERROR(MATCH(LEN($B232)&amp;":"&amp;$B232&amp;$G232,$AY$9:$AY$231,0),0))</f>
        <v/>
      </c>
      <c r="AG232" t="str">
        <f>IF($A232="","",IF($F232="sell_put","put",IF($F232="sell_call","call",IF($F232="roll",IF($AF232&gt;0,IF($AF232&gt;0,INDEX($AG$9:$AG$231,$AF232),""),""),IF($AF232&gt;0,IF($AF232&gt;0,INDEX($AG$9:$AG$231,$AF232),""),"")))))</f>
        <v/>
      </c>
      <c r="AH232" t="str">
        <f>IF($A232="","",IF(OR($F232="sell_put",$F232="sell_call",$F232="roll"),$I232,IF($AF232&gt;0,IF($AF232&gt;0,INDEX($AH$9:$AH$231,$AF232),0),0)))</f>
        <v/>
      </c>
      <c r="AI232" s="51" t="str">
        <f t="shared" si="60"/>
        <v/>
      </c>
      <c r="AJ232" s="51" t="str">
        <f>IF($A232="","",IFERROR(LOOKUP(2,1/($B$9:$B$231=$B232),$AM$9:$AM231),0))</f>
        <v/>
      </c>
      <c r="AK232" t="str">
        <f>IF($A232="","",IFERROR(LOOKUP(2,1/($B$9:$B$231=$B232),$AN$9:$AN231),0))</f>
        <v/>
      </c>
      <c r="AL232" s="51" t="str">
        <f t="shared" si="61"/>
        <v/>
      </c>
      <c r="AM232" s="51" t="str">
        <f t="shared" si="62"/>
        <v/>
      </c>
      <c r="AN232" t="str">
        <f t="shared" si="63"/>
        <v/>
      </c>
      <c r="AO232" s="50" t="str">
        <f>IF($A232="","",IFERROR(LOOKUP(2,1/($B$9:$B$231=$B232),$AO$9:$AO231),0)+IF($F232="sell_put",$I232*$AE232*$D232,IF($F232="roll",IF($AG232="put",($I232-IF($AF232&gt;0,INDEX($AH$9:$AH$231,$AF232),0))*$AE232*$D232,0),IF(AND(OR($F232="buy_to_close",$F232="expire",$F232="roll",$F232="assignment",$F232="called_away"),$F232&lt;&gt;"roll",$AG232="put"),-IF($AF232&gt;0,INDEX($AH$9:$AH$231,$AF232),0)*$AE232*$D232,0))))</f>
        <v/>
      </c>
      <c r="AP232" s="51" t="str">
        <f>IF($A232="","",IFERROR(LOOKUP(2,1/($B$9:$B$231=$B232),$AP$9:$AP231),0)+IF($F232="sell_put",$AE232*$D232,IF(AND(OR($F232="buy_to_close",$F232="expire",$F232="roll",$F232="assignment",$F232="called_away"),$F232&lt;&gt;"roll",$AG232="put"),-$AE232*$D232,0)))</f>
        <v/>
      </c>
      <c r="AQ232" s="51" t="str">
        <f>IF($A232="","",IFERROR(LOOKUP(2,1/($B$9:$B$231=$B232),$AQ$9:$AQ231),0)+IF(OR($F232="sell_put",$F232="sell_call"),$AE232,0)-IF(AND(OR($F232="buy_to_close",$F232="expire",$F232="roll",$F232="assignment",$F232="called_away"),$F232&lt;&gt;"roll"),$AE232,0))</f>
        <v/>
      </c>
      <c r="AR232" t="str">
        <f t="shared" si="64"/>
        <v/>
      </c>
      <c r="AS232" s="50" t="str">
        <f t="shared" si="65"/>
        <v/>
      </c>
      <c r="AT232" s="50" t="str">
        <f>IF($A232="","",MAX(IF($T232=IFERROR(LOOKUP(2,1/($B$9:$B$231=$B232),$T$9:$T231),0),IFERROR(LOOKUP(2,1/($B$9:$B$231=$B232),$AT$9:$AT231),0),0),$AS232))</f>
        <v/>
      </c>
      <c r="AU232" t="str">
        <f t="shared" si="66"/>
        <v/>
      </c>
      <c r="AV232" s="51">
        <f>IF($AU232="",0,IF(AND(IFERROR(LOOKUP(2,1/($B$9:$B$231=$B232),$AR$9:$AR231),1),NOT(AND(OR($F232="dividend",$F232="fee"),IFERROR(LOOKUP(2,1/($B$9:$B$231=$B232),$T$9:$T231),0)&gt;0))),ROW(),0))</f>
        <v>0</v>
      </c>
      <c r="AW232">
        <f>IF($A232="",0,IF($AV232&gt;0,MAX($AW$9:$AW$231)+1,MAX($AW$9:$AW$231)))</f>
        <v>0</v>
      </c>
      <c r="AX232">
        <f>IF($AU232="",0,IF(AND($AR232,OR(NOT(IFERROR(LOOKUP(2,1/($B$9:$B$231=$B232),$AR$9:$AR231),1)),IFERROR(LOOKUP(2,1/($B$9:$B$231=$B232),$T$9:$T231),0)=0)),ROW(),0))</f>
        <v>0</v>
      </c>
      <c r="AY232" t="str">
        <f t="shared" si="67"/>
        <v/>
      </c>
    </row>
    <row r="233" spans="1:51" ht="15" x14ac:dyDescent="0.25">
      <c r="A233" s="41" t="str">
        <f>IF(Trades!$A233="","",Trades!O233)</f>
        <v/>
      </c>
      <c r="B233" s="41" t="str">
        <f>IF(Trades!$A233="","",Trades!B233)</f>
        <v/>
      </c>
      <c r="C233" s="41" t="str">
        <f>IF(Trades!$A233="","",Trades!C233)</f>
        <v/>
      </c>
      <c r="D233" s="42" t="str">
        <f>IF(Trades!$A233="","",IF(Trades!$L233&gt;0,Trades!$L233,Trades!$C$6))</f>
        <v/>
      </c>
      <c r="E233" s="43" t="str">
        <f>IF(Trades!$A233="","",Trades!A233)</f>
        <v/>
      </c>
      <c r="F233" s="41" t="str">
        <f>IF(Trades!$A233="","",IFERROR(INDEX(Trades!$V$2:$V$14,MATCH(Trades!$E233,Trades!$U$2:$U$14,0)),""))</f>
        <v/>
      </c>
      <c r="G233" s="41" t="str">
        <f>IF(Trades!$A233="","",Trades!N233)</f>
        <v/>
      </c>
      <c r="H233" s="42" t="str">
        <f>IF(Trades!$A233="","",Trades!F233)</f>
        <v/>
      </c>
      <c r="I233" s="44" t="str">
        <f>IF(Trades!$A233="","",Trades!G233)</f>
        <v/>
      </c>
      <c r="J233" s="44" t="str">
        <f>IF(Trades!$A233="","",Trades!I233)</f>
        <v/>
      </c>
      <c r="K233" s="44" t="str">
        <f>IF(Trades!$A233="","",Trades!Q233)</f>
        <v/>
      </c>
      <c r="L233" s="42" t="str">
        <f>IF(Trades!$A233="","",Trades!F233)</f>
        <v/>
      </c>
      <c r="M233" s="44" t="str">
        <f>IF(Trades!$A233="","",Trades!M233)</f>
        <v/>
      </c>
      <c r="N233" s="44" t="str">
        <f>IF(Trades!$A233="","",Trades!R233)</f>
        <v/>
      </c>
      <c r="O233" s="44" t="str">
        <f>IF(Trades!$A233="","",Trades!J233)</f>
        <v/>
      </c>
      <c r="P233" s="43" t="str">
        <f>IF(Trades!$A233="","",Trades!H233)</f>
        <v/>
      </c>
      <c r="Q233" s="41" t="str">
        <f>IF(Trades!$A233="","",Trades!P233)</f>
        <v/>
      </c>
      <c r="R233" s="45" t="str">
        <f t="shared" si="51"/>
        <v/>
      </c>
      <c r="S233" s="45" t="str">
        <f t="shared" si="52"/>
        <v/>
      </c>
      <c r="T233" s="46" t="str">
        <f>IF(OR($A233="",$B233=""),"",IF(AND(IFERROR(LOOKUP(2,1/($B$9:$B$232=$B233),$AR$9:$AR232),1),NOT(AND(OR($F233="dividend",$F233="fee"),IFERROR(LOOKUP(2,1/($B$9:$B$232=$B233),$T$9:$T232),0)&gt;0))),IFERROR(LOOKUP(2,1/($B$9:$B$232=$B233),$T$9:$T232),0)+1,IFERROR(LOOKUP(2,1/($B$9:$B$232=$B233),$T$9:$T232),0)))</f>
        <v/>
      </c>
      <c r="U233" s="47" t="str">
        <f t="shared" si="53"/>
        <v/>
      </c>
      <c r="V233" s="47" t="str">
        <f>IF($A233="","",IF(OR($B233="",$C233="",$D233="",$E233="",$F233=""),"Missing required field",IF(COUNTIFS($A$9:$A233,$A233,$B$9:$B233,$B233)&gt;1,"Duplicate event ID",IF(AND($E233&lt;&gt;IFERROR(LOOKUP(2,1/($B$9:$B$232=$B233),$E$9:$E232),0),IFERROR(LOOKUP(2,1/($B$9:$B$232=$B233),$E$9:$E232),0)&gt;$E233),"Date out of order",IF(AND(OR($F233="buy_to_close",$F233="expire",$F233="roll",$F233="assignment",$F233="called_away"),$AF233=0),"Unknown lot",IF(OR(AND($F233="assignment",$AF233&gt;0,IF($AF233&gt;0,INDEX($AG$9:$AG$232,$AF233),"")&lt;&gt;"put"),AND($F233="called_away",$AF233&gt;0,IF($AF233&gt;0,INDEX($AG$9:$AG$232,$AF233),"")&lt;&gt;"call")),"Wrong option leg",IF(OR(AND(OR($F233="sell_put",$F233="sell_call"),OR($H233&lt;=0,$I233&lt;=0,$J233&lt;0)),AND(OR($F233="buy_to_close",$F233="expire",$F233="assignment",$F233="called_away"),OR($H233&lt;=0,$J233&lt;0)),AND($F233="roll",OR($H233&lt;=0,$I233&lt;=0,$J233&lt;0,$K233&lt;0)),AND(OR($F233="buy_shares",$F233="sell_shares"),OR($L233&lt;=0,$M233&lt;0)),AND(OR($F233="dividend",$F233="fee"),$N233&lt;0)),"Invalid value",IF(AND(OR($F233="sell_shares",$F233="called_away"),$AL233&lt;IF($F233="called_away",$AE233*$D233,$L233)),"Insufficient shares (capped)",IF(AND(OR($F233="buy_to_close",$F233="expire",$F233="roll",$F233="assignment",$F233="called_away"),$AF233&gt;0,$H233&gt;IF($AF233&gt;0,MAX(0,INDEX($AI$9:$AI$232,$AF233)-SUMIFS($AE$9:$AE$232,$G$9:$G$232,$G233,$B$9:$B$232,$B233)),0)),"Close quantity capped","OK")))))))))</f>
        <v/>
      </c>
      <c r="W233" s="48" t="str">
        <f t="shared" si="54"/>
        <v/>
      </c>
      <c r="X233" s="49" t="str">
        <f t="shared" si="55"/>
        <v/>
      </c>
      <c r="Y233" s="50" t="str">
        <f t="shared" si="56"/>
        <v/>
      </c>
      <c r="Z233" s="50" t="str">
        <f t="shared" si="57"/>
        <v/>
      </c>
      <c r="AA233" s="50" t="str">
        <f t="shared" si="58"/>
        <v/>
      </c>
      <c r="AB233" s="50" t="str">
        <f t="shared" si="59"/>
        <v/>
      </c>
      <c r="AC233" s="50" t="str">
        <f>IF($A233="","",IF($F233="assignment",IF($AF233&gt;0,INDEX($AH$9:$AH$232,$AF233),0)*$AE233*$D233,IF($F233="buy_shares",$M233*$AL233,0)))</f>
        <v/>
      </c>
      <c r="AD233" s="50" t="str">
        <f>IF($A233="","",IF($F233="called_away",IF($AF233&gt;0,INDEX($AH$9:$AH$232,$AF233),0)*$AL233,IF($F233="sell_shares",$M233*$AL233,0)))</f>
        <v/>
      </c>
      <c r="AE233" s="51" t="str">
        <f>IF($A233="","",IF(OR($F233="sell_put",$F233="sell_call"),IF(AND($H233&gt;0,$I233&gt;0,$J233&gt;=0),$H233,0),IF(OR($F233="buy_to_close",$F233="expire",$F233="roll",$F233="assignment",$F233="called_away"),IF(AND($AF233&gt;0,$H233&gt;0,IF($F233="assignment",IF($AF233&gt;0,INDEX($AG$9:$AG$232,$AF233),"")="put",TRUE),IF($F233="called_away",IF($AF233&gt;0,INDEX($AG$9:$AG$232,$AF233),"")="call",TRUE)),MIN($H233,IF($AF233&gt;0,MAX(0,INDEX($AI$9:$AI$232,$AF233)-SUMIFS($AE$9:$AE$232,$G$9:$G$232,$G233,$B$9:$B$232,$B233)),0)),0),0)))</f>
        <v/>
      </c>
      <c r="AF233" t="str">
        <f>IF($A233="","",IFERROR(MATCH(LEN($B233)&amp;":"&amp;$B233&amp;$G233,$AY$9:$AY$232,0),0))</f>
        <v/>
      </c>
      <c r="AG233" t="str">
        <f>IF($A233="","",IF($F233="sell_put","put",IF($F233="sell_call","call",IF($F233="roll",IF($AF233&gt;0,IF($AF233&gt;0,INDEX($AG$9:$AG$232,$AF233),""),""),IF($AF233&gt;0,IF($AF233&gt;0,INDEX($AG$9:$AG$232,$AF233),""),"")))))</f>
        <v/>
      </c>
      <c r="AH233" t="str">
        <f>IF($A233="","",IF(OR($F233="sell_put",$F233="sell_call",$F233="roll"),$I233,IF($AF233&gt;0,IF($AF233&gt;0,INDEX($AH$9:$AH$232,$AF233),0),0)))</f>
        <v/>
      </c>
      <c r="AI233" s="51" t="str">
        <f t="shared" si="60"/>
        <v/>
      </c>
      <c r="AJ233" s="51" t="str">
        <f>IF($A233="","",IFERROR(LOOKUP(2,1/($B$9:$B$232=$B233),$AM$9:$AM232),0))</f>
        <v/>
      </c>
      <c r="AK233" t="str">
        <f>IF($A233="","",IFERROR(LOOKUP(2,1/($B$9:$B$232=$B233),$AN$9:$AN232),0))</f>
        <v/>
      </c>
      <c r="AL233" s="51" t="str">
        <f t="shared" si="61"/>
        <v/>
      </c>
      <c r="AM233" s="51" t="str">
        <f t="shared" si="62"/>
        <v/>
      </c>
      <c r="AN233" t="str">
        <f t="shared" si="63"/>
        <v/>
      </c>
      <c r="AO233" s="50" t="str">
        <f>IF($A233="","",IFERROR(LOOKUP(2,1/($B$9:$B$232=$B233),$AO$9:$AO232),0)+IF($F233="sell_put",$I233*$AE233*$D233,IF($F233="roll",IF($AG233="put",($I233-IF($AF233&gt;0,INDEX($AH$9:$AH$232,$AF233),0))*$AE233*$D233,0),IF(AND(OR($F233="buy_to_close",$F233="expire",$F233="roll",$F233="assignment",$F233="called_away"),$F233&lt;&gt;"roll",$AG233="put"),-IF($AF233&gt;0,INDEX($AH$9:$AH$232,$AF233),0)*$AE233*$D233,0))))</f>
        <v/>
      </c>
      <c r="AP233" s="51" t="str">
        <f>IF($A233="","",IFERROR(LOOKUP(2,1/($B$9:$B$232=$B233),$AP$9:$AP232),0)+IF($F233="sell_put",$AE233*$D233,IF(AND(OR($F233="buy_to_close",$F233="expire",$F233="roll",$F233="assignment",$F233="called_away"),$F233&lt;&gt;"roll",$AG233="put"),-$AE233*$D233,0)))</f>
        <v/>
      </c>
      <c r="AQ233" s="51" t="str">
        <f>IF($A233="","",IFERROR(LOOKUP(2,1/($B$9:$B$232=$B233),$AQ$9:$AQ232),0)+IF(OR($F233="sell_put",$F233="sell_call"),$AE233,0)-IF(AND(OR($F233="buy_to_close",$F233="expire",$F233="roll",$F233="assignment",$F233="called_away"),$F233&lt;&gt;"roll"),$AE233,0))</f>
        <v/>
      </c>
      <c r="AR233" t="str">
        <f t="shared" si="64"/>
        <v/>
      </c>
      <c r="AS233" s="50" t="str">
        <f t="shared" si="65"/>
        <v/>
      </c>
      <c r="AT233" s="50" t="str">
        <f>IF($A233="","",MAX(IF($T233=IFERROR(LOOKUP(2,1/($B$9:$B$232=$B233),$T$9:$T232),0),IFERROR(LOOKUP(2,1/($B$9:$B$232=$B233),$AT$9:$AT232),0),0),$AS233))</f>
        <v/>
      </c>
      <c r="AU233" t="str">
        <f t="shared" si="66"/>
        <v/>
      </c>
      <c r="AV233" s="51">
        <f>IF($AU233="",0,IF(AND(IFERROR(LOOKUP(2,1/($B$9:$B$232=$B233),$AR$9:$AR232),1),NOT(AND(OR($F233="dividend",$F233="fee"),IFERROR(LOOKUP(2,1/($B$9:$B$232=$B233),$T$9:$T232),0)&gt;0))),ROW(),0))</f>
        <v>0</v>
      </c>
      <c r="AW233">
        <f>IF($A233="",0,IF($AV233&gt;0,MAX($AW$9:$AW$232)+1,MAX($AW$9:$AW$232)))</f>
        <v>0</v>
      </c>
      <c r="AX233">
        <f>IF($AU233="",0,IF(AND($AR233,OR(NOT(IFERROR(LOOKUP(2,1/($B$9:$B$232=$B233),$AR$9:$AR232),1)),IFERROR(LOOKUP(2,1/($B$9:$B$232=$B233),$T$9:$T232),0)=0)),ROW(),0))</f>
        <v>0</v>
      </c>
      <c r="AY233" t="str">
        <f t="shared" si="67"/>
        <v/>
      </c>
    </row>
    <row r="234" spans="1:51" ht="15" x14ac:dyDescent="0.25">
      <c r="A234" s="52" t="str">
        <f>IF(Trades!$A234="","",Trades!O234)</f>
        <v/>
      </c>
      <c r="B234" s="52" t="str">
        <f>IF(Trades!$A234="","",Trades!B234)</f>
        <v/>
      </c>
      <c r="C234" s="52" t="str">
        <f>IF(Trades!$A234="","",Trades!C234)</f>
        <v/>
      </c>
      <c r="D234" s="53" t="str">
        <f>IF(Trades!$A234="","",IF(Trades!$L234&gt;0,Trades!$L234,Trades!$C$6))</f>
        <v/>
      </c>
      <c r="E234" s="54" t="str">
        <f>IF(Trades!$A234="","",Trades!A234)</f>
        <v/>
      </c>
      <c r="F234" s="52" t="str">
        <f>IF(Trades!$A234="","",IFERROR(INDEX(Trades!$V$2:$V$14,MATCH(Trades!$E234,Trades!$U$2:$U$14,0)),""))</f>
        <v/>
      </c>
      <c r="G234" s="52" t="str">
        <f>IF(Trades!$A234="","",Trades!N234)</f>
        <v/>
      </c>
      <c r="H234" s="53" t="str">
        <f>IF(Trades!$A234="","",Trades!F234)</f>
        <v/>
      </c>
      <c r="I234" s="55" t="str">
        <f>IF(Trades!$A234="","",Trades!G234)</f>
        <v/>
      </c>
      <c r="J234" s="55" t="str">
        <f>IF(Trades!$A234="","",Trades!I234)</f>
        <v/>
      </c>
      <c r="K234" s="55" t="str">
        <f>IF(Trades!$A234="","",Trades!Q234)</f>
        <v/>
      </c>
      <c r="L234" s="53" t="str">
        <f>IF(Trades!$A234="","",Trades!F234)</f>
        <v/>
      </c>
      <c r="M234" s="55" t="str">
        <f>IF(Trades!$A234="","",Trades!M234)</f>
        <v/>
      </c>
      <c r="N234" s="55" t="str">
        <f>IF(Trades!$A234="","",Trades!R234)</f>
        <v/>
      </c>
      <c r="O234" s="55" t="str">
        <f>IF(Trades!$A234="","",Trades!J234)</f>
        <v/>
      </c>
      <c r="P234" s="54" t="str">
        <f>IF(Trades!$A234="","",Trades!H234)</f>
        <v/>
      </c>
      <c r="Q234" s="52" t="str">
        <f>IF(Trades!$A234="","",Trades!P234)</f>
        <v/>
      </c>
      <c r="R234" s="56" t="str">
        <f t="shared" si="51"/>
        <v/>
      </c>
      <c r="S234" s="56" t="str">
        <f t="shared" si="52"/>
        <v/>
      </c>
      <c r="T234" s="57" t="str">
        <f>IF(OR($A234="",$B234=""),"",IF(AND(IFERROR(LOOKUP(2,1/($B$9:$B$233=$B234),$AR$9:$AR233),1),NOT(AND(OR($F234="dividend",$F234="fee"),IFERROR(LOOKUP(2,1/($B$9:$B$233=$B234),$T$9:$T233),0)&gt;0))),IFERROR(LOOKUP(2,1/($B$9:$B$233=$B234),$T$9:$T233),0)+1,IFERROR(LOOKUP(2,1/($B$9:$B$233=$B234),$T$9:$T233),0)))</f>
        <v/>
      </c>
      <c r="U234" s="58" t="str">
        <f t="shared" si="53"/>
        <v/>
      </c>
      <c r="V234" s="58" t="str">
        <f>IF($A234="","",IF(OR($B234="",$C234="",$D234="",$E234="",$F234=""),"Missing required field",IF(COUNTIFS($A$9:$A234,$A234,$B$9:$B234,$B234)&gt;1,"Duplicate event ID",IF(AND($E234&lt;&gt;IFERROR(LOOKUP(2,1/($B$9:$B$233=$B234),$E$9:$E233),0),IFERROR(LOOKUP(2,1/($B$9:$B$233=$B234),$E$9:$E233),0)&gt;$E234),"Date out of order",IF(AND(OR($F234="buy_to_close",$F234="expire",$F234="roll",$F234="assignment",$F234="called_away"),$AF234=0),"Unknown lot",IF(OR(AND($F234="assignment",$AF234&gt;0,IF($AF234&gt;0,INDEX($AG$9:$AG$233,$AF234),"")&lt;&gt;"put"),AND($F234="called_away",$AF234&gt;0,IF($AF234&gt;0,INDEX($AG$9:$AG$233,$AF234),"")&lt;&gt;"call")),"Wrong option leg",IF(OR(AND(OR($F234="sell_put",$F234="sell_call"),OR($H234&lt;=0,$I234&lt;=0,$J234&lt;0)),AND(OR($F234="buy_to_close",$F234="expire",$F234="assignment",$F234="called_away"),OR($H234&lt;=0,$J234&lt;0)),AND($F234="roll",OR($H234&lt;=0,$I234&lt;=0,$J234&lt;0,$K234&lt;0)),AND(OR($F234="buy_shares",$F234="sell_shares"),OR($L234&lt;=0,$M234&lt;0)),AND(OR($F234="dividend",$F234="fee"),$N234&lt;0)),"Invalid value",IF(AND(OR($F234="sell_shares",$F234="called_away"),$AL234&lt;IF($F234="called_away",$AE234*$D234,$L234)),"Insufficient shares (capped)",IF(AND(OR($F234="buy_to_close",$F234="expire",$F234="roll",$F234="assignment",$F234="called_away"),$AF234&gt;0,$H234&gt;IF($AF234&gt;0,MAX(0,INDEX($AI$9:$AI$233,$AF234)-SUMIFS($AE$9:$AE$233,$G$9:$G$233,$G234,$B$9:$B$233,$B234)),0)),"Close quantity capped","OK")))))))))</f>
        <v/>
      </c>
      <c r="W234" s="59" t="str">
        <f t="shared" si="54"/>
        <v/>
      </c>
      <c r="X234" s="60" t="str">
        <f t="shared" si="55"/>
        <v/>
      </c>
      <c r="Y234" s="50" t="str">
        <f t="shared" si="56"/>
        <v/>
      </c>
      <c r="Z234" s="50" t="str">
        <f t="shared" si="57"/>
        <v/>
      </c>
      <c r="AA234" s="50" t="str">
        <f t="shared" si="58"/>
        <v/>
      </c>
      <c r="AB234" s="50" t="str">
        <f t="shared" si="59"/>
        <v/>
      </c>
      <c r="AC234" s="50" t="str">
        <f>IF($A234="","",IF($F234="assignment",IF($AF234&gt;0,INDEX($AH$9:$AH$233,$AF234),0)*$AE234*$D234,IF($F234="buy_shares",$M234*$AL234,0)))</f>
        <v/>
      </c>
      <c r="AD234" s="50" t="str">
        <f>IF($A234="","",IF($F234="called_away",IF($AF234&gt;0,INDEX($AH$9:$AH$233,$AF234),0)*$AL234,IF($F234="sell_shares",$M234*$AL234,0)))</f>
        <v/>
      </c>
      <c r="AE234" s="51" t="str">
        <f>IF($A234="","",IF(OR($F234="sell_put",$F234="sell_call"),IF(AND($H234&gt;0,$I234&gt;0,$J234&gt;=0),$H234,0),IF(OR($F234="buy_to_close",$F234="expire",$F234="roll",$F234="assignment",$F234="called_away"),IF(AND($AF234&gt;0,$H234&gt;0,IF($F234="assignment",IF($AF234&gt;0,INDEX($AG$9:$AG$233,$AF234),"")="put",TRUE),IF($F234="called_away",IF($AF234&gt;0,INDEX($AG$9:$AG$233,$AF234),"")="call",TRUE)),MIN($H234,IF($AF234&gt;0,MAX(0,INDEX($AI$9:$AI$233,$AF234)-SUMIFS($AE$9:$AE$233,$G$9:$G$233,$G234,$B$9:$B$233,$B234)),0)),0),0)))</f>
        <v/>
      </c>
      <c r="AF234" t="str">
        <f>IF($A234="","",IFERROR(MATCH(LEN($B234)&amp;":"&amp;$B234&amp;$G234,$AY$9:$AY$233,0),0))</f>
        <v/>
      </c>
      <c r="AG234" t="str">
        <f>IF($A234="","",IF($F234="sell_put","put",IF($F234="sell_call","call",IF($F234="roll",IF($AF234&gt;0,IF($AF234&gt;0,INDEX($AG$9:$AG$233,$AF234),""),""),IF($AF234&gt;0,IF($AF234&gt;0,INDEX($AG$9:$AG$233,$AF234),""),"")))))</f>
        <v/>
      </c>
      <c r="AH234" t="str">
        <f>IF($A234="","",IF(OR($F234="sell_put",$F234="sell_call",$F234="roll"),$I234,IF($AF234&gt;0,IF($AF234&gt;0,INDEX($AH$9:$AH$233,$AF234),0),0)))</f>
        <v/>
      </c>
      <c r="AI234" s="51" t="str">
        <f t="shared" si="60"/>
        <v/>
      </c>
      <c r="AJ234" s="51" t="str">
        <f>IF($A234="","",IFERROR(LOOKUP(2,1/($B$9:$B$233=$B234),$AM$9:$AM233),0))</f>
        <v/>
      </c>
      <c r="AK234" t="str">
        <f>IF($A234="","",IFERROR(LOOKUP(2,1/($B$9:$B$233=$B234),$AN$9:$AN233),0))</f>
        <v/>
      </c>
      <c r="AL234" s="51" t="str">
        <f t="shared" si="61"/>
        <v/>
      </c>
      <c r="AM234" s="51" t="str">
        <f t="shared" si="62"/>
        <v/>
      </c>
      <c r="AN234" t="str">
        <f t="shared" si="63"/>
        <v/>
      </c>
      <c r="AO234" s="50" t="str">
        <f>IF($A234="","",IFERROR(LOOKUP(2,1/($B$9:$B$233=$B234),$AO$9:$AO233),0)+IF($F234="sell_put",$I234*$AE234*$D234,IF($F234="roll",IF($AG234="put",($I234-IF($AF234&gt;0,INDEX($AH$9:$AH$233,$AF234),0))*$AE234*$D234,0),IF(AND(OR($F234="buy_to_close",$F234="expire",$F234="roll",$F234="assignment",$F234="called_away"),$F234&lt;&gt;"roll",$AG234="put"),-IF($AF234&gt;0,INDEX($AH$9:$AH$233,$AF234),0)*$AE234*$D234,0))))</f>
        <v/>
      </c>
      <c r="AP234" s="51" t="str">
        <f>IF($A234="","",IFERROR(LOOKUP(2,1/($B$9:$B$233=$B234),$AP$9:$AP233),0)+IF($F234="sell_put",$AE234*$D234,IF(AND(OR($F234="buy_to_close",$F234="expire",$F234="roll",$F234="assignment",$F234="called_away"),$F234&lt;&gt;"roll",$AG234="put"),-$AE234*$D234,0)))</f>
        <v/>
      </c>
      <c r="AQ234" s="51" t="str">
        <f>IF($A234="","",IFERROR(LOOKUP(2,1/($B$9:$B$233=$B234),$AQ$9:$AQ233),0)+IF(OR($F234="sell_put",$F234="sell_call"),$AE234,0)-IF(AND(OR($F234="buy_to_close",$F234="expire",$F234="roll",$F234="assignment",$F234="called_away"),$F234&lt;&gt;"roll"),$AE234,0))</f>
        <v/>
      </c>
      <c r="AR234" t="str">
        <f t="shared" si="64"/>
        <v/>
      </c>
      <c r="AS234" s="50" t="str">
        <f t="shared" si="65"/>
        <v/>
      </c>
      <c r="AT234" s="50" t="str">
        <f>IF($A234="","",MAX(IF($T234=IFERROR(LOOKUP(2,1/($B$9:$B$233=$B234),$T$9:$T233),0),IFERROR(LOOKUP(2,1/($B$9:$B$233=$B234),$AT$9:$AT233),0),0),$AS234))</f>
        <v/>
      </c>
      <c r="AU234" t="str">
        <f t="shared" si="66"/>
        <v/>
      </c>
      <c r="AV234" s="51">
        <f>IF($AU234="",0,IF(AND(IFERROR(LOOKUP(2,1/($B$9:$B$233=$B234),$AR$9:$AR233),1),NOT(AND(OR($F234="dividend",$F234="fee"),IFERROR(LOOKUP(2,1/($B$9:$B$233=$B234),$T$9:$T233),0)&gt;0))),ROW(),0))</f>
        <v>0</v>
      </c>
      <c r="AW234">
        <f>IF($A234="",0,IF($AV234&gt;0,MAX($AW$9:$AW$233)+1,MAX($AW$9:$AW$233)))</f>
        <v>0</v>
      </c>
      <c r="AX234">
        <f>IF($AU234="",0,IF(AND($AR234,OR(NOT(IFERROR(LOOKUP(2,1/($B$9:$B$233=$B234),$AR$9:$AR233),1)),IFERROR(LOOKUP(2,1/($B$9:$B$233=$B234),$T$9:$T233),0)=0)),ROW(),0))</f>
        <v>0</v>
      </c>
      <c r="AY234" t="str">
        <f t="shared" si="67"/>
        <v/>
      </c>
    </row>
    <row r="235" spans="1:51" ht="15" x14ac:dyDescent="0.25">
      <c r="A235" s="41" t="str">
        <f>IF(Trades!$A235="","",Trades!O235)</f>
        <v/>
      </c>
      <c r="B235" s="41" t="str">
        <f>IF(Trades!$A235="","",Trades!B235)</f>
        <v/>
      </c>
      <c r="C235" s="41" t="str">
        <f>IF(Trades!$A235="","",Trades!C235)</f>
        <v/>
      </c>
      <c r="D235" s="42" t="str">
        <f>IF(Trades!$A235="","",IF(Trades!$L235&gt;0,Trades!$L235,Trades!$C$6))</f>
        <v/>
      </c>
      <c r="E235" s="43" t="str">
        <f>IF(Trades!$A235="","",Trades!A235)</f>
        <v/>
      </c>
      <c r="F235" s="41" t="str">
        <f>IF(Trades!$A235="","",IFERROR(INDEX(Trades!$V$2:$V$14,MATCH(Trades!$E235,Trades!$U$2:$U$14,0)),""))</f>
        <v/>
      </c>
      <c r="G235" s="41" t="str">
        <f>IF(Trades!$A235="","",Trades!N235)</f>
        <v/>
      </c>
      <c r="H235" s="42" t="str">
        <f>IF(Trades!$A235="","",Trades!F235)</f>
        <v/>
      </c>
      <c r="I235" s="44" t="str">
        <f>IF(Trades!$A235="","",Trades!G235)</f>
        <v/>
      </c>
      <c r="J235" s="44" t="str">
        <f>IF(Trades!$A235="","",Trades!I235)</f>
        <v/>
      </c>
      <c r="K235" s="44" t="str">
        <f>IF(Trades!$A235="","",Trades!Q235)</f>
        <v/>
      </c>
      <c r="L235" s="42" t="str">
        <f>IF(Trades!$A235="","",Trades!F235)</f>
        <v/>
      </c>
      <c r="M235" s="44" t="str">
        <f>IF(Trades!$A235="","",Trades!M235)</f>
        <v/>
      </c>
      <c r="N235" s="44" t="str">
        <f>IF(Trades!$A235="","",Trades!R235)</f>
        <v/>
      </c>
      <c r="O235" s="44" t="str">
        <f>IF(Trades!$A235="","",Trades!J235)</f>
        <v/>
      </c>
      <c r="P235" s="43" t="str">
        <f>IF(Trades!$A235="","",Trades!H235)</f>
        <v/>
      </c>
      <c r="Q235" s="41" t="str">
        <f>IF(Trades!$A235="","",Trades!P235)</f>
        <v/>
      </c>
      <c r="R235" s="45" t="str">
        <f t="shared" si="51"/>
        <v/>
      </c>
      <c r="S235" s="45" t="str">
        <f t="shared" si="52"/>
        <v/>
      </c>
      <c r="T235" s="46" t="str">
        <f>IF(OR($A235="",$B235=""),"",IF(AND(IFERROR(LOOKUP(2,1/($B$9:$B$234=$B235),$AR$9:$AR234),1),NOT(AND(OR($F235="dividend",$F235="fee"),IFERROR(LOOKUP(2,1/($B$9:$B$234=$B235),$T$9:$T234),0)&gt;0))),IFERROR(LOOKUP(2,1/($B$9:$B$234=$B235),$T$9:$T234),0)+1,IFERROR(LOOKUP(2,1/($B$9:$B$234=$B235),$T$9:$T234),0)))</f>
        <v/>
      </c>
      <c r="U235" s="47" t="str">
        <f t="shared" si="53"/>
        <v/>
      </c>
      <c r="V235" s="47" t="str">
        <f>IF($A235="","",IF(OR($B235="",$C235="",$D235="",$E235="",$F235=""),"Missing required field",IF(COUNTIFS($A$9:$A235,$A235,$B$9:$B235,$B235)&gt;1,"Duplicate event ID",IF(AND($E235&lt;&gt;IFERROR(LOOKUP(2,1/($B$9:$B$234=$B235),$E$9:$E234),0),IFERROR(LOOKUP(2,1/($B$9:$B$234=$B235),$E$9:$E234),0)&gt;$E235),"Date out of order",IF(AND(OR($F235="buy_to_close",$F235="expire",$F235="roll",$F235="assignment",$F235="called_away"),$AF235=0),"Unknown lot",IF(OR(AND($F235="assignment",$AF235&gt;0,IF($AF235&gt;0,INDEX($AG$9:$AG$234,$AF235),"")&lt;&gt;"put"),AND($F235="called_away",$AF235&gt;0,IF($AF235&gt;0,INDEX($AG$9:$AG$234,$AF235),"")&lt;&gt;"call")),"Wrong option leg",IF(OR(AND(OR($F235="sell_put",$F235="sell_call"),OR($H235&lt;=0,$I235&lt;=0,$J235&lt;0)),AND(OR($F235="buy_to_close",$F235="expire",$F235="assignment",$F235="called_away"),OR($H235&lt;=0,$J235&lt;0)),AND($F235="roll",OR($H235&lt;=0,$I235&lt;=0,$J235&lt;0,$K235&lt;0)),AND(OR($F235="buy_shares",$F235="sell_shares"),OR($L235&lt;=0,$M235&lt;0)),AND(OR($F235="dividend",$F235="fee"),$N235&lt;0)),"Invalid value",IF(AND(OR($F235="sell_shares",$F235="called_away"),$AL235&lt;IF($F235="called_away",$AE235*$D235,$L235)),"Insufficient shares (capped)",IF(AND(OR($F235="buy_to_close",$F235="expire",$F235="roll",$F235="assignment",$F235="called_away"),$AF235&gt;0,$H235&gt;IF($AF235&gt;0,MAX(0,INDEX($AI$9:$AI$234,$AF235)-SUMIFS($AE$9:$AE$234,$G$9:$G$234,$G235,$B$9:$B$234,$B235)),0)),"Close quantity capped","OK")))))))))</f>
        <v/>
      </c>
      <c r="W235" s="48" t="str">
        <f t="shared" si="54"/>
        <v/>
      </c>
      <c r="X235" s="49" t="str">
        <f t="shared" si="55"/>
        <v/>
      </c>
      <c r="Y235" s="50" t="str">
        <f t="shared" si="56"/>
        <v/>
      </c>
      <c r="Z235" s="50" t="str">
        <f t="shared" si="57"/>
        <v/>
      </c>
      <c r="AA235" s="50" t="str">
        <f t="shared" si="58"/>
        <v/>
      </c>
      <c r="AB235" s="50" t="str">
        <f t="shared" si="59"/>
        <v/>
      </c>
      <c r="AC235" s="50" t="str">
        <f>IF($A235="","",IF($F235="assignment",IF($AF235&gt;0,INDEX($AH$9:$AH$234,$AF235),0)*$AE235*$D235,IF($F235="buy_shares",$M235*$AL235,0)))</f>
        <v/>
      </c>
      <c r="AD235" s="50" t="str">
        <f>IF($A235="","",IF($F235="called_away",IF($AF235&gt;0,INDEX($AH$9:$AH$234,$AF235),0)*$AL235,IF($F235="sell_shares",$M235*$AL235,0)))</f>
        <v/>
      </c>
      <c r="AE235" s="51" t="str">
        <f>IF($A235="","",IF(OR($F235="sell_put",$F235="sell_call"),IF(AND($H235&gt;0,$I235&gt;0,$J235&gt;=0),$H235,0),IF(OR($F235="buy_to_close",$F235="expire",$F235="roll",$F235="assignment",$F235="called_away"),IF(AND($AF235&gt;0,$H235&gt;0,IF($F235="assignment",IF($AF235&gt;0,INDEX($AG$9:$AG$234,$AF235),"")="put",TRUE),IF($F235="called_away",IF($AF235&gt;0,INDEX($AG$9:$AG$234,$AF235),"")="call",TRUE)),MIN($H235,IF($AF235&gt;0,MAX(0,INDEX($AI$9:$AI$234,$AF235)-SUMIFS($AE$9:$AE$234,$G$9:$G$234,$G235,$B$9:$B$234,$B235)),0)),0),0)))</f>
        <v/>
      </c>
      <c r="AF235" t="str">
        <f>IF($A235="","",IFERROR(MATCH(LEN($B235)&amp;":"&amp;$B235&amp;$G235,$AY$9:$AY$234,0),0))</f>
        <v/>
      </c>
      <c r="AG235" t="str">
        <f>IF($A235="","",IF($F235="sell_put","put",IF($F235="sell_call","call",IF($F235="roll",IF($AF235&gt;0,IF($AF235&gt;0,INDEX($AG$9:$AG$234,$AF235),""),""),IF($AF235&gt;0,IF($AF235&gt;0,INDEX($AG$9:$AG$234,$AF235),""),"")))))</f>
        <v/>
      </c>
      <c r="AH235" t="str">
        <f>IF($A235="","",IF(OR($F235="sell_put",$F235="sell_call",$F235="roll"),$I235,IF($AF235&gt;0,IF($AF235&gt;0,INDEX($AH$9:$AH$234,$AF235),0),0)))</f>
        <v/>
      </c>
      <c r="AI235" s="51" t="str">
        <f t="shared" si="60"/>
        <v/>
      </c>
      <c r="AJ235" s="51" t="str">
        <f>IF($A235="","",IFERROR(LOOKUP(2,1/($B$9:$B$234=$B235),$AM$9:$AM234),0))</f>
        <v/>
      </c>
      <c r="AK235" t="str">
        <f>IF($A235="","",IFERROR(LOOKUP(2,1/($B$9:$B$234=$B235),$AN$9:$AN234),0))</f>
        <v/>
      </c>
      <c r="AL235" s="51" t="str">
        <f t="shared" si="61"/>
        <v/>
      </c>
      <c r="AM235" s="51" t="str">
        <f t="shared" si="62"/>
        <v/>
      </c>
      <c r="AN235" t="str">
        <f t="shared" si="63"/>
        <v/>
      </c>
      <c r="AO235" s="50" t="str">
        <f>IF($A235="","",IFERROR(LOOKUP(2,1/($B$9:$B$234=$B235),$AO$9:$AO234),0)+IF($F235="sell_put",$I235*$AE235*$D235,IF($F235="roll",IF($AG235="put",($I235-IF($AF235&gt;0,INDEX($AH$9:$AH$234,$AF235),0))*$AE235*$D235,0),IF(AND(OR($F235="buy_to_close",$F235="expire",$F235="roll",$F235="assignment",$F235="called_away"),$F235&lt;&gt;"roll",$AG235="put"),-IF($AF235&gt;0,INDEX($AH$9:$AH$234,$AF235),0)*$AE235*$D235,0))))</f>
        <v/>
      </c>
      <c r="AP235" s="51" t="str">
        <f>IF($A235="","",IFERROR(LOOKUP(2,1/($B$9:$B$234=$B235),$AP$9:$AP234),0)+IF($F235="sell_put",$AE235*$D235,IF(AND(OR($F235="buy_to_close",$F235="expire",$F235="roll",$F235="assignment",$F235="called_away"),$F235&lt;&gt;"roll",$AG235="put"),-$AE235*$D235,0)))</f>
        <v/>
      </c>
      <c r="AQ235" s="51" t="str">
        <f>IF($A235="","",IFERROR(LOOKUP(2,1/($B$9:$B$234=$B235),$AQ$9:$AQ234),0)+IF(OR($F235="sell_put",$F235="sell_call"),$AE235,0)-IF(AND(OR($F235="buy_to_close",$F235="expire",$F235="roll",$F235="assignment",$F235="called_away"),$F235&lt;&gt;"roll"),$AE235,0))</f>
        <v/>
      </c>
      <c r="AR235" t="str">
        <f t="shared" si="64"/>
        <v/>
      </c>
      <c r="AS235" s="50" t="str">
        <f t="shared" si="65"/>
        <v/>
      </c>
      <c r="AT235" s="50" t="str">
        <f>IF($A235="","",MAX(IF($T235=IFERROR(LOOKUP(2,1/($B$9:$B$234=$B235),$T$9:$T234),0),IFERROR(LOOKUP(2,1/($B$9:$B$234=$B235),$AT$9:$AT234),0),0),$AS235))</f>
        <v/>
      </c>
      <c r="AU235" t="str">
        <f t="shared" si="66"/>
        <v/>
      </c>
      <c r="AV235" s="51">
        <f>IF($AU235="",0,IF(AND(IFERROR(LOOKUP(2,1/($B$9:$B$234=$B235),$AR$9:$AR234),1),NOT(AND(OR($F235="dividend",$F235="fee"),IFERROR(LOOKUP(2,1/($B$9:$B$234=$B235),$T$9:$T234),0)&gt;0))),ROW(),0))</f>
        <v>0</v>
      </c>
      <c r="AW235">
        <f>IF($A235="",0,IF($AV235&gt;0,MAX($AW$9:$AW$234)+1,MAX($AW$9:$AW$234)))</f>
        <v>0</v>
      </c>
      <c r="AX235">
        <f>IF($AU235="",0,IF(AND($AR235,OR(NOT(IFERROR(LOOKUP(2,1/($B$9:$B$234=$B235),$AR$9:$AR234),1)),IFERROR(LOOKUP(2,1/($B$9:$B$234=$B235),$T$9:$T234),0)=0)),ROW(),0))</f>
        <v>0</v>
      </c>
      <c r="AY235" t="str">
        <f t="shared" si="67"/>
        <v/>
      </c>
    </row>
    <row r="236" spans="1:51" ht="15" x14ac:dyDescent="0.25">
      <c r="A236" s="52" t="str">
        <f>IF(Trades!$A236="","",Trades!O236)</f>
        <v/>
      </c>
      <c r="B236" s="52" t="str">
        <f>IF(Trades!$A236="","",Trades!B236)</f>
        <v/>
      </c>
      <c r="C236" s="52" t="str">
        <f>IF(Trades!$A236="","",Trades!C236)</f>
        <v/>
      </c>
      <c r="D236" s="53" t="str">
        <f>IF(Trades!$A236="","",IF(Trades!$L236&gt;0,Trades!$L236,Trades!$C$6))</f>
        <v/>
      </c>
      <c r="E236" s="54" t="str">
        <f>IF(Trades!$A236="","",Trades!A236)</f>
        <v/>
      </c>
      <c r="F236" s="52" t="str">
        <f>IF(Trades!$A236="","",IFERROR(INDEX(Trades!$V$2:$V$14,MATCH(Trades!$E236,Trades!$U$2:$U$14,0)),""))</f>
        <v/>
      </c>
      <c r="G236" s="52" t="str">
        <f>IF(Trades!$A236="","",Trades!N236)</f>
        <v/>
      </c>
      <c r="H236" s="53" t="str">
        <f>IF(Trades!$A236="","",Trades!F236)</f>
        <v/>
      </c>
      <c r="I236" s="55" t="str">
        <f>IF(Trades!$A236="","",Trades!G236)</f>
        <v/>
      </c>
      <c r="J236" s="55" t="str">
        <f>IF(Trades!$A236="","",Trades!I236)</f>
        <v/>
      </c>
      <c r="K236" s="55" t="str">
        <f>IF(Trades!$A236="","",Trades!Q236)</f>
        <v/>
      </c>
      <c r="L236" s="53" t="str">
        <f>IF(Trades!$A236="","",Trades!F236)</f>
        <v/>
      </c>
      <c r="M236" s="55" t="str">
        <f>IF(Trades!$A236="","",Trades!M236)</f>
        <v/>
      </c>
      <c r="N236" s="55" t="str">
        <f>IF(Trades!$A236="","",Trades!R236)</f>
        <v/>
      </c>
      <c r="O236" s="55" t="str">
        <f>IF(Trades!$A236="","",Trades!J236)</f>
        <v/>
      </c>
      <c r="P236" s="54" t="str">
        <f>IF(Trades!$A236="","",Trades!H236)</f>
        <v/>
      </c>
      <c r="Q236" s="52" t="str">
        <f>IF(Trades!$A236="","",Trades!P236)</f>
        <v/>
      </c>
      <c r="R236" s="56" t="str">
        <f t="shared" si="51"/>
        <v/>
      </c>
      <c r="S236" s="56" t="str">
        <f t="shared" si="52"/>
        <v/>
      </c>
      <c r="T236" s="57" t="str">
        <f>IF(OR($A236="",$B236=""),"",IF(AND(IFERROR(LOOKUP(2,1/($B$9:$B$235=$B236),$AR$9:$AR235),1),NOT(AND(OR($F236="dividend",$F236="fee"),IFERROR(LOOKUP(2,1/($B$9:$B$235=$B236),$T$9:$T235),0)&gt;0))),IFERROR(LOOKUP(2,1/($B$9:$B$235=$B236),$T$9:$T235),0)+1,IFERROR(LOOKUP(2,1/($B$9:$B$235=$B236),$T$9:$T235),0)))</f>
        <v/>
      </c>
      <c r="U236" s="58" t="str">
        <f t="shared" si="53"/>
        <v/>
      </c>
      <c r="V236" s="58" t="str">
        <f>IF($A236="","",IF(OR($B236="",$C236="",$D236="",$E236="",$F236=""),"Missing required field",IF(COUNTIFS($A$9:$A236,$A236,$B$9:$B236,$B236)&gt;1,"Duplicate event ID",IF(AND($E236&lt;&gt;IFERROR(LOOKUP(2,1/($B$9:$B$235=$B236),$E$9:$E235),0),IFERROR(LOOKUP(2,1/($B$9:$B$235=$B236),$E$9:$E235),0)&gt;$E236),"Date out of order",IF(AND(OR($F236="buy_to_close",$F236="expire",$F236="roll",$F236="assignment",$F236="called_away"),$AF236=0),"Unknown lot",IF(OR(AND($F236="assignment",$AF236&gt;0,IF($AF236&gt;0,INDEX($AG$9:$AG$235,$AF236),"")&lt;&gt;"put"),AND($F236="called_away",$AF236&gt;0,IF($AF236&gt;0,INDEX($AG$9:$AG$235,$AF236),"")&lt;&gt;"call")),"Wrong option leg",IF(OR(AND(OR($F236="sell_put",$F236="sell_call"),OR($H236&lt;=0,$I236&lt;=0,$J236&lt;0)),AND(OR($F236="buy_to_close",$F236="expire",$F236="assignment",$F236="called_away"),OR($H236&lt;=0,$J236&lt;0)),AND($F236="roll",OR($H236&lt;=0,$I236&lt;=0,$J236&lt;0,$K236&lt;0)),AND(OR($F236="buy_shares",$F236="sell_shares"),OR($L236&lt;=0,$M236&lt;0)),AND(OR($F236="dividend",$F236="fee"),$N236&lt;0)),"Invalid value",IF(AND(OR($F236="sell_shares",$F236="called_away"),$AL236&lt;IF($F236="called_away",$AE236*$D236,$L236)),"Insufficient shares (capped)",IF(AND(OR($F236="buy_to_close",$F236="expire",$F236="roll",$F236="assignment",$F236="called_away"),$AF236&gt;0,$H236&gt;IF($AF236&gt;0,MAX(0,INDEX($AI$9:$AI$235,$AF236)-SUMIFS($AE$9:$AE$235,$G$9:$G$235,$G236,$B$9:$B$235,$B236)),0)),"Close quantity capped","OK")))))))))</f>
        <v/>
      </c>
      <c r="W236" s="59" t="str">
        <f t="shared" si="54"/>
        <v/>
      </c>
      <c r="X236" s="60" t="str">
        <f t="shared" si="55"/>
        <v/>
      </c>
      <c r="Y236" s="50" t="str">
        <f t="shared" si="56"/>
        <v/>
      </c>
      <c r="Z236" s="50" t="str">
        <f t="shared" si="57"/>
        <v/>
      </c>
      <c r="AA236" s="50" t="str">
        <f t="shared" si="58"/>
        <v/>
      </c>
      <c r="AB236" s="50" t="str">
        <f t="shared" si="59"/>
        <v/>
      </c>
      <c r="AC236" s="50" t="str">
        <f>IF($A236="","",IF($F236="assignment",IF($AF236&gt;0,INDEX($AH$9:$AH$235,$AF236),0)*$AE236*$D236,IF($F236="buy_shares",$M236*$AL236,0)))</f>
        <v/>
      </c>
      <c r="AD236" s="50" t="str">
        <f>IF($A236="","",IF($F236="called_away",IF($AF236&gt;0,INDEX($AH$9:$AH$235,$AF236),0)*$AL236,IF($F236="sell_shares",$M236*$AL236,0)))</f>
        <v/>
      </c>
      <c r="AE236" s="51" t="str">
        <f>IF($A236="","",IF(OR($F236="sell_put",$F236="sell_call"),IF(AND($H236&gt;0,$I236&gt;0,$J236&gt;=0),$H236,0),IF(OR($F236="buy_to_close",$F236="expire",$F236="roll",$F236="assignment",$F236="called_away"),IF(AND($AF236&gt;0,$H236&gt;0,IF($F236="assignment",IF($AF236&gt;0,INDEX($AG$9:$AG$235,$AF236),"")="put",TRUE),IF($F236="called_away",IF($AF236&gt;0,INDEX($AG$9:$AG$235,$AF236),"")="call",TRUE)),MIN($H236,IF($AF236&gt;0,MAX(0,INDEX($AI$9:$AI$235,$AF236)-SUMIFS($AE$9:$AE$235,$G$9:$G$235,$G236,$B$9:$B$235,$B236)),0)),0),0)))</f>
        <v/>
      </c>
      <c r="AF236" t="str">
        <f>IF($A236="","",IFERROR(MATCH(LEN($B236)&amp;":"&amp;$B236&amp;$G236,$AY$9:$AY$235,0),0))</f>
        <v/>
      </c>
      <c r="AG236" t="str">
        <f>IF($A236="","",IF($F236="sell_put","put",IF($F236="sell_call","call",IF($F236="roll",IF($AF236&gt;0,IF($AF236&gt;0,INDEX($AG$9:$AG$235,$AF236),""),""),IF($AF236&gt;0,IF($AF236&gt;0,INDEX($AG$9:$AG$235,$AF236),""),"")))))</f>
        <v/>
      </c>
      <c r="AH236" t="str">
        <f>IF($A236="","",IF(OR($F236="sell_put",$F236="sell_call",$F236="roll"),$I236,IF($AF236&gt;0,IF($AF236&gt;0,INDEX($AH$9:$AH$235,$AF236),0),0)))</f>
        <v/>
      </c>
      <c r="AI236" s="51" t="str">
        <f t="shared" si="60"/>
        <v/>
      </c>
      <c r="AJ236" s="51" t="str">
        <f>IF($A236="","",IFERROR(LOOKUP(2,1/($B$9:$B$235=$B236),$AM$9:$AM235),0))</f>
        <v/>
      </c>
      <c r="AK236" t="str">
        <f>IF($A236="","",IFERROR(LOOKUP(2,1/($B$9:$B$235=$B236),$AN$9:$AN235),0))</f>
        <v/>
      </c>
      <c r="AL236" s="51" t="str">
        <f t="shared" si="61"/>
        <v/>
      </c>
      <c r="AM236" s="51" t="str">
        <f t="shared" si="62"/>
        <v/>
      </c>
      <c r="AN236" t="str">
        <f t="shared" si="63"/>
        <v/>
      </c>
      <c r="AO236" s="50" t="str">
        <f>IF($A236="","",IFERROR(LOOKUP(2,1/($B$9:$B$235=$B236),$AO$9:$AO235),0)+IF($F236="sell_put",$I236*$AE236*$D236,IF($F236="roll",IF($AG236="put",($I236-IF($AF236&gt;0,INDEX($AH$9:$AH$235,$AF236),0))*$AE236*$D236,0),IF(AND(OR($F236="buy_to_close",$F236="expire",$F236="roll",$F236="assignment",$F236="called_away"),$F236&lt;&gt;"roll",$AG236="put"),-IF($AF236&gt;0,INDEX($AH$9:$AH$235,$AF236),0)*$AE236*$D236,0))))</f>
        <v/>
      </c>
      <c r="AP236" s="51" t="str">
        <f>IF($A236="","",IFERROR(LOOKUP(2,1/($B$9:$B$235=$B236),$AP$9:$AP235),0)+IF($F236="sell_put",$AE236*$D236,IF(AND(OR($F236="buy_to_close",$F236="expire",$F236="roll",$F236="assignment",$F236="called_away"),$F236&lt;&gt;"roll",$AG236="put"),-$AE236*$D236,0)))</f>
        <v/>
      </c>
      <c r="AQ236" s="51" t="str">
        <f>IF($A236="","",IFERROR(LOOKUP(2,1/($B$9:$B$235=$B236),$AQ$9:$AQ235),0)+IF(OR($F236="sell_put",$F236="sell_call"),$AE236,0)-IF(AND(OR($F236="buy_to_close",$F236="expire",$F236="roll",$F236="assignment",$F236="called_away"),$F236&lt;&gt;"roll"),$AE236,0))</f>
        <v/>
      </c>
      <c r="AR236" t="str">
        <f t="shared" si="64"/>
        <v/>
      </c>
      <c r="AS236" s="50" t="str">
        <f t="shared" si="65"/>
        <v/>
      </c>
      <c r="AT236" s="50" t="str">
        <f>IF($A236="","",MAX(IF($T236=IFERROR(LOOKUP(2,1/($B$9:$B$235=$B236),$T$9:$T235),0),IFERROR(LOOKUP(2,1/($B$9:$B$235=$B236),$AT$9:$AT235),0),0),$AS236))</f>
        <v/>
      </c>
      <c r="AU236" t="str">
        <f t="shared" si="66"/>
        <v/>
      </c>
      <c r="AV236" s="51">
        <f>IF($AU236="",0,IF(AND(IFERROR(LOOKUP(2,1/($B$9:$B$235=$B236),$AR$9:$AR235),1),NOT(AND(OR($F236="dividend",$F236="fee"),IFERROR(LOOKUP(2,1/($B$9:$B$235=$B236),$T$9:$T235),0)&gt;0))),ROW(),0))</f>
        <v>0</v>
      </c>
      <c r="AW236">
        <f>IF($A236="",0,IF($AV236&gt;0,MAX($AW$9:$AW$235)+1,MAX($AW$9:$AW$235)))</f>
        <v>0</v>
      </c>
      <c r="AX236">
        <f>IF($AU236="",0,IF(AND($AR236,OR(NOT(IFERROR(LOOKUP(2,1/($B$9:$B$235=$B236),$AR$9:$AR235),1)),IFERROR(LOOKUP(2,1/($B$9:$B$235=$B236),$T$9:$T235),0)=0)),ROW(),0))</f>
        <v>0</v>
      </c>
      <c r="AY236" t="str">
        <f t="shared" si="67"/>
        <v/>
      </c>
    </row>
    <row r="237" spans="1:51" ht="15" x14ac:dyDescent="0.25">
      <c r="A237" s="41" t="str">
        <f>IF(Trades!$A237="","",Trades!O237)</f>
        <v/>
      </c>
      <c r="B237" s="41" t="str">
        <f>IF(Trades!$A237="","",Trades!B237)</f>
        <v/>
      </c>
      <c r="C237" s="41" t="str">
        <f>IF(Trades!$A237="","",Trades!C237)</f>
        <v/>
      </c>
      <c r="D237" s="42" t="str">
        <f>IF(Trades!$A237="","",IF(Trades!$L237&gt;0,Trades!$L237,Trades!$C$6))</f>
        <v/>
      </c>
      <c r="E237" s="43" t="str">
        <f>IF(Trades!$A237="","",Trades!A237)</f>
        <v/>
      </c>
      <c r="F237" s="41" t="str">
        <f>IF(Trades!$A237="","",IFERROR(INDEX(Trades!$V$2:$V$14,MATCH(Trades!$E237,Trades!$U$2:$U$14,0)),""))</f>
        <v/>
      </c>
      <c r="G237" s="41" t="str">
        <f>IF(Trades!$A237="","",Trades!N237)</f>
        <v/>
      </c>
      <c r="H237" s="42" t="str">
        <f>IF(Trades!$A237="","",Trades!F237)</f>
        <v/>
      </c>
      <c r="I237" s="44" t="str">
        <f>IF(Trades!$A237="","",Trades!G237)</f>
        <v/>
      </c>
      <c r="J237" s="44" t="str">
        <f>IF(Trades!$A237="","",Trades!I237)</f>
        <v/>
      </c>
      <c r="K237" s="44" t="str">
        <f>IF(Trades!$A237="","",Trades!Q237)</f>
        <v/>
      </c>
      <c r="L237" s="42" t="str">
        <f>IF(Trades!$A237="","",Trades!F237)</f>
        <v/>
      </c>
      <c r="M237" s="44" t="str">
        <f>IF(Trades!$A237="","",Trades!M237)</f>
        <v/>
      </c>
      <c r="N237" s="44" t="str">
        <f>IF(Trades!$A237="","",Trades!R237)</f>
        <v/>
      </c>
      <c r="O237" s="44" t="str">
        <f>IF(Trades!$A237="","",Trades!J237)</f>
        <v/>
      </c>
      <c r="P237" s="43" t="str">
        <f>IF(Trades!$A237="","",Trades!H237)</f>
        <v/>
      </c>
      <c r="Q237" s="41" t="str">
        <f>IF(Trades!$A237="","",Trades!P237)</f>
        <v/>
      </c>
      <c r="R237" s="45" t="str">
        <f t="shared" si="51"/>
        <v/>
      </c>
      <c r="S237" s="45" t="str">
        <f t="shared" si="52"/>
        <v/>
      </c>
      <c r="T237" s="46" t="str">
        <f>IF(OR($A237="",$B237=""),"",IF(AND(IFERROR(LOOKUP(2,1/($B$9:$B$236=$B237),$AR$9:$AR236),1),NOT(AND(OR($F237="dividend",$F237="fee"),IFERROR(LOOKUP(2,1/($B$9:$B$236=$B237),$T$9:$T236),0)&gt;0))),IFERROR(LOOKUP(2,1/($B$9:$B$236=$B237),$T$9:$T236),0)+1,IFERROR(LOOKUP(2,1/($B$9:$B$236=$B237),$T$9:$T236),0)))</f>
        <v/>
      </c>
      <c r="U237" s="47" t="str">
        <f t="shared" si="53"/>
        <v/>
      </c>
      <c r="V237" s="47" t="str">
        <f>IF($A237="","",IF(OR($B237="",$C237="",$D237="",$E237="",$F237=""),"Missing required field",IF(COUNTIFS($A$9:$A237,$A237,$B$9:$B237,$B237)&gt;1,"Duplicate event ID",IF(AND($E237&lt;&gt;IFERROR(LOOKUP(2,1/($B$9:$B$236=$B237),$E$9:$E236),0),IFERROR(LOOKUP(2,1/($B$9:$B$236=$B237),$E$9:$E236),0)&gt;$E237),"Date out of order",IF(AND(OR($F237="buy_to_close",$F237="expire",$F237="roll",$F237="assignment",$F237="called_away"),$AF237=0),"Unknown lot",IF(OR(AND($F237="assignment",$AF237&gt;0,IF($AF237&gt;0,INDEX($AG$9:$AG$236,$AF237),"")&lt;&gt;"put"),AND($F237="called_away",$AF237&gt;0,IF($AF237&gt;0,INDEX($AG$9:$AG$236,$AF237),"")&lt;&gt;"call")),"Wrong option leg",IF(OR(AND(OR($F237="sell_put",$F237="sell_call"),OR($H237&lt;=0,$I237&lt;=0,$J237&lt;0)),AND(OR($F237="buy_to_close",$F237="expire",$F237="assignment",$F237="called_away"),OR($H237&lt;=0,$J237&lt;0)),AND($F237="roll",OR($H237&lt;=0,$I237&lt;=0,$J237&lt;0,$K237&lt;0)),AND(OR($F237="buy_shares",$F237="sell_shares"),OR($L237&lt;=0,$M237&lt;0)),AND(OR($F237="dividend",$F237="fee"),$N237&lt;0)),"Invalid value",IF(AND(OR($F237="sell_shares",$F237="called_away"),$AL237&lt;IF($F237="called_away",$AE237*$D237,$L237)),"Insufficient shares (capped)",IF(AND(OR($F237="buy_to_close",$F237="expire",$F237="roll",$F237="assignment",$F237="called_away"),$AF237&gt;0,$H237&gt;IF($AF237&gt;0,MAX(0,INDEX($AI$9:$AI$236,$AF237)-SUMIFS($AE$9:$AE$236,$G$9:$G$236,$G237,$B$9:$B$236,$B237)),0)),"Close quantity capped","OK")))))))))</f>
        <v/>
      </c>
      <c r="W237" s="48" t="str">
        <f t="shared" si="54"/>
        <v/>
      </c>
      <c r="X237" s="49" t="str">
        <f t="shared" si="55"/>
        <v/>
      </c>
      <c r="Y237" s="50" t="str">
        <f t="shared" si="56"/>
        <v/>
      </c>
      <c r="Z237" s="50" t="str">
        <f t="shared" si="57"/>
        <v/>
      </c>
      <c r="AA237" s="50" t="str">
        <f t="shared" si="58"/>
        <v/>
      </c>
      <c r="AB237" s="50" t="str">
        <f t="shared" si="59"/>
        <v/>
      </c>
      <c r="AC237" s="50" t="str">
        <f>IF($A237="","",IF($F237="assignment",IF($AF237&gt;0,INDEX($AH$9:$AH$236,$AF237),0)*$AE237*$D237,IF($F237="buy_shares",$M237*$AL237,0)))</f>
        <v/>
      </c>
      <c r="AD237" s="50" t="str">
        <f>IF($A237="","",IF($F237="called_away",IF($AF237&gt;0,INDEX($AH$9:$AH$236,$AF237),0)*$AL237,IF($F237="sell_shares",$M237*$AL237,0)))</f>
        <v/>
      </c>
      <c r="AE237" s="51" t="str">
        <f>IF($A237="","",IF(OR($F237="sell_put",$F237="sell_call"),IF(AND($H237&gt;0,$I237&gt;0,$J237&gt;=0),$H237,0),IF(OR($F237="buy_to_close",$F237="expire",$F237="roll",$F237="assignment",$F237="called_away"),IF(AND($AF237&gt;0,$H237&gt;0,IF($F237="assignment",IF($AF237&gt;0,INDEX($AG$9:$AG$236,$AF237),"")="put",TRUE),IF($F237="called_away",IF($AF237&gt;0,INDEX($AG$9:$AG$236,$AF237),"")="call",TRUE)),MIN($H237,IF($AF237&gt;0,MAX(0,INDEX($AI$9:$AI$236,$AF237)-SUMIFS($AE$9:$AE$236,$G$9:$G$236,$G237,$B$9:$B$236,$B237)),0)),0),0)))</f>
        <v/>
      </c>
      <c r="AF237" t="str">
        <f>IF($A237="","",IFERROR(MATCH(LEN($B237)&amp;":"&amp;$B237&amp;$G237,$AY$9:$AY$236,0),0))</f>
        <v/>
      </c>
      <c r="AG237" t="str">
        <f>IF($A237="","",IF($F237="sell_put","put",IF($F237="sell_call","call",IF($F237="roll",IF($AF237&gt;0,IF($AF237&gt;0,INDEX($AG$9:$AG$236,$AF237),""),""),IF($AF237&gt;0,IF($AF237&gt;0,INDEX($AG$9:$AG$236,$AF237),""),"")))))</f>
        <v/>
      </c>
      <c r="AH237" t="str">
        <f>IF($A237="","",IF(OR($F237="sell_put",$F237="sell_call",$F237="roll"),$I237,IF($AF237&gt;0,IF($AF237&gt;0,INDEX($AH$9:$AH$236,$AF237),0),0)))</f>
        <v/>
      </c>
      <c r="AI237" s="51" t="str">
        <f t="shared" si="60"/>
        <v/>
      </c>
      <c r="AJ237" s="51" t="str">
        <f>IF($A237="","",IFERROR(LOOKUP(2,1/($B$9:$B$236=$B237),$AM$9:$AM236),0))</f>
        <v/>
      </c>
      <c r="AK237" t="str">
        <f>IF($A237="","",IFERROR(LOOKUP(2,1/($B$9:$B$236=$B237),$AN$9:$AN236),0))</f>
        <v/>
      </c>
      <c r="AL237" s="51" t="str">
        <f t="shared" si="61"/>
        <v/>
      </c>
      <c r="AM237" s="51" t="str">
        <f t="shared" si="62"/>
        <v/>
      </c>
      <c r="AN237" t="str">
        <f t="shared" si="63"/>
        <v/>
      </c>
      <c r="AO237" s="50" t="str">
        <f>IF($A237="","",IFERROR(LOOKUP(2,1/($B$9:$B$236=$B237),$AO$9:$AO236),0)+IF($F237="sell_put",$I237*$AE237*$D237,IF($F237="roll",IF($AG237="put",($I237-IF($AF237&gt;0,INDEX($AH$9:$AH$236,$AF237),0))*$AE237*$D237,0),IF(AND(OR($F237="buy_to_close",$F237="expire",$F237="roll",$F237="assignment",$F237="called_away"),$F237&lt;&gt;"roll",$AG237="put"),-IF($AF237&gt;0,INDEX($AH$9:$AH$236,$AF237),0)*$AE237*$D237,0))))</f>
        <v/>
      </c>
      <c r="AP237" s="51" t="str">
        <f>IF($A237="","",IFERROR(LOOKUP(2,1/($B$9:$B$236=$B237),$AP$9:$AP236),0)+IF($F237="sell_put",$AE237*$D237,IF(AND(OR($F237="buy_to_close",$F237="expire",$F237="roll",$F237="assignment",$F237="called_away"),$F237&lt;&gt;"roll",$AG237="put"),-$AE237*$D237,0)))</f>
        <v/>
      </c>
      <c r="AQ237" s="51" t="str">
        <f>IF($A237="","",IFERROR(LOOKUP(2,1/($B$9:$B$236=$B237),$AQ$9:$AQ236),0)+IF(OR($F237="sell_put",$F237="sell_call"),$AE237,0)-IF(AND(OR($F237="buy_to_close",$F237="expire",$F237="roll",$F237="assignment",$F237="called_away"),$F237&lt;&gt;"roll"),$AE237,0))</f>
        <v/>
      </c>
      <c r="AR237" t="str">
        <f t="shared" si="64"/>
        <v/>
      </c>
      <c r="AS237" s="50" t="str">
        <f t="shared" si="65"/>
        <v/>
      </c>
      <c r="AT237" s="50" t="str">
        <f>IF($A237="","",MAX(IF($T237=IFERROR(LOOKUP(2,1/($B$9:$B$236=$B237),$T$9:$T236),0),IFERROR(LOOKUP(2,1/($B$9:$B$236=$B237),$AT$9:$AT236),0),0),$AS237))</f>
        <v/>
      </c>
      <c r="AU237" t="str">
        <f t="shared" si="66"/>
        <v/>
      </c>
      <c r="AV237" s="51">
        <f>IF($AU237="",0,IF(AND(IFERROR(LOOKUP(2,1/($B$9:$B$236=$B237),$AR$9:$AR236),1),NOT(AND(OR($F237="dividend",$F237="fee"),IFERROR(LOOKUP(2,1/($B$9:$B$236=$B237),$T$9:$T236),0)&gt;0))),ROW(),0))</f>
        <v>0</v>
      </c>
      <c r="AW237">
        <f>IF($A237="",0,IF($AV237&gt;0,MAX($AW$9:$AW$236)+1,MAX($AW$9:$AW$236)))</f>
        <v>0</v>
      </c>
      <c r="AX237">
        <f>IF($AU237="",0,IF(AND($AR237,OR(NOT(IFERROR(LOOKUP(2,1/($B$9:$B$236=$B237),$AR$9:$AR236),1)),IFERROR(LOOKUP(2,1/($B$9:$B$236=$B237),$T$9:$T236),0)=0)),ROW(),0))</f>
        <v>0</v>
      </c>
      <c r="AY237" t="str">
        <f t="shared" si="67"/>
        <v/>
      </c>
    </row>
    <row r="238" spans="1:51" ht="15" x14ac:dyDescent="0.25">
      <c r="A238" s="52" t="str">
        <f>IF(Trades!$A238="","",Trades!O238)</f>
        <v/>
      </c>
      <c r="B238" s="52" t="str">
        <f>IF(Trades!$A238="","",Trades!B238)</f>
        <v/>
      </c>
      <c r="C238" s="52" t="str">
        <f>IF(Trades!$A238="","",Trades!C238)</f>
        <v/>
      </c>
      <c r="D238" s="53" t="str">
        <f>IF(Trades!$A238="","",IF(Trades!$L238&gt;0,Trades!$L238,Trades!$C$6))</f>
        <v/>
      </c>
      <c r="E238" s="54" t="str">
        <f>IF(Trades!$A238="","",Trades!A238)</f>
        <v/>
      </c>
      <c r="F238" s="52" t="str">
        <f>IF(Trades!$A238="","",IFERROR(INDEX(Trades!$V$2:$V$14,MATCH(Trades!$E238,Trades!$U$2:$U$14,0)),""))</f>
        <v/>
      </c>
      <c r="G238" s="52" t="str">
        <f>IF(Trades!$A238="","",Trades!N238)</f>
        <v/>
      </c>
      <c r="H238" s="53" t="str">
        <f>IF(Trades!$A238="","",Trades!F238)</f>
        <v/>
      </c>
      <c r="I238" s="55" t="str">
        <f>IF(Trades!$A238="","",Trades!G238)</f>
        <v/>
      </c>
      <c r="J238" s="55" t="str">
        <f>IF(Trades!$A238="","",Trades!I238)</f>
        <v/>
      </c>
      <c r="K238" s="55" t="str">
        <f>IF(Trades!$A238="","",Trades!Q238)</f>
        <v/>
      </c>
      <c r="L238" s="53" t="str">
        <f>IF(Trades!$A238="","",Trades!F238)</f>
        <v/>
      </c>
      <c r="M238" s="55" t="str">
        <f>IF(Trades!$A238="","",Trades!M238)</f>
        <v/>
      </c>
      <c r="N238" s="55" t="str">
        <f>IF(Trades!$A238="","",Trades!R238)</f>
        <v/>
      </c>
      <c r="O238" s="55" t="str">
        <f>IF(Trades!$A238="","",Trades!J238)</f>
        <v/>
      </c>
      <c r="P238" s="54" t="str">
        <f>IF(Trades!$A238="","",Trades!H238)</f>
        <v/>
      </c>
      <c r="Q238" s="52" t="str">
        <f>IF(Trades!$A238="","",Trades!P238)</f>
        <v/>
      </c>
      <c r="R238" s="56" t="str">
        <f t="shared" si="51"/>
        <v/>
      </c>
      <c r="S238" s="56" t="str">
        <f t="shared" si="52"/>
        <v/>
      </c>
      <c r="T238" s="57" t="str">
        <f>IF(OR($A238="",$B238=""),"",IF(AND(IFERROR(LOOKUP(2,1/($B$9:$B$237=$B238),$AR$9:$AR237),1),NOT(AND(OR($F238="dividend",$F238="fee"),IFERROR(LOOKUP(2,1/($B$9:$B$237=$B238),$T$9:$T237),0)&gt;0))),IFERROR(LOOKUP(2,1/($B$9:$B$237=$B238),$T$9:$T237),0)+1,IFERROR(LOOKUP(2,1/($B$9:$B$237=$B238),$T$9:$T237),0)))</f>
        <v/>
      </c>
      <c r="U238" s="58" t="str">
        <f t="shared" si="53"/>
        <v/>
      </c>
      <c r="V238" s="58" t="str">
        <f>IF($A238="","",IF(OR($B238="",$C238="",$D238="",$E238="",$F238=""),"Missing required field",IF(COUNTIFS($A$9:$A238,$A238,$B$9:$B238,$B238)&gt;1,"Duplicate event ID",IF(AND($E238&lt;&gt;IFERROR(LOOKUP(2,1/($B$9:$B$237=$B238),$E$9:$E237),0),IFERROR(LOOKUP(2,1/($B$9:$B$237=$B238),$E$9:$E237),0)&gt;$E238),"Date out of order",IF(AND(OR($F238="buy_to_close",$F238="expire",$F238="roll",$F238="assignment",$F238="called_away"),$AF238=0),"Unknown lot",IF(OR(AND($F238="assignment",$AF238&gt;0,IF($AF238&gt;0,INDEX($AG$9:$AG$237,$AF238),"")&lt;&gt;"put"),AND($F238="called_away",$AF238&gt;0,IF($AF238&gt;0,INDEX($AG$9:$AG$237,$AF238),"")&lt;&gt;"call")),"Wrong option leg",IF(OR(AND(OR($F238="sell_put",$F238="sell_call"),OR($H238&lt;=0,$I238&lt;=0,$J238&lt;0)),AND(OR($F238="buy_to_close",$F238="expire",$F238="assignment",$F238="called_away"),OR($H238&lt;=0,$J238&lt;0)),AND($F238="roll",OR($H238&lt;=0,$I238&lt;=0,$J238&lt;0,$K238&lt;0)),AND(OR($F238="buy_shares",$F238="sell_shares"),OR($L238&lt;=0,$M238&lt;0)),AND(OR($F238="dividend",$F238="fee"),$N238&lt;0)),"Invalid value",IF(AND(OR($F238="sell_shares",$F238="called_away"),$AL238&lt;IF($F238="called_away",$AE238*$D238,$L238)),"Insufficient shares (capped)",IF(AND(OR($F238="buy_to_close",$F238="expire",$F238="roll",$F238="assignment",$F238="called_away"),$AF238&gt;0,$H238&gt;IF($AF238&gt;0,MAX(0,INDEX($AI$9:$AI$237,$AF238)-SUMIFS($AE$9:$AE$237,$G$9:$G$237,$G238,$B$9:$B$237,$B238)),0)),"Close quantity capped","OK")))))))))</f>
        <v/>
      </c>
      <c r="W238" s="59" t="str">
        <f t="shared" si="54"/>
        <v/>
      </c>
      <c r="X238" s="60" t="str">
        <f t="shared" si="55"/>
        <v/>
      </c>
      <c r="Y238" s="50" t="str">
        <f t="shared" si="56"/>
        <v/>
      </c>
      <c r="Z238" s="50" t="str">
        <f t="shared" si="57"/>
        <v/>
      </c>
      <c r="AA238" s="50" t="str">
        <f t="shared" si="58"/>
        <v/>
      </c>
      <c r="AB238" s="50" t="str">
        <f t="shared" si="59"/>
        <v/>
      </c>
      <c r="AC238" s="50" t="str">
        <f>IF($A238="","",IF($F238="assignment",IF($AF238&gt;0,INDEX($AH$9:$AH$237,$AF238),0)*$AE238*$D238,IF($F238="buy_shares",$M238*$AL238,0)))</f>
        <v/>
      </c>
      <c r="AD238" s="50" t="str">
        <f>IF($A238="","",IF($F238="called_away",IF($AF238&gt;0,INDEX($AH$9:$AH$237,$AF238),0)*$AL238,IF($F238="sell_shares",$M238*$AL238,0)))</f>
        <v/>
      </c>
      <c r="AE238" s="51" t="str">
        <f>IF($A238="","",IF(OR($F238="sell_put",$F238="sell_call"),IF(AND($H238&gt;0,$I238&gt;0,$J238&gt;=0),$H238,0),IF(OR($F238="buy_to_close",$F238="expire",$F238="roll",$F238="assignment",$F238="called_away"),IF(AND($AF238&gt;0,$H238&gt;0,IF($F238="assignment",IF($AF238&gt;0,INDEX($AG$9:$AG$237,$AF238),"")="put",TRUE),IF($F238="called_away",IF($AF238&gt;0,INDEX($AG$9:$AG$237,$AF238),"")="call",TRUE)),MIN($H238,IF($AF238&gt;0,MAX(0,INDEX($AI$9:$AI$237,$AF238)-SUMIFS($AE$9:$AE$237,$G$9:$G$237,$G238,$B$9:$B$237,$B238)),0)),0),0)))</f>
        <v/>
      </c>
      <c r="AF238" t="str">
        <f>IF($A238="","",IFERROR(MATCH(LEN($B238)&amp;":"&amp;$B238&amp;$G238,$AY$9:$AY$237,0),0))</f>
        <v/>
      </c>
      <c r="AG238" t="str">
        <f>IF($A238="","",IF($F238="sell_put","put",IF($F238="sell_call","call",IF($F238="roll",IF($AF238&gt;0,IF($AF238&gt;0,INDEX($AG$9:$AG$237,$AF238),""),""),IF($AF238&gt;0,IF($AF238&gt;0,INDEX($AG$9:$AG$237,$AF238),""),"")))))</f>
        <v/>
      </c>
      <c r="AH238" t="str">
        <f>IF($A238="","",IF(OR($F238="sell_put",$F238="sell_call",$F238="roll"),$I238,IF($AF238&gt;0,IF($AF238&gt;0,INDEX($AH$9:$AH$237,$AF238),0),0)))</f>
        <v/>
      </c>
      <c r="AI238" s="51" t="str">
        <f t="shared" si="60"/>
        <v/>
      </c>
      <c r="AJ238" s="51" t="str">
        <f>IF($A238="","",IFERROR(LOOKUP(2,1/($B$9:$B$237=$B238),$AM$9:$AM237),0))</f>
        <v/>
      </c>
      <c r="AK238" t="str">
        <f>IF($A238="","",IFERROR(LOOKUP(2,1/($B$9:$B$237=$B238),$AN$9:$AN237),0))</f>
        <v/>
      </c>
      <c r="AL238" s="51" t="str">
        <f t="shared" si="61"/>
        <v/>
      </c>
      <c r="AM238" s="51" t="str">
        <f t="shared" si="62"/>
        <v/>
      </c>
      <c r="AN238" t="str">
        <f t="shared" si="63"/>
        <v/>
      </c>
      <c r="AO238" s="50" t="str">
        <f>IF($A238="","",IFERROR(LOOKUP(2,1/($B$9:$B$237=$B238),$AO$9:$AO237),0)+IF($F238="sell_put",$I238*$AE238*$D238,IF($F238="roll",IF($AG238="put",($I238-IF($AF238&gt;0,INDEX($AH$9:$AH$237,$AF238),0))*$AE238*$D238,0),IF(AND(OR($F238="buy_to_close",$F238="expire",$F238="roll",$F238="assignment",$F238="called_away"),$F238&lt;&gt;"roll",$AG238="put"),-IF($AF238&gt;0,INDEX($AH$9:$AH$237,$AF238),0)*$AE238*$D238,0))))</f>
        <v/>
      </c>
      <c r="AP238" s="51" t="str">
        <f>IF($A238="","",IFERROR(LOOKUP(2,1/($B$9:$B$237=$B238),$AP$9:$AP237),0)+IF($F238="sell_put",$AE238*$D238,IF(AND(OR($F238="buy_to_close",$F238="expire",$F238="roll",$F238="assignment",$F238="called_away"),$F238&lt;&gt;"roll",$AG238="put"),-$AE238*$D238,0)))</f>
        <v/>
      </c>
      <c r="AQ238" s="51" t="str">
        <f>IF($A238="","",IFERROR(LOOKUP(2,1/($B$9:$B$237=$B238),$AQ$9:$AQ237),0)+IF(OR($F238="sell_put",$F238="sell_call"),$AE238,0)-IF(AND(OR($F238="buy_to_close",$F238="expire",$F238="roll",$F238="assignment",$F238="called_away"),$F238&lt;&gt;"roll"),$AE238,0))</f>
        <v/>
      </c>
      <c r="AR238" t="str">
        <f t="shared" si="64"/>
        <v/>
      </c>
      <c r="AS238" s="50" t="str">
        <f t="shared" si="65"/>
        <v/>
      </c>
      <c r="AT238" s="50" t="str">
        <f>IF($A238="","",MAX(IF($T238=IFERROR(LOOKUP(2,1/($B$9:$B$237=$B238),$T$9:$T237),0),IFERROR(LOOKUP(2,1/($B$9:$B$237=$B238),$AT$9:$AT237),0),0),$AS238))</f>
        <v/>
      </c>
      <c r="AU238" t="str">
        <f t="shared" si="66"/>
        <v/>
      </c>
      <c r="AV238" s="51">
        <f>IF($AU238="",0,IF(AND(IFERROR(LOOKUP(2,1/($B$9:$B$237=$B238),$AR$9:$AR237),1),NOT(AND(OR($F238="dividend",$F238="fee"),IFERROR(LOOKUP(2,1/($B$9:$B$237=$B238),$T$9:$T237),0)&gt;0))),ROW(),0))</f>
        <v>0</v>
      </c>
      <c r="AW238">
        <f>IF($A238="",0,IF($AV238&gt;0,MAX($AW$9:$AW$237)+1,MAX($AW$9:$AW$237)))</f>
        <v>0</v>
      </c>
      <c r="AX238">
        <f>IF($AU238="",0,IF(AND($AR238,OR(NOT(IFERROR(LOOKUP(2,1/($B$9:$B$237=$B238),$AR$9:$AR237),1)),IFERROR(LOOKUP(2,1/($B$9:$B$237=$B238),$T$9:$T237),0)=0)),ROW(),0))</f>
        <v>0</v>
      </c>
      <c r="AY238" t="str">
        <f t="shared" si="67"/>
        <v/>
      </c>
    </row>
    <row r="239" spans="1:51" ht="15" x14ac:dyDescent="0.25">
      <c r="A239" s="41" t="str">
        <f>IF(Trades!$A239="","",Trades!O239)</f>
        <v/>
      </c>
      <c r="B239" s="41" t="str">
        <f>IF(Trades!$A239="","",Trades!B239)</f>
        <v/>
      </c>
      <c r="C239" s="41" t="str">
        <f>IF(Trades!$A239="","",Trades!C239)</f>
        <v/>
      </c>
      <c r="D239" s="42" t="str">
        <f>IF(Trades!$A239="","",IF(Trades!$L239&gt;0,Trades!$L239,Trades!$C$6))</f>
        <v/>
      </c>
      <c r="E239" s="43" t="str">
        <f>IF(Trades!$A239="","",Trades!A239)</f>
        <v/>
      </c>
      <c r="F239" s="41" t="str">
        <f>IF(Trades!$A239="","",IFERROR(INDEX(Trades!$V$2:$V$14,MATCH(Trades!$E239,Trades!$U$2:$U$14,0)),""))</f>
        <v/>
      </c>
      <c r="G239" s="41" t="str">
        <f>IF(Trades!$A239="","",Trades!N239)</f>
        <v/>
      </c>
      <c r="H239" s="42" t="str">
        <f>IF(Trades!$A239="","",Trades!F239)</f>
        <v/>
      </c>
      <c r="I239" s="44" t="str">
        <f>IF(Trades!$A239="","",Trades!G239)</f>
        <v/>
      </c>
      <c r="J239" s="44" t="str">
        <f>IF(Trades!$A239="","",Trades!I239)</f>
        <v/>
      </c>
      <c r="K239" s="44" t="str">
        <f>IF(Trades!$A239="","",Trades!Q239)</f>
        <v/>
      </c>
      <c r="L239" s="42" t="str">
        <f>IF(Trades!$A239="","",Trades!F239)</f>
        <v/>
      </c>
      <c r="M239" s="44" t="str">
        <f>IF(Trades!$A239="","",Trades!M239)</f>
        <v/>
      </c>
      <c r="N239" s="44" t="str">
        <f>IF(Trades!$A239="","",Trades!R239)</f>
        <v/>
      </c>
      <c r="O239" s="44" t="str">
        <f>IF(Trades!$A239="","",Trades!J239)</f>
        <v/>
      </c>
      <c r="P239" s="43" t="str">
        <f>IF(Trades!$A239="","",Trades!H239)</f>
        <v/>
      </c>
      <c r="Q239" s="41" t="str">
        <f>IF(Trades!$A239="","",Trades!P239)</f>
        <v/>
      </c>
      <c r="R239" s="45" t="str">
        <f t="shared" si="51"/>
        <v/>
      </c>
      <c r="S239" s="45" t="str">
        <f t="shared" si="52"/>
        <v/>
      </c>
      <c r="T239" s="46" t="str">
        <f>IF(OR($A239="",$B239=""),"",IF(AND(IFERROR(LOOKUP(2,1/($B$9:$B$238=$B239),$AR$9:$AR238),1),NOT(AND(OR($F239="dividend",$F239="fee"),IFERROR(LOOKUP(2,1/($B$9:$B$238=$B239),$T$9:$T238),0)&gt;0))),IFERROR(LOOKUP(2,1/($B$9:$B$238=$B239),$T$9:$T238),0)+1,IFERROR(LOOKUP(2,1/($B$9:$B$238=$B239),$T$9:$T238),0)))</f>
        <v/>
      </c>
      <c r="U239" s="47" t="str">
        <f t="shared" si="53"/>
        <v/>
      </c>
      <c r="V239" s="47" t="str">
        <f>IF($A239="","",IF(OR($B239="",$C239="",$D239="",$E239="",$F239=""),"Missing required field",IF(COUNTIFS($A$9:$A239,$A239,$B$9:$B239,$B239)&gt;1,"Duplicate event ID",IF(AND($E239&lt;&gt;IFERROR(LOOKUP(2,1/($B$9:$B$238=$B239),$E$9:$E238),0),IFERROR(LOOKUP(2,1/($B$9:$B$238=$B239),$E$9:$E238),0)&gt;$E239),"Date out of order",IF(AND(OR($F239="buy_to_close",$F239="expire",$F239="roll",$F239="assignment",$F239="called_away"),$AF239=0),"Unknown lot",IF(OR(AND($F239="assignment",$AF239&gt;0,IF($AF239&gt;0,INDEX($AG$9:$AG$238,$AF239),"")&lt;&gt;"put"),AND($F239="called_away",$AF239&gt;0,IF($AF239&gt;0,INDEX($AG$9:$AG$238,$AF239),"")&lt;&gt;"call")),"Wrong option leg",IF(OR(AND(OR($F239="sell_put",$F239="sell_call"),OR($H239&lt;=0,$I239&lt;=0,$J239&lt;0)),AND(OR($F239="buy_to_close",$F239="expire",$F239="assignment",$F239="called_away"),OR($H239&lt;=0,$J239&lt;0)),AND($F239="roll",OR($H239&lt;=0,$I239&lt;=0,$J239&lt;0,$K239&lt;0)),AND(OR($F239="buy_shares",$F239="sell_shares"),OR($L239&lt;=0,$M239&lt;0)),AND(OR($F239="dividend",$F239="fee"),$N239&lt;0)),"Invalid value",IF(AND(OR($F239="sell_shares",$F239="called_away"),$AL239&lt;IF($F239="called_away",$AE239*$D239,$L239)),"Insufficient shares (capped)",IF(AND(OR($F239="buy_to_close",$F239="expire",$F239="roll",$F239="assignment",$F239="called_away"),$AF239&gt;0,$H239&gt;IF($AF239&gt;0,MAX(0,INDEX($AI$9:$AI$238,$AF239)-SUMIFS($AE$9:$AE$238,$G$9:$G$238,$G239,$B$9:$B$238,$B239)),0)),"Close quantity capped","OK")))))))))</f>
        <v/>
      </c>
      <c r="W239" s="48" t="str">
        <f t="shared" si="54"/>
        <v/>
      </c>
      <c r="X239" s="49" t="str">
        <f t="shared" si="55"/>
        <v/>
      </c>
      <c r="Y239" s="50" t="str">
        <f t="shared" si="56"/>
        <v/>
      </c>
      <c r="Z239" s="50" t="str">
        <f t="shared" si="57"/>
        <v/>
      </c>
      <c r="AA239" s="50" t="str">
        <f t="shared" si="58"/>
        <v/>
      </c>
      <c r="AB239" s="50" t="str">
        <f t="shared" si="59"/>
        <v/>
      </c>
      <c r="AC239" s="50" t="str">
        <f>IF($A239="","",IF($F239="assignment",IF($AF239&gt;0,INDEX($AH$9:$AH$238,$AF239),0)*$AE239*$D239,IF($F239="buy_shares",$M239*$AL239,0)))</f>
        <v/>
      </c>
      <c r="AD239" s="50" t="str">
        <f>IF($A239="","",IF($F239="called_away",IF($AF239&gt;0,INDEX($AH$9:$AH$238,$AF239),0)*$AL239,IF($F239="sell_shares",$M239*$AL239,0)))</f>
        <v/>
      </c>
      <c r="AE239" s="51" t="str">
        <f>IF($A239="","",IF(OR($F239="sell_put",$F239="sell_call"),IF(AND($H239&gt;0,$I239&gt;0,$J239&gt;=0),$H239,0),IF(OR($F239="buy_to_close",$F239="expire",$F239="roll",$F239="assignment",$F239="called_away"),IF(AND($AF239&gt;0,$H239&gt;0,IF($F239="assignment",IF($AF239&gt;0,INDEX($AG$9:$AG$238,$AF239),"")="put",TRUE),IF($F239="called_away",IF($AF239&gt;0,INDEX($AG$9:$AG$238,$AF239),"")="call",TRUE)),MIN($H239,IF($AF239&gt;0,MAX(0,INDEX($AI$9:$AI$238,$AF239)-SUMIFS($AE$9:$AE$238,$G$9:$G$238,$G239,$B$9:$B$238,$B239)),0)),0),0)))</f>
        <v/>
      </c>
      <c r="AF239" t="str">
        <f>IF($A239="","",IFERROR(MATCH(LEN($B239)&amp;":"&amp;$B239&amp;$G239,$AY$9:$AY$238,0),0))</f>
        <v/>
      </c>
      <c r="AG239" t="str">
        <f>IF($A239="","",IF($F239="sell_put","put",IF($F239="sell_call","call",IF($F239="roll",IF($AF239&gt;0,IF($AF239&gt;0,INDEX($AG$9:$AG$238,$AF239),""),""),IF($AF239&gt;0,IF($AF239&gt;0,INDEX($AG$9:$AG$238,$AF239),""),"")))))</f>
        <v/>
      </c>
      <c r="AH239" t="str">
        <f>IF($A239="","",IF(OR($F239="sell_put",$F239="sell_call",$F239="roll"),$I239,IF($AF239&gt;0,IF($AF239&gt;0,INDEX($AH$9:$AH$238,$AF239),0),0)))</f>
        <v/>
      </c>
      <c r="AI239" s="51" t="str">
        <f t="shared" si="60"/>
        <v/>
      </c>
      <c r="AJ239" s="51" t="str">
        <f>IF($A239="","",IFERROR(LOOKUP(2,1/($B$9:$B$238=$B239),$AM$9:$AM238),0))</f>
        <v/>
      </c>
      <c r="AK239" t="str">
        <f>IF($A239="","",IFERROR(LOOKUP(2,1/($B$9:$B$238=$B239),$AN$9:$AN238),0))</f>
        <v/>
      </c>
      <c r="AL239" s="51" t="str">
        <f t="shared" si="61"/>
        <v/>
      </c>
      <c r="AM239" s="51" t="str">
        <f t="shared" si="62"/>
        <v/>
      </c>
      <c r="AN239" t="str">
        <f t="shared" si="63"/>
        <v/>
      </c>
      <c r="AO239" s="50" t="str">
        <f>IF($A239="","",IFERROR(LOOKUP(2,1/($B$9:$B$238=$B239),$AO$9:$AO238),0)+IF($F239="sell_put",$I239*$AE239*$D239,IF($F239="roll",IF($AG239="put",($I239-IF($AF239&gt;0,INDEX($AH$9:$AH$238,$AF239),0))*$AE239*$D239,0),IF(AND(OR($F239="buy_to_close",$F239="expire",$F239="roll",$F239="assignment",$F239="called_away"),$F239&lt;&gt;"roll",$AG239="put"),-IF($AF239&gt;0,INDEX($AH$9:$AH$238,$AF239),0)*$AE239*$D239,0))))</f>
        <v/>
      </c>
      <c r="AP239" s="51" t="str">
        <f>IF($A239="","",IFERROR(LOOKUP(2,1/($B$9:$B$238=$B239),$AP$9:$AP238),0)+IF($F239="sell_put",$AE239*$D239,IF(AND(OR($F239="buy_to_close",$F239="expire",$F239="roll",$F239="assignment",$F239="called_away"),$F239&lt;&gt;"roll",$AG239="put"),-$AE239*$D239,0)))</f>
        <v/>
      </c>
      <c r="AQ239" s="51" t="str">
        <f>IF($A239="","",IFERROR(LOOKUP(2,1/($B$9:$B$238=$B239),$AQ$9:$AQ238),0)+IF(OR($F239="sell_put",$F239="sell_call"),$AE239,0)-IF(AND(OR($F239="buy_to_close",$F239="expire",$F239="roll",$F239="assignment",$F239="called_away"),$F239&lt;&gt;"roll"),$AE239,0))</f>
        <v/>
      </c>
      <c r="AR239" t="str">
        <f t="shared" si="64"/>
        <v/>
      </c>
      <c r="AS239" s="50" t="str">
        <f t="shared" si="65"/>
        <v/>
      </c>
      <c r="AT239" s="50" t="str">
        <f>IF($A239="","",MAX(IF($T239=IFERROR(LOOKUP(2,1/($B$9:$B$238=$B239),$T$9:$T238),0),IFERROR(LOOKUP(2,1/($B$9:$B$238=$B239),$AT$9:$AT238),0),0),$AS239))</f>
        <v/>
      </c>
      <c r="AU239" t="str">
        <f t="shared" si="66"/>
        <v/>
      </c>
      <c r="AV239" s="51">
        <f>IF($AU239="",0,IF(AND(IFERROR(LOOKUP(2,1/($B$9:$B$238=$B239),$AR$9:$AR238),1),NOT(AND(OR($F239="dividend",$F239="fee"),IFERROR(LOOKUP(2,1/($B$9:$B$238=$B239),$T$9:$T238),0)&gt;0))),ROW(),0))</f>
        <v>0</v>
      </c>
      <c r="AW239">
        <f>IF($A239="",0,IF($AV239&gt;0,MAX($AW$9:$AW$238)+1,MAX($AW$9:$AW$238)))</f>
        <v>0</v>
      </c>
      <c r="AX239">
        <f>IF($AU239="",0,IF(AND($AR239,OR(NOT(IFERROR(LOOKUP(2,1/($B$9:$B$238=$B239),$AR$9:$AR238),1)),IFERROR(LOOKUP(2,1/($B$9:$B$238=$B239),$T$9:$T238),0)=0)),ROW(),0))</f>
        <v>0</v>
      </c>
      <c r="AY239" t="str">
        <f t="shared" si="67"/>
        <v/>
      </c>
    </row>
    <row r="240" spans="1:51" ht="15" x14ac:dyDescent="0.25">
      <c r="A240" s="52" t="str">
        <f>IF(Trades!$A240="","",Trades!O240)</f>
        <v/>
      </c>
      <c r="B240" s="52" t="str">
        <f>IF(Trades!$A240="","",Trades!B240)</f>
        <v/>
      </c>
      <c r="C240" s="52" t="str">
        <f>IF(Trades!$A240="","",Trades!C240)</f>
        <v/>
      </c>
      <c r="D240" s="53" t="str">
        <f>IF(Trades!$A240="","",IF(Trades!$L240&gt;0,Trades!$L240,Trades!$C$6))</f>
        <v/>
      </c>
      <c r="E240" s="54" t="str">
        <f>IF(Trades!$A240="","",Trades!A240)</f>
        <v/>
      </c>
      <c r="F240" s="52" t="str">
        <f>IF(Trades!$A240="","",IFERROR(INDEX(Trades!$V$2:$V$14,MATCH(Trades!$E240,Trades!$U$2:$U$14,0)),""))</f>
        <v/>
      </c>
      <c r="G240" s="52" t="str">
        <f>IF(Trades!$A240="","",Trades!N240)</f>
        <v/>
      </c>
      <c r="H240" s="53" t="str">
        <f>IF(Trades!$A240="","",Trades!F240)</f>
        <v/>
      </c>
      <c r="I240" s="55" t="str">
        <f>IF(Trades!$A240="","",Trades!G240)</f>
        <v/>
      </c>
      <c r="J240" s="55" t="str">
        <f>IF(Trades!$A240="","",Trades!I240)</f>
        <v/>
      </c>
      <c r="K240" s="55" t="str">
        <f>IF(Trades!$A240="","",Trades!Q240)</f>
        <v/>
      </c>
      <c r="L240" s="53" t="str">
        <f>IF(Trades!$A240="","",Trades!F240)</f>
        <v/>
      </c>
      <c r="M240" s="55" t="str">
        <f>IF(Trades!$A240="","",Trades!M240)</f>
        <v/>
      </c>
      <c r="N240" s="55" t="str">
        <f>IF(Trades!$A240="","",Trades!R240)</f>
        <v/>
      </c>
      <c r="O240" s="55" t="str">
        <f>IF(Trades!$A240="","",Trades!J240)</f>
        <v/>
      </c>
      <c r="P240" s="54" t="str">
        <f>IF(Trades!$A240="","",Trades!H240)</f>
        <v/>
      </c>
      <c r="Q240" s="52" t="str">
        <f>IF(Trades!$A240="","",Trades!P240)</f>
        <v/>
      </c>
      <c r="R240" s="56" t="str">
        <f t="shared" si="51"/>
        <v/>
      </c>
      <c r="S240" s="56" t="str">
        <f t="shared" si="52"/>
        <v/>
      </c>
      <c r="T240" s="57" t="str">
        <f>IF(OR($A240="",$B240=""),"",IF(AND(IFERROR(LOOKUP(2,1/($B$9:$B$239=$B240),$AR$9:$AR239),1),NOT(AND(OR($F240="dividend",$F240="fee"),IFERROR(LOOKUP(2,1/($B$9:$B$239=$B240),$T$9:$T239),0)&gt;0))),IFERROR(LOOKUP(2,1/($B$9:$B$239=$B240),$T$9:$T239),0)+1,IFERROR(LOOKUP(2,1/($B$9:$B$239=$B240),$T$9:$T239),0)))</f>
        <v/>
      </c>
      <c r="U240" s="58" t="str">
        <f t="shared" si="53"/>
        <v/>
      </c>
      <c r="V240" s="58" t="str">
        <f>IF($A240="","",IF(OR($B240="",$C240="",$D240="",$E240="",$F240=""),"Missing required field",IF(COUNTIFS($A$9:$A240,$A240,$B$9:$B240,$B240)&gt;1,"Duplicate event ID",IF(AND($E240&lt;&gt;IFERROR(LOOKUP(2,1/($B$9:$B$239=$B240),$E$9:$E239),0),IFERROR(LOOKUP(2,1/($B$9:$B$239=$B240),$E$9:$E239),0)&gt;$E240),"Date out of order",IF(AND(OR($F240="buy_to_close",$F240="expire",$F240="roll",$F240="assignment",$F240="called_away"),$AF240=0),"Unknown lot",IF(OR(AND($F240="assignment",$AF240&gt;0,IF($AF240&gt;0,INDEX($AG$9:$AG$239,$AF240),"")&lt;&gt;"put"),AND($F240="called_away",$AF240&gt;0,IF($AF240&gt;0,INDEX($AG$9:$AG$239,$AF240),"")&lt;&gt;"call")),"Wrong option leg",IF(OR(AND(OR($F240="sell_put",$F240="sell_call"),OR($H240&lt;=0,$I240&lt;=0,$J240&lt;0)),AND(OR($F240="buy_to_close",$F240="expire",$F240="assignment",$F240="called_away"),OR($H240&lt;=0,$J240&lt;0)),AND($F240="roll",OR($H240&lt;=0,$I240&lt;=0,$J240&lt;0,$K240&lt;0)),AND(OR($F240="buy_shares",$F240="sell_shares"),OR($L240&lt;=0,$M240&lt;0)),AND(OR($F240="dividend",$F240="fee"),$N240&lt;0)),"Invalid value",IF(AND(OR($F240="sell_shares",$F240="called_away"),$AL240&lt;IF($F240="called_away",$AE240*$D240,$L240)),"Insufficient shares (capped)",IF(AND(OR($F240="buy_to_close",$F240="expire",$F240="roll",$F240="assignment",$F240="called_away"),$AF240&gt;0,$H240&gt;IF($AF240&gt;0,MAX(0,INDEX($AI$9:$AI$239,$AF240)-SUMIFS($AE$9:$AE$239,$G$9:$G$239,$G240,$B$9:$B$239,$B240)),0)),"Close quantity capped","OK")))))))))</f>
        <v/>
      </c>
      <c r="W240" s="59" t="str">
        <f t="shared" si="54"/>
        <v/>
      </c>
      <c r="X240" s="60" t="str">
        <f t="shared" si="55"/>
        <v/>
      </c>
      <c r="Y240" s="50" t="str">
        <f t="shared" si="56"/>
        <v/>
      </c>
      <c r="Z240" s="50" t="str">
        <f t="shared" si="57"/>
        <v/>
      </c>
      <c r="AA240" s="50" t="str">
        <f t="shared" si="58"/>
        <v/>
      </c>
      <c r="AB240" s="50" t="str">
        <f t="shared" si="59"/>
        <v/>
      </c>
      <c r="AC240" s="50" t="str">
        <f>IF($A240="","",IF($F240="assignment",IF($AF240&gt;0,INDEX($AH$9:$AH$239,$AF240),0)*$AE240*$D240,IF($F240="buy_shares",$M240*$AL240,0)))</f>
        <v/>
      </c>
      <c r="AD240" s="50" t="str">
        <f>IF($A240="","",IF($F240="called_away",IF($AF240&gt;0,INDEX($AH$9:$AH$239,$AF240),0)*$AL240,IF($F240="sell_shares",$M240*$AL240,0)))</f>
        <v/>
      </c>
      <c r="AE240" s="51" t="str">
        <f>IF($A240="","",IF(OR($F240="sell_put",$F240="sell_call"),IF(AND($H240&gt;0,$I240&gt;0,$J240&gt;=0),$H240,0),IF(OR($F240="buy_to_close",$F240="expire",$F240="roll",$F240="assignment",$F240="called_away"),IF(AND($AF240&gt;0,$H240&gt;0,IF($F240="assignment",IF($AF240&gt;0,INDEX($AG$9:$AG$239,$AF240),"")="put",TRUE),IF($F240="called_away",IF($AF240&gt;0,INDEX($AG$9:$AG$239,$AF240),"")="call",TRUE)),MIN($H240,IF($AF240&gt;0,MAX(0,INDEX($AI$9:$AI$239,$AF240)-SUMIFS($AE$9:$AE$239,$G$9:$G$239,$G240,$B$9:$B$239,$B240)),0)),0),0)))</f>
        <v/>
      </c>
      <c r="AF240" t="str">
        <f>IF($A240="","",IFERROR(MATCH(LEN($B240)&amp;":"&amp;$B240&amp;$G240,$AY$9:$AY$239,0),0))</f>
        <v/>
      </c>
      <c r="AG240" t="str">
        <f>IF($A240="","",IF($F240="sell_put","put",IF($F240="sell_call","call",IF($F240="roll",IF($AF240&gt;0,IF($AF240&gt;0,INDEX($AG$9:$AG$239,$AF240),""),""),IF($AF240&gt;0,IF($AF240&gt;0,INDEX($AG$9:$AG$239,$AF240),""),"")))))</f>
        <v/>
      </c>
      <c r="AH240" t="str">
        <f>IF($A240="","",IF(OR($F240="sell_put",$F240="sell_call",$F240="roll"),$I240,IF($AF240&gt;0,IF($AF240&gt;0,INDEX($AH$9:$AH$239,$AF240),0),0)))</f>
        <v/>
      </c>
      <c r="AI240" s="51" t="str">
        <f t="shared" si="60"/>
        <v/>
      </c>
      <c r="AJ240" s="51" t="str">
        <f>IF($A240="","",IFERROR(LOOKUP(2,1/($B$9:$B$239=$B240),$AM$9:$AM239),0))</f>
        <v/>
      </c>
      <c r="AK240" t="str">
        <f>IF($A240="","",IFERROR(LOOKUP(2,1/($B$9:$B$239=$B240),$AN$9:$AN239),0))</f>
        <v/>
      </c>
      <c r="AL240" s="51" t="str">
        <f t="shared" si="61"/>
        <v/>
      </c>
      <c r="AM240" s="51" t="str">
        <f t="shared" si="62"/>
        <v/>
      </c>
      <c r="AN240" t="str">
        <f t="shared" si="63"/>
        <v/>
      </c>
      <c r="AO240" s="50" t="str">
        <f>IF($A240="","",IFERROR(LOOKUP(2,1/($B$9:$B$239=$B240),$AO$9:$AO239),0)+IF($F240="sell_put",$I240*$AE240*$D240,IF($F240="roll",IF($AG240="put",($I240-IF($AF240&gt;0,INDEX($AH$9:$AH$239,$AF240),0))*$AE240*$D240,0),IF(AND(OR($F240="buy_to_close",$F240="expire",$F240="roll",$F240="assignment",$F240="called_away"),$F240&lt;&gt;"roll",$AG240="put"),-IF($AF240&gt;0,INDEX($AH$9:$AH$239,$AF240),0)*$AE240*$D240,0))))</f>
        <v/>
      </c>
      <c r="AP240" s="51" t="str">
        <f>IF($A240="","",IFERROR(LOOKUP(2,1/($B$9:$B$239=$B240),$AP$9:$AP239),0)+IF($F240="sell_put",$AE240*$D240,IF(AND(OR($F240="buy_to_close",$F240="expire",$F240="roll",$F240="assignment",$F240="called_away"),$F240&lt;&gt;"roll",$AG240="put"),-$AE240*$D240,0)))</f>
        <v/>
      </c>
      <c r="AQ240" s="51" t="str">
        <f>IF($A240="","",IFERROR(LOOKUP(2,1/($B$9:$B$239=$B240),$AQ$9:$AQ239),0)+IF(OR($F240="sell_put",$F240="sell_call"),$AE240,0)-IF(AND(OR($F240="buy_to_close",$F240="expire",$F240="roll",$F240="assignment",$F240="called_away"),$F240&lt;&gt;"roll"),$AE240,0))</f>
        <v/>
      </c>
      <c r="AR240" t="str">
        <f t="shared" si="64"/>
        <v/>
      </c>
      <c r="AS240" s="50" t="str">
        <f t="shared" si="65"/>
        <v/>
      </c>
      <c r="AT240" s="50" t="str">
        <f>IF($A240="","",MAX(IF($T240=IFERROR(LOOKUP(2,1/($B$9:$B$239=$B240),$T$9:$T239),0),IFERROR(LOOKUP(2,1/($B$9:$B$239=$B240),$AT$9:$AT239),0),0),$AS240))</f>
        <v/>
      </c>
      <c r="AU240" t="str">
        <f t="shared" si="66"/>
        <v/>
      </c>
      <c r="AV240" s="51">
        <f>IF($AU240="",0,IF(AND(IFERROR(LOOKUP(2,1/($B$9:$B$239=$B240),$AR$9:$AR239),1),NOT(AND(OR($F240="dividend",$F240="fee"),IFERROR(LOOKUP(2,1/($B$9:$B$239=$B240),$T$9:$T239),0)&gt;0))),ROW(),0))</f>
        <v>0</v>
      </c>
      <c r="AW240">
        <f>IF($A240="",0,IF($AV240&gt;0,MAX($AW$9:$AW$239)+1,MAX($AW$9:$AW$239)))</f>
        <v>0</v>
      </c>
      <c r="AX240">
        <f>IF($AU240="",0,IF(AND($AR240,OR(NOT(IFERROR(LOOKUP(2,1/($B$9:$B$239=$B240),$AR$9:$AR239),1)),IFERROR(LOOKUP(2,1/($B$9:$B$239=$B240),$T$9:$T239),0)=0)),ROW(),0))</f>
        <v>0</v>
      </c>
      <c r="AY240" t="str">
        <f t="shared" si="67"/>
        <v/>
      </c>
    </row>
    <row r="241" spans="1:51" ht="15" x14ac:dyDescent="0.25">
      <c r="A241" s="41" t="str">
        <f>IF(Trades!$A241="","",Trades!O241)</f>
        <v/>
      </c>
      <c r="B241" s="41" t="str">
        <f>IF(Trades!$A241="","",Trades!B241)</f>
        <v/>
      </c>
      <c r="C241" s="41" t="str">
        <f>IF(Trades!$A241="","",Trades!C241)</f>
        <v/>
      </c>
      <c r="D241" s="42" t="str">
        <f>IF(Trades!$A241="","",IF(Trades!$L241&gt;0,Trades!$L241,Trades!$C$6))</f>
        <v/>
      </c>
      <c r="E241" s="43" t="str">
        <f>IF(Trades!$A241="","",Trades!A241)</f>
        <v/>
      </c>
      <c r="F241" s="41" t="str">
        <f>IF(Trades!$A241="","",IFERROR(INDEX(Trades!$V$2:$V$14,MATCH(Trades!$E241,Trades!$U$2:$U$14,0)),""))</f>
        <v/>
      </c>
      <c r="G241" s="41" t="str">
        <f>IF(Trades!$A241="","",Trades!N241)</f>
        <v/>
      </c>
      <c r="H241" s="42" t="str">
        <f>IF(Trades!$A241="","",Trades!F241)</f>
        <v/>
      </c>
      <c r="I241" s="44" t="str">
        <f>IF(Trades!$A241="","",Trades!G241)</f>
        <v/>
      </c>
      <c r="J241" s="44" t="str">
        <f>IF(Trades!$A241="","",Trades!I241)</f>
        <v/>
      </c>
      <c r="K241" s="44" t="str">
        <f>IF(Trades!$A241="","",Trades!Q241)</f>
        <v/>
      </c>
      <c r="L241" s="42" t="str">
        <f>IF(Trades!$A241="","",Trades!F241)</f>
        <v/>
      </c>
      <c r="M241" s="44" t="str">
        <f>IF(Trades!$A241="","",Trades!M241)</f>
        <v/>
      </c>
      <c r="N241" s="44" t="str">
        <f>IF(Trades!$A241="","",Trades!R241)</f>
        <v/>
      </c>
      <c r="O241" s="44" t="str">
        <f>IF(Trades!$A241="","",Trades!J241)</f>
        <v/>
      </c>
      <c r="P241" s="43" t="str">
        <f>IF(Trades!$A241="","",Trades!H241)</f>
        <v/>
      </c>
      <c r="Q241" s="41" t="str">
        <f>IF(Trades!$A241="","",Trades!P241)</f>
        <v/>
      </c>
      <c r="R241" s="45" t="str">
        <f t="shared" si="51"/>
        <v/>
      </c>
      <c r="S241" s="45" t="str">
        <f t="shared" si="52"/>
        <v/>
      </c>
      <c r="T241" s="46" t="str">
        <f>IF(OR($A241="",$B241=""),"",IF(AND(IFERROR(LOOKUP(2,1/($B$9:$B$240=$B241),$AR$9:$AR240),1),NOT(AND(OR($F241="dividend",$F241="fee"),IFERROR(LOOKUP(2,1/($B$9:$B$240=$B241),$T$9:$T240),0)&gt;0))),IFERROR(LOOKUP(2,1/($B$9:$B$240=$B241),$T$9:$T240),0)+1,IFERROR(LOOKUP(2,1/($B$9:$B$240=$B241),$T$9:$T240),0)))</f>
        <v/>
      </c>
      <c r="U241" s="47" t="str">
        <f t="shared" si="53"/>
        <v/>
      </c>
      <c r="V241" s="47" t="str">
        <f>IF($A241="","",IF(OR($B241="",$C241="",$D241="",$E241="",$F241=""),"Missing required field",IF(COUNTIFS($A$9:$A241,$A241,$B$9:$B241,$B241)&gt;1,"Duplicate event ID",IF(AND($E241&lt;&gt;IFERROR(LOOKUP(2,1/($B$9:$B$240=$B241),$E$9:$E240),0),IFERROR(LOOKUP(2,1/($B$9:$B$240=$B241),$E$9:$E240),0)&gt;$E241),"Date out of order",IF(AND(OR($F241="buy_to_close",$F241="expire",$F241="roll",$F241="assignment",$F241="called_away"),$AF241=0),"Unknown lot",IF(OR(AND($F241="assignment",$AF241&gt;0,IF($AF241&gt;0,INDEX($AG$9:$AG$240,$AF241),"")&lt;&gt;"put"),AND($F241="called_away",$AF241&gt;0,IF($AF241&gt;0,INDEX($AG$9:$AG$240,$AF241),"")&lt;&gt;"call")),"Wrong option leg",IF(OR(AND(OR($F241="sell_put",$F241="sell_call"),OR($H241&lt;=0,$I241&lt;=0,$J241&lt;0)),AND(OR($F241="buy_to_close",$F241="expire",$F241="assignment",$F241="called_away"),OR($H241&lt;=0,$J241&lt;0)),AND($F241="roll",OR($H241&lt;=0,$I241&lt;=0,$J241&lt;0,$K241&lt;0)),AND(OR($F241="buy_shares",$F241="sell_shares"),OR($L241&lt;=0,$M241&lt;0)),AND(OR($F241="dividend",$F241="fee"),$N241&lt;0)),"Invalid value",IF(AND(OR($F241="sell_shares",$F241="called_away"),$AL241&lt;IF($F241="called_away",$AE241*$D241,$L241)),"Insufficient shares (capped)",IF(AND(OR($F241="buy_to_close",$F241="expire",$F241="roll",$F241="assignment",$F241="called_away"),$AF241&gt;0,$H241&gt;IF($AF241&gt;0,MAX(0,INDEX($AI$9:$AI$240,$AF241)-SUMIFS($AE$9:$AE$240,$G$9:$G$240,$G241,$B$9:$B$240,$B241)),0)),"Close quantity capped","OK")))))))))</f>
        <v/>
      </c>
      <c r="W241" s="48" t="str">
        <f t="shared" si="54"/>
        <v/>
      </c>
      <c r="X241" s="49" t="str">
        <f t="shared" si="55"/>
        <v/>
      </c>
      <c r="Y241" s="50" t="str">
        <f t="shared" si="56"/>
        <v/>
      </c>
      <c r="Z241" s="50" t="str">
        <f t="shared" si="57"/>
        <v/>
      </c>
      <c r="AA241" s="50" t="str">
        <f t="shared" si="58"/>
        <v/>
      </c>
      <c r="AB241" s="50" t="str">
        <f t="shared" si="59"/>
        <v/>
      </c>
      <c r="AC241" s="50" t="str">
        <f>IF($A241="","",IF($F241="assignment",IF($AF241&gt;0,INDEX($AH$9:$AH$240,$AF241),0)*$AE241*$D241,IF($F241="buy_shares",$M241*$AL241,0)))</f>
        <v/>
      </c>
      <c r="AD241" s="50" t="str">
        <f>IF($A241="","",IF($F241="called_away",IF($AF241&gt;0,INDEX($AH$9:$AH$240,$AF241),0)*$AL241,IF($F241="sell_shares",$M241*$AL241,0)))</f>
        <v/>
      </c>
      <c r="AE241" s="51" t="str">
        <f>IF($A241="","",IF(OR($F241="sell_put",$F241="sell_call"),IF(AND($H241&gt;0,$I241&gt;0,$J241&gt;=0),$H241,0),IF(OR($F241="buy_to_close",$F241="expire",$F241="roll",$F241="assignment",$F241="called_away"),IF(AND($AF241&gt;0,$H241&gt;0,IF($F241="assignment",IF($AF241&gt;0,INDEX($AG$9:$AG$240,$AF241),"")="put",TRUE),IF($F241="called_away",IF($AF241&gt;0,INDEX($AG$9:$AG$240,$AF241),"")="call",TRUE)),MIN($H241,IF($AF241&gt;0,MAX(0,INDEX($AI$9:$AI$240,$AF241)-SUMIFS($AE$9:$AE$240,$G$9:$G$240,$G241,$B$9:$B$240,$B241)),0)),0),0)))</f>
        <v/>
      </c>
      <c r="AF241" t="str">
        <f>IF($A241="","",IFERROR(MATCH(LEN($B241)&amp;":"&amp;$B241&amp;$G241,$AY$9:$AY$240,0),0))</f>
        <v/>
      </c>
      <c r="AG241" t="str">
        <f>IF($A241="","",IF($F241="sell_put","put",IF($F241="sell_call","call",IF($F241="roll",IF($AF241&gt;0,IF($AF241&gt;0,INDEX($AG$9:$AG$240,$AF241),""),""),IF($AF241&gt;0,IF($AF241&gt;0,INDEX($AG$9:$AG$240,$AF241),""),"")))))</f>
        <v/>
      </c>
      <c r="AH241" t="str">
        <f>IF($A241="","",IF(OR($F241="sell_put",$F241="sell_call",$F241="roll"),$I241,IF($AF241&gt;0,IF($AF241&gt;0,INDEX($AH$9:$AH$240,$AF241),0),0)))</f>
        <v/>
      </c>
      <c r="AI241" s="51" t="str">
        <f t="shared" si="60"/>
        <v/>
      </c>
      <c r="AJ241" s="51" t="str">
        <f>IF($A241="","",IFERROR(LOOKUP(2,1/($B$9:$B$240=$B241),$AM$9:$AM240),0))</f>
        <v/>
      </c>
      <c r="AK241" t="str">
        <f>IF($A241="","",IFERROR(LOOKUP(2,1/($B$9:$B$240=$B241),$AN$9:$AN240),0))</f>
        <v/>
      </c>
      <c r="AL241" s="51" t="str">
        <f t="shared" si="61"/>
        <v/>
      </c>
      <c r="AM241" s="51" t="str">
        <f t="shared" si="62"/>
        <v/>
      </c>
      <c r="AN241" t="str">
        <f t="shared" si="63"/>
        <v/>
      </c>
      <c r="AO241" s="50" t="str">
        <f>IF($A241="","",IFERROR(LOOKUP(2,1/($B$9:$B$240=$B241),$AO$9:$AO240),0)+IF($F241="sell_put",$I241*$AE241*$D241,IF($F241="roll",IF($AG241="put",($I241-IF($AF241&gt;0,INDEX($AH$9:$AH$240,$AF241),0))*$AE241*$D241,0),IF(AND(OR($F241="buy_to_close",$F241="expire",$F241="roll",$F241="assignment",$F241="called_away"),$F241&lt;&gt;"roll",$AG241="put"),-IF($AF241&gt;0,INDEX($AH$9:$AH$240,$AF241),0)*$AE241*$D241,0))))</f>
        <v/>
      </c>
      <c r="AP241" s="51" t="str">
        <f>IF($A241="","",IFERROR(LOOKUP(2,1/($B$9:$B$240=$B241),$AP$9:$AP240),0)+IF($F241="sell_put",$AE241*$D241,IF(AND(OR($F241="buy_to_close",$F241="expire",$F241="roll",$F241="assignment",$F241="called_away"),$F241&lt;&gt;"roll",$AG241="put"),-$AE241*$D241,0)))</f>
        <v/>
      </c>
      <c r="AQ241" s="51" t="str">
        <f>IF($A241="","",IFERROR(LOOKUP(2,1/($B$9:$B$240=$B241),$AQ$9:$AQ240),0)+IF(OR($F241="sell_put",$F241="sell_call"),$AE241,0)-IF(AND(OR($F241="buy_to_close",$F241="expire",$F241="roll",$F241="assignment",$F241="called_away"),$F241&lt;&gt;"roll"),$AE241,0))</f>
        <v/>
      </c>
      <c r="AR241" t="str">
        <f t="shared" si="64"/>
        <v/>
      </c>
      <c r="AS241" s="50" t="str">
        <f t="shared" si="65"/>
        <v/>
      </c>
      <c r="AT241" s="50" t="str">
        <f>IF($A241="","",MAX(IF($T241=IFERROR(LOOKUP(2,1/($B$9:$B$240=$B241),$T$9:$T240),0),IFERROR(LOOKUP(2,1/($B$9:$B$240=$B241),$AT$9:$AT240),0),0),$AS241))</f>
        <v/>
      </c>
      <c r="AU241" t="str">
        <f t="shared" si="66"/>
        <v/>
      </c>
      <c r="AV241" s="51">
        <f>IF($AU241="",0,IF(AND(IFERROR(LOOKUP(2,1/($B$9:$B$240=$B241),$AR$9:$AR240),1),NOT(AND(OR($F241="dividend",$F241="fee"),IFERROR(LOOKUP(2,1/($B$9:$B$240=$B241),$T$9:$T240),0)&gt;0))),ROW(),0))</f>
        <v>0</v>
      </c>
      <c r="AW241">
        <f>IF($A241="",0,IF($AV241&gt;0,MAX($AW$9:$AW$240)+1,MAX($AW$9:$AW$240)))</f>
        <v>0</v>
      </c>
      <c r="AX241">
        <f>IF($AU241="",0,IF(AND($AR241,OR(NOT(IFERROR(LOOKUP(2,1/($B$9:$B$240=$B241),$AR$9:$AR240),1)),IFERROR(LOOKUP(2,1/($B$9:$B$240=$B241),$T$9:$T240),0)=0)),ROW(),0))</f>
        <v>0</v>
      </c>
      <c r="AY241" t="str">
        <f t="shared" si="67"/>
        <v/>
      </c>
    </row>
    <row r="242" spans="1:51" ht="15" x14ac:dyDescent="0.25">
      <c r="A242" s="52" t="str">
        <f>IF(Trades!$A242="","",Trades!O242)</f>
        <v/>
      </c>
      <c r="B242" s="52" t="str">
        <f>IF(Trades!$A242="","",Trades!B242)</f>
        <v/>
      </c>
      <c r="C242" s="52" t="str">
        <f>IF(Trades!$A242="","",Trades!C242)</f>
        <v/>
      </c>
      <c r="D242" s="53" t="str">
        <f>IF(Trades!$A242="","",IF(Trades!$L242&gt;0,Trades!$L242,Trades!$C$6))</f>
        <v/>
      </c>
      <c r="E242" s="54" t="str">
        <f>IF(Trades!$A242="","",Trades!A242)</f>
        <v/>
      </c>
      <c r="F242" s="52" t="str">
        <f>IF(Trades!$A242="","",IFERROR(INDEX(Trades!$V$2:$V$14,MATCH(Trades!$E242,Trades!$U$2:$U$14,0)),""))</f>
        <v/>
      </c>
      <c r="G242" s="52" t="str">
        <f>IF(Trades!$A242="","",Trades!N242)</f>
        <v/>
      </c>
      <c r="H242" s="53" t="str">
        <f>IF(Trades!$A242="","",Trades!F242)</f>
        <v/>
      </c>
      <c r="I242" s="55" t="str">
        <f>IF(Trades!$A242="","",Trades!G242)</f>
        <v/>
      </c>
      <c r="J242" s="55" t="str">
        <f>IF(Trades!$A242="","",Trades!I242)</f>
        <v/>
      </c>
      <c r="K242" s="55" t="str">
        <f>IF(Trades!$A242="","",Trades!Q242)</f>
        <v/>
      </c>
      <c r="L242" s="53" t="str">
        <f>IF(Trades!$A242="","",Trades!F242)</f>
        <v/>
      </c>
      <c r="M242" s="55" t="str">
        <f>IF(Trades!$A242="","",Trades!M242)</f>
        <v/>
      </c>
      <c r="N242" s="55" t="str">
        <f>IF(Trades!$A242="","",Trades!R242)</f>
        <v/>
      </c>
      <c r="O242" s="55" t="str">
        <f>IF(Trades!$A242="","",Trades!J242)</f>
        <v/>
      </c>
      <c r="P242" s="54" t="str">
        <f>IF(Trades!$A242="","",Trades!H242)</f>
        <v/>
      </c>
      <c r="Q242" s="52" t="str">
        <f>IF(Trades!$A242="","",Trades!P242)</f>
        <v/>
      </c>
      <c r="R242" s="56" t="str">
        <f t="shared" si="51"/>
        <v/>
      </c>
      <c r="S242" s="56" t="str">
        <f t="shared" si="52"/>
        <v/>
      </c>
      <c r="T242" s="57" t="str">
        <f>IF(OR($A242="",$B242=""),"",IF(AND(IFERROR(LOOKUP(2,1/($B$9:$B$241=$B242),$AR$9:$AR241),1),NOT(AND(OR($F242="dividend",$F242="fee"),IFERROR(LOOKUP(2,1/($B$9:$B$241=$B242),$T$9:$T241),0)&gt;0))),IFERROR(LOOKUP(2,1/($B$9:$B$241=$B242),$T$9:$T241),0)+1,IFERROR(LOOKUP(2,1/($B$9:$B$241=$B242),$T$9:$T241),0)))</f>
        <v/>
      </c>
      <c r="U242" s="58" t="str">
        <f t="shared" si="53"/>
        <v/>
      </c>
      <c r="V242" s="58" t="str">
        <f>IF($A242="","",IF(OR($B242="",$C242="",$D242="",$E242="",$F242=""),"Missing required field",IF(COUNTIFS($A$9:$A242,$A242,$B$9:$B242,$B242)&gt;1,"Duplicate event ID",IF(AND($E242&lt;&gt;IFERROR(LOOKUP(2,1/($B$9:$B$241=$B242),$E$9:$E241),0),IFERROR(LOOKUP(2,1/($B$9:$B$241=$B242),$E$9:$E241),0)&gt;$E242),"Date out of order",IF(AND(OR($F242="buy_to_close",$F242="expire",$F242="roll",$F242="assignment",$F242="called_away"),$AF242=0),"Unknown lot",IF(OR(AND($F242="assignment",$AF242&gt;0,IF($AF242&gt;0,INDEX($AG$9:$AG$241,$AF242),"")&lt;&gt;"put"),AND($F242="called_away",$AF242&gt;0,IF($AF242&gt;0,INDEX($AG$9:$AG$241,$AF242),"")&lt;&gt;"call")),"Wrong option leg",IF(OR(AND(OR($F242="sell_put",$F242="sell_call"),OR($H242&lt;=0,$I242&lt;=0,$J242&lt;0)),AND(OR($F242="buy_to_close",$F242="expire",$F242="assignment",$F242="called_away"),OR($H242&lt;=0,$J242&lt;0)),AND($F242="roll",OR($H242&lt;=0,$I242&lt;=0,$J242&lt;0,$K242&lt;0)),AND(OR($F242="buy_shares",$F242="sell_shares"),OR($L242&lt;=0,$M242&lt;0)),AND(OR($F242="dividend",$F242="fee"),$N242&lt;0)),"Invalid value",IF(AND(OR($F242="sell_shares",$F242="called_away"),$AL242&lt;IF($F242="called_away",$AE242*$D242,$L242)),"Insufficient shares (capped)",IF(AND(OR($F242="buy_to_close",$F242="expire",$F242="roll",$F242="assignment",$F242="called_away"),$AF242&gt;0,$H242&gt;IF($AF242&gt;0,MAX(0,INDEX($AI$9:$AI$241,$AF242)-SUMIFS($AE$9:$AE$241,$G$9:$G$241,$G242,$B$9:$B$241,$B242)),0)),"Close quantity capped","OK")))))))))</f>
        <v/>
      </c>
      <c r="W242" s="59" t="str">
        <f t="shared" si="54"/>
        <v/>
      </c>
      <c r="X242" s="60" t="str">
        <f t="shared" si="55"/>
        <v/>
      </c>
      <c r="Y242" s="50" t="str">
        <f t="shared" si="56"/>
        <v/>
      </c>
      <c r="Z242" s="50" t="str">
        <f t="shared" si="57"/>
        <v/>
      </c>
      <c r="AA242" s="50" t="str">
        <f t="shared" si="58"/>
        <v/>
      </c>
      <c r="AB242" s="50" t="str">
        <f t="shared" si="59"/>
        <v/>
      </c>
      <c r="AC242" s="50" t="str">
        <f>IF($A242="","",IF($F242="assignment",IF($AF242&gt;0,INDEX($AH$9:$AH$241,$AF242),0)*$AE242*$D242,IF($F242="buy_shares",$M242*$AL242,0)))</f>
        <v/>
      </c>
      <c r="AD242" s="50" t="str">
        <f>IF($A242="","",IF($F242="called_away",IF($AF242&gt;0,INDEX($AH$9:$AH$241,$AF242),0)*$AL242,IF($F242="sell_shares",$M242*$AL242,0)))</f>
        <v/>
      </c>
      <c r="AE242" s="51" t="str">
        <f>IF($A242="","",IF(OR($F242="sell_put",$F242="sell_call"),IF(AND($H242&gt;0,$I242&gt;0,$J242&gt;=0),$H242,0),IF(OR($F242="buy_to_close",$F242="expire",$F242="roll",$F242="assignment",$F242="called_away"),IF(AND($AF242&gt;0,$H242&gt;0,IF($F242="assignment",IF($AF242&gt;0,INDEX($AG$9:$AG$241,$AF242),"")="put",TRUE),IF($F242="called_away",IF($AF242&gt;0,INDEX($AG$9:$AG$241,$AF242),"")="call",TRUE)),MIN($H242,IF($AF242&gt;0,MAX(0,INDEX($AI$9:$AI$241,$AF242)-SUMIFS($AE$9:$AE$241,$G$9:$G$241,$G242,$B$9:$B$241,$B242)),0)),0),0)))</f>
        <v/>
      </c>
      <c r="AF242" t="str">
        <f>IF($A242="","",IFERROR(MATCH(LEN($B242)&amp;":"&amp;$B242&amp;$G242,$AY$9:$AY$241,0),0))</f>
        <v/>
      </c>
      <c r="AG242" t="str">
        <f>IF($A242="","",IF($F242="sell_put","put",IF($F242="sell_call","call",IF($F242="roll",IF($AF242&gt;0,IF($AF242&gt;0,INDEX($AG$9:$AG$241,$AF242),""),""),IF($AF242&gt;0,IF($AF242&gt;0,INDEX($AG$9:$AG$241,$AF242),""),"")))))</f>
        <v/>
      </c>
      <c r="AH242" t="str">
        <f>IF($A242="","",IF(OR($F242="sell_put",$F242="sell_call",$F242="roll"),$I242,IF($AF242&gt;0,IF($AF242&gt;0,INDEX($AH$9:$AH$241,$AF242),0),0)))</f>
        <v/>
      </c>
      <c r="AI242" s="51" t="str">
        <f t="shared" si="60"/>
        <v/>
      </c>
      <c r="AJ242" s="51" t="str">
        <f>IF($A242="","",IFERROR(LOOKUP(2,1/($B$9:$B$241=$B242),$AM$9:$AM241),0))</f>
        <v/>
      </c>
      <c r="AK242" t="str">
        <f>IF($A242="","",IFERROR(LOOKUP(2,1/($B$9:$B$241=$B242),$AN$9:$AN241),0))</f>
        <v/>
      </c>
      <c r="AL242" s="51" t="str">
        <f t="shared" si="61"/>
        <v/>
      </c>
      <c r="AM242" s="51" t="str">
        <f t="shared" si="62"/>
        <v/>
      </c>
      <c r="AN242" t="str">
        <f t="shared" si="63"/>
        <v/>
      </c>
      <c r="AO242" s="50" t="str">
        <f>IF($A242="","",IFERROR(LOOKUP(2,1/($B$9:$B$241=$B242),$AO$9:$AO241),0)+IF($F242="sell_put",$I242*$AE242*$D242,IF($F242="roll",IF($AG242="put",($I242-IF($AF242&gt;0,INDEX($AH$9:$AH$241,$AF242),0))*$AE242*$D242,0),IF(AND(OR($F242="buy_to_close",$F242="expire",$F242="roll",$F242="assignment",$F242="called_away"),$F242&lt;&gt;"roll",$AG242="put"),-IF($AF242&gt;0,INDEX($AH$9:$AH$241,$AF242),0)*$AE242*$D242,0))))</f>
        <v/>
      </c>
      <c r="AP242" s="51" t="str">
        <f>IF($A242="","",IFERROR(LOOKUP(2,1/($B$9:$B$241=$B242),$AP$9:$AP241),0)+IF($F242="sell_put",$AE242*$D242,IF(AND(OR($F242="buy_to_close",$F242="expire",$F242="roll",$F242="assignment",$F242="called_away"),$F242&lt;&gt;"roll",$AG242="put"),-$AE242*$D242,0)))</f>
        <v/>
      </c>
      <c r="AQ242" s="51" t="str">
        <f>IF($A242="","",IFERROR(LOOKUP(2,1/($B$9:$B$241=$B242),$AQ$9:$AQ241),0)+IF(OR($F242="sell_put",$F242="sell_call"),$AE242,0)-IF(AND(OR($F242="buy_to_close",$F242="expire",$F242="roll",$F242="assignment",$F242="called_away"),$F242&lt;&gt;"roll"),$AE242,0))</f>
        <v/>
      </c>
      <c r="AR242" t="str">
        <f t="shared" si="64"/>
        <v/>
      </c>
      <c r="AS242" s="50" t="str">
        <f t="shared" si="65"/>
        <v/>
      </c>
      <c r="AT242" s="50" t="str">
        <f>IF($A242="","",MAX(IF($T242=IFERROR(LOOKUP(2,1/($B$9:$B$241=$B242),$T$9:$T241),0),IFERROR(LOOKUP(2,1/($B$9:$B$241=$B242),$AT$9:$AT241),0),0),$AS242))</f>
        <v/>
      </c>
      <c r="AU242" t="str">
        <f t="shared" si="66"/>
        <v/>
      </c>
      <c r="AV242" s="51">
        <f>IF($AU242="",0,IF(AND(IFERROR(LOOKUP(2,1/($B$9:$B$241=$B242),$AR$9:$AR241),1),NOT(AND(OR($F242="dividend",$F242="fee"),IFERROR(LOOKUP(2,1/($B$9:$B$241=$B242),$T$9:$T241),0)&gt;0))),ROW(),0))</f>
        <v>0</v>
      </c>
      <c r="AW242">
        <f>IF($A242="",0,IF($AV242&gt;0,MAX($AW$9:$AW$241)+1,MAX($AW$9:$AW$241)))</f>
        <v>0</v>
      </c>
      <c r="AX242">
        <f>IF($AU242="",0,IF(AND($AR242,OR(NOT(IFERROR(LOOKUP(2,1/($B$9:$B$241=$B242),$AR$9:$AR241),1)),IFERROR(LOOKUP(2,1/($B$9:$B$241=$B242),$T$9:$T241),0)=0)),ROW(),0))</f>
        <v>0</v>
      </c>
      <c r="AY242" t="str">
        <f t="shared" si="67"/>
        <v/>
      </c>
    </row>
    <row r="243" spans="1:51" ht="15" x14ac:dyDescent="0.25">
      <c r="A243" s="41" t="str">
        <f>IF(Trades!$A243="","",Trades!O243)</f>
        <v/>
      </c>
      <c r="B243" s="41" t="str">
        <f>IF(Trades!$A243="","",Trades!B243)</f>
        <v/>
      </c>
      <c r="C243" s="41" t="str">
        <f>IF(Trades!$A243="","",Trades!C243)</f>
        <v/>
      </c>
      <c r="D243" s="42" t="str">
        <f>IF(Trades!$A243="","",IF(Trades!$L243&gt;0,Trades!$L243,Trades!$C$6))</f>
        <v/>
      </c>
      <c r="E243" s="43" t="str">
        <f>IF(Trades!$A243="","",Trades!A243)</f>
        <v/>
      </c>
      <c r="F243" s="41" t="str">
        <f>IF(Trades!$A243="","",IFERROR(INDEX(Trades!$V$2:$V$14,MATCH(Trades!$E243,Trades!$U$2:$U$14,0)),""))</f>
        <v/>
      </c>
      <c r="G243" s="41" t="str">
        <f>IF(Trades!$A243="","",Trades!N243)</f>
        <v/>
      </c>
      <c r="H243" s="42" t="str">
        <f>IF(Trades!$A243="","",Trades!F243)</f>
        <v/>
      </c>
      <c r="I243" s="44" t="str">
        <f>IF(Trades!$A243="","",Trades!G243)</f>
        <v/>
      </c>
      <c r="J243" s="44" t="str">
        <f>IF(Trades!$A243="","",Trades!I243)</f>
        <v/>
      </c>
      <c r="K243" s="44" t="str">
        <f>IF(Trades!$A243="","",Trades!Q243)</f>
        <v/>
      </c>
      <c r="L243" s="42" t="str">
        <f>IF(Trades!$A243="","",Trades!F243)</f>
        <v/>
      </c>
      <c r="M243" s="44" t="str">
        <f>IF(Trades!$A243="","",Trades!M243)</f>
        <v/>
      </c>
      <c r="N243" s="44" t="str">
        <f>IF(Trades!$A243="","",Trades!R243)</f>
        <v/>
      </c>
      <c r="O243" s="44" t="str">
        <f>IF(Trades!$A243="","",Trades!J243)</f>
        <v/>
      </c>
      <c r="P243" s="43" t="str">
        <f>IF(Trades!$A243="","",Trades!H243)</f>
        <v/>
      </c>
      <c r="Q243" s="41" t="str">
        <f>IF(Trades!$A243="","",Trades!P243)</f>
        <v/>
      </c>
      <c r="R243" s="45" t="str">
        <f t="shared" si="51"/>
        <v/>
      </c>
      <c r="S243" s="45" t="str">
        <f t="shared" si="52"/>
        <v/>
      </c>
      <c r="T243" s="46" t="str">
        <f>IF(OR($A243="",$B243=""),"",IF(AND(IFERROR(LOOKUP(2,1/($B$9:$B$242=$B243),$AR$9:$AR242),1),NOT(AND(OR($F243="dividend",$F243="fee"),IFERROR(LOOKUP(2,1/($B$9:$B$242=$B243),$T$9:$T242),0)&gt;0))),IFERROR(LOOKUP(2,1/($B$9:$B$242=$B243),$T$9:$T242),0)+1,IFERROR(LOOKUP(2,1/($B$9:$B$242=$B243),$T$9:$T242),0)))</f>
        <v/>
      </c>
      <c r="U243" s="47" t="str">
        <f t="shared" si="53"/>
        <v/>
      </c>
      <c r="V243" s="47" t="str">
        <f>IF($A243="","",IF(OR($B243="",$C243="",$D243="",$E243="",$F243=""),"Missing required field",IF(COUNTIFS($A$9:$A243,$A243,$B$9:$B243,$B243)&gt;1,"Duplicate event ID",IF(AND($E243&lt;&gt;IFERROR(LOOKUP(2,1/($B$9:$B$242=$B243),$E$9:$E242),0),IFERROR(LOOKUP(2,1/($B$9:$B$242=$B243),$E$9:$E242),0)&gt;$E243),"Date out of order",IF(AND(OR($F243="buy_to_close",$F243="expire",$F243="roll",$F243="assignment",$F243="called_away"),$AF243=0),"Unknown lot",IF(OR(AND($F243="assignment",$AF243&gt;0,IF($AF243&gt;0,INDEX($AG$9:$AG$242,$AF243),"")&lt;&gt;"put"),AND($F243="called_away",$AF243&gt;0,IF($AF243&gt;0,INDEX($AG$9:$AG$242,$AF243),"")&lt;&gt;"call")),"Wrong option leg",IF(OR(AND(OR($F243="sell_put",$F243="sell_call"),OR($H243&lt;=0,$I243&lt;=0,$J243&lt;0)),AND(OR($F243="buy_to_close",$F243="expire",$F243="assignment",$F243="called_away"),OR($H243&lt;=0,$J243&lt;0)),AND($F243="roll",OR($H243&lt;=0,$I243&lt;=0,$J243&lt;0,$K243&lt;0)),AND(OR($F243="buy_shares",$F243="sell_shares"),OR($L243&lt;=0,$M243&lt;0)),AND(OR($F243="dividend",$F243="fee"),$N243&lt;0)),"Invalid value",IF(AND(OR($F243="sell_shares",$F243="called_away"),$AL243&lt;IF($F243="called_away",$AE243*$D243,$L243)),"Insufficient shares (capped)",IF(AND(OR($F243="buy_to_close",$F243="expire",$F243="roll",$F243="assignment",$F243="called_away"),$AF243&gt;0,$H243&gt;IF($AF243&gt;0,MAX(0,INDEX($AI$9:$AI$242,$AF243)-SUMIFS($AE$9:$AE$242,$G$9:$G$242,$G243,$B$9:$B$242,$B243)),0)),"Close quantity capped","OK")))))))))</f>
        <v/>
      </c>
      <c r="W243" s="48" t="str">
        <f t="shared" si="54"/>
        <v/>
      </c>
      <c r="X243" s="49" t="str">
        <f t="shared" si="55"/>
        <v/>
      </c>
      <c r="Y243" s="50" t="str">
        <f t="shared" si="56"/>
        <v/>
      </c>
      <c r="Z243" s="50" t="str">
        <f t="shared" si="57"/>
        <v/>
      </c>
      <c r="AA243" s="50" t="str">
        <f t="shared" si="58"/>
        <v/>
      </c>
      <c r="AB243" s="50" t="str">
        <f t="shared" si="59"/>
        <v/>
      </c>
      <c r="AC243" s="50" t="str">
        <f>IF($A243="","",IF($F243="assignment",IF($AF243&gt;0,INDEX($AH$9:$AH$242,$AF243),0)*$AE243*$D243,IF($F243="buy_shares",$M243*$AL243,0)))</f>
        <v/>
      </c>
      <c r="AD243" s="50" t="str">
        <f>IF($A243="","",IF($F243="called_away",IF($AF243&gt;0,INDEX($AH$9:$AH$242,$AF243),0)*$AL243,IF($F243="sell_shares",$M243*$AL243,0)))</f>
        <v/>
      </c>
      <c r="AE243" s="51" t="str">
        <f>IF($A243="","",IF(OR($F243="sell_put",$F243="sell_call"),IF(AND($H243&gt;0,$I243&gt;0,$J243&gt;=0),$H243,0),IF(OR($F243="buy_to_close",$F243="expire",$F243="roll",$F243="assignment",$F243="called_away"),IF(AND($AF243&gt;0,$H243&gt;0,IF($F243="assignment",IF($AF243&gt;0,INDEX($AG$9:$AG$242,$AF243),"")="put",TRUE),IF($F243="called_away",IF($AF243&gt;0,INDEX($AG$9:$AG$242,$AF243),"")="call",TRUE)),MIN($H243,IF($AF243&gt;0,MAX(0,INDEX($AI$9:$AI$242,$AF243)-SUMIFS($AE$9:$AE$242,$G$9:$G$242,$G243,$B$9:$B$242,$B243)),0)),0),0)))</f>
        <v/>
      </c>
      <c r="AF243" t="str">
        <f>IF($A243="","",IFERROR(MATCH(LEN($B243)&amp;":"&amp;$B243&amp;$G243,$AY$9:$AY$242,0),0))</f>
        <v/>
      </c>
      <c r="AG243" t="str">
        <f>IF($A243="","",IF($F243="sell_put","put",IF($F243="sell_call","call",IF($F243="roll",IF($AF243&gt;0,IF($AF243&gt;0,INDEX($AG$9:$AG$242,$AF243),""),""),IF($AF243&gt;0,IF($AF243&gt;0,INDEX($AG$9:$AG$242,$AF243),""),"")))))</f>
        <v/>
      </c>
      <c r="AH243" t="str">
        <f>IF($A243="","",IF(OR($F243="sell_put",$F243="sell_call",$F243="roll"),$I243,IF($AF243&gt;0,IF($AF243&gt;0,INDEX($AH$9:$AH$242,$AF243),0),0)))</f>
        <v/>
      </c>
      <c r="AI243" s="51" t="str">
        <f t="shared" si="60"/>
        <v/>
      </c>
      <c r="AJ243" s="51" t="str">
        <f>IF($A243="","",IFERROR(LOOKUP(2,1/($B$9:$B$242=$B243),$AM$9:$AM242),0))</f>
        <v/>
      </c>
      <c r="AK243" t="str">
        <f>IF($A243="","",IFERROR(LOOKUP(2,1/($B$9:$B$242=$B243),$AN$9:$AN242),0))</f>
        <v/>
      </c>
      <c r="AL243" s="51" t="str">
        <f t="shared" si="61"/>
        <v/>
      </c>
      <c r="AM243" s="51" t="str">
        <f t="shared" si="62"/>
        <v/>
      </c>
      <c r="AN243" t="str">
        <f t="shared" si="63"/>
        <v/>
      </c>
      <c r="AO243" s="50" t="str">
        <f>IF($A243="","",IFERROR(LOOKUP(2,1/($B$9:$B$242=$B243),$AO$9:$AO242),0)+IF($F243="sell_put",$I243*$AE243*$D243,IF($F243="roll",IF($AG243="put",($I243-IF($AF243&gt;0,INDEX($AH$9:$AH$242,$AF243),0))*$AE243*$D243,0),IF(AND(OR($F243="buy_to_close",$F243="expire",$F243="roll",$F243="assignment",$F243="called_away"),$F243&lt;&gt;"roll",$AG243="put"),-IF($AF243&gt;0,INDEX($AH$9:$AH$242,$AF243),0)*$AE243*$D243,0))))</f>
        <v/>
      </c>
      <c r="AP243" s="51" t="str">
        <f>IF($A243="","",IFERROR(LOOKUP(2,1/($B$9:$B$242=$B243),$AP$9:$AP242),0)+IF($F243="sell_put",$AE243*$D243,IF(AND(OR($F243="buy_to_close",$F243="expire",$F243="roll",$F243="assignment",$F243="called_away"),$F243&lt;&gt;"roll",$AG243="put"),-$AE243*$D243,0)))</f>
        <v/>
      </c>
      <c r="AQ243" s="51" t="str">
        <f>IF($A243="","",IFERROR(LOOKUP(2,1/($B$9:$B$242=$B243),$AQ$9:$AQ242),0)+IF(OR($F243="sell_put",$F243="sell_call"),$AE243,0)-IF(AND(OR($F243="buy_to_close",$F243="expire",$F243="roll",$F243="assignment",$F243="called_away"),$F243&lt;&gt;"roll"),$AE243,0))</f>
        <v/>
      </c>
      <c r="AR243" t="str">
        <f t="shared" si="64"/>
        <v/>
      </c>
      <c r="AS243" s="50" t="str">
        <f t="shared" si="65"/>
        <v/>
      </c>
      <c r="AT243" s="50" t="str">
        <f>IF($A243="","",MAX(IF($T243=IFERROR(LOOKUP(2,1/($B$9:$B$242=$B243),$T$9:$T242),0),IFERROR(LOOKUP(2,1/($B$9:$B$242=$B243),$AT$9:$AT242),0),0),$AS243))</f>
        <v/>
      </c>
      <c r="AU243" t="str">
        <f t="shared" si="66"/>
        <v/>
      </c>
      <c r="AV243" s="51">
        <f>IF($AU243="",0,IF(AND(IFERROR(LOOKUP(2,1/($B$9:$B$242=$B243),$AR$9:$AR242),1),NOT(AND(OR($F243="dividend",$F243="fee"),IFERROR(LOOKUP(2,1/($B$9:$B$242=$B243),$T$9:$T242),0)&gt;0))),ROW(),0))</f>
        <v>0</v>
      </c>
      <c r="AW243">
        <f>IF($A243="",0,IF($AV243&gt;0,MAX($AW$9:$AW$242)+1,MAX($AW$9:$AW$242)))</f>
        <v>0</v>
      </c>
      <c r="AX243">
        <f>IF($AU243="",0,IF(AND($AR243,OR(NOT(IFERROR(LOOKUP(2,1/($B$9:$B$242=$B243),$AR$9:$AR242),1)),IFERROR(LOOKUP(2,1/($B$9:$B$242=$B243),$T$9:$T242),0)=0)),ROW(),0))</f>
        <v>0</v>
      </c>
      <c r="AY243" t="str">
        <f t="shared" si="67"/>
        <v/>
      </c>
    </row>
    <row r="244" spans="1:51" ht="15" x14ac:dyDescent="0.25">
      <c r="A244" s="52" t="str">
        <f>IF(Trades!$A244="","",Trades!O244)</f>
        <v/>
      </c>
      <c r="B244" s="52" t="str">
        <f>IF(Trades!$A244="","",Trades!B244)</f>
        <v/>
      </c>
      <c r="C244" s="52" t="str">
        <f>IF(Trades!$A244="","",Trades!C244)</f>
        <v/>
      </c>
      <c r="D244" s="53" t="str">
        <f>IF(Trades!$A244="","",IF(Trades!$L244&gt;0,Trades!$L244,Trades!$C$6))</f>
        <v/>
      </c>
      <c r="E244" s="54" t="str">
        <f>IF(Trades!$A244="","",Trades!A244)</f>
        <v/>
      </c>
      <c r="F244" s="52" t="str">
        <f>IF(Trades!$A244="","",IFERROR(INDEX(Trades!$V$2:$V$14,MATCH(Trades!$E244,Trades!$U$2:$U$14,0)),""))</f>
        <v/>
      </c>
      <c r="G244" s="52" t="str">
        <f>IF(Trades!$A244="","",Trades!N244)</f>
        <v/>
      </c>
      <c r="H244" s="53" t="str">
        <f>IF(Trades!$A244="","",Trades!F244)</f>
        <v/>
      </c>
      <c r="I244" s="55" t="str">
        <f>IF(Trades!$A244="","",Trades!G244)</f>
        <v/>
      </c>
      <c r="J244" s="55" t="str">
        <f>IF(Trades!$A244="","",Trades!I244)</f>
        <v/>
      </c>
      <c r="K244" s="55" t="str">
        <f>IF(Trades!$A244="","",Trades!Q244)</f>
        <v/>
      </c>
      <c r="L244" s="53" t="str">
        <f>IF(Trades!$A244="","",Trades!F244)</f>
        <v/>
      </c>
      <c r="M244" s="55" t="str">
        <f>IF(Trades!$A244="","",Trades!M244)</f>
        <v/>
      </c>
      <c r="N244" s="55" t="str">
        <f>IF(Trades!$A244="","",Trades!R244)</f>
        <v/>
      </c>
      <c r="O244" s="55" t="str">
        <f>IF(Trades!$A244="","",Trades!J244)</f>
        <v/>
      </c>
      <c r="P244" s="54" t="str">
        <f>IF(Trades!$A244="","",Trades!H244)</f>
        <v/>
      </c>
      <c r="Q244" s="52" t="str">
        <f>IF(Trades!$A244="","",Trades!P244)</f>
        <v/>
      </c>
      <c r="R244" s="56" t="str">
        <f t="shared" si="51"/>
        <v/>
      </c>
      <c r="S244" s="56" t="str">
        <f t="shared" si="52"/>
        <v/>
      </c>
      <c r="T244" s="57" t="str">
        <f>IF(OR($A244="",$B244=""),"",IF(AND(IFERROR(LOOKUP(2,1/($B$9:$B$243=$B244),$AR$9:$AR243),1),NOT(AND(OR($F244="dividend",$F244="fee"),IFERROR(LOOKUP(2,1/($B$9:$B$243=$B244),$T$9:$T243),0)&gt;0))),IFERROR(LOOKUP(2,1/($B$9:$B$243=$B244),$T$9:$T243),0)+1,IFERROR(LOOKUP(2,1/($B$9:$B$243=$B244),$T$9:$T243),0)))</f>
        <v/>
      </c>
      <c r="U244" s="58" t="str">
        <f t="shared" si="53"/>
        <v/>
      </c>
      <c r="V244" s="58" t="str">
        <f>IF($A244="","",IF(OR($B244="",$C244="",$D244="",$E244="",$F244=""),"Missing required field",IF(COUNTIFS($A$9:$A244,$A244,$B$9:$B244,$B244)&gt;1,"Duplicate event ID",IF(AND($E244&lt;&gt;IFERROR(LOOKUP(2,1/($B$9:$B$243=$B244),$E$9:$E243),0),IFERROR(LOOKUP(2,1/($B$9:$B$243=$B244),$E$9:$E243),0)&gt;$E244),"Date out of order",IF(AND(OR($F244="buy_to_close",$F244="expire",$F244="roll",$F244="assignment",$F244="called_away"),$AF244=0),"Unknown lot",IF(OR(AND($F244="assignment",$AF244&gt;0,IF($AF244&gt;0,INDEX($AG$9:$AG$243,$AF244),"")&lt;&gt;"put"),AND($F244="called_away",$AF244&gt;0,IF($AF244&gt;0,INDEX($AG$9:$AG$243,$AF244),"")&lt;&gt;"call")),"Wrong option leg",IF(OR(AND(OR($F244="sell_put",$F244="sell_call"),OR($H244&lt;=0,$I244&lt;=0,$J244&lt;0)),AND(OR($F244="buy_to_close",$F244="expire",$F244="assignment",$F244="called_away"),OR($H244&lt;=0,$J244&lt;0)),AND($F244="roll",OR($H244&lt;=0,$I244&lt;=0,$J244&lt;0,$K244&lt;0)),AND(OR($F244="buy_shares",$F244="sell_shares"),OR($L244&lt;=0,$M244&lt;0)),AND(OR($F244="dividend",$F244="fee"),$N244&lt;0)),"Invalid value",IF(AND(OR($F244="sell_shares",$F244="called_away"),$AL244&lt;IF($F244="called_away",$AE244*$D244,$L244)),"Insufficient shares (capped)",IF(AND(OR($F244="buy_to_close",$F244="expire",$F244="roll",$F244="assignment",$F244="called_away"),$AF244&gt;0,$H244&gt;IF($AF244&gt;0,MAX(0,INDEX($AI$9:$AI$243,$AF244)-SUMIFS($AE$9:$AE$243,$G$9:$G$243,$G244,$B$9:$B$243,$B244)),0)),"Close quantity capped","OK")))))))))</f>
        <v/>
      </c>
      <c r="W244" s="59" t="str">
        <f t="shared" si="54"/>
        <v/>
      </c>
      <c r="X244" s="60" t="str">
        <f t="shared" si="55"/>
        <v/>
      </c>
      <c r="Y244" s="50" t="str">
        <f t="shared" si="56"/>
        <v/>
      </c>
      <c r="Z244" s="50" t="str">
        <f t="shared" si="57"/>
        <v/>
      </c>
      <c r="AA244" s="50" t="str">
        <f t="shared" si="58"/>
        <v/>
      </c>
      <c r="AB244" s="50" t="str">
        <f t="shared" si="59"/>
        <v/>
      </c>
      <c r="AC244" s="50" t="str">
        <f>IF($A244="","",IF($F244="assignment",IF($AF244&gt;0,INDEX($AH$9:$AH$243,$AF244),0)*$AE244*$D244,IF($F244="buy_shares",$M244*$AL244,0)))</f>
        <v/>
      </c>
      <c r="AD244" s="50" t="str">
        <f>IF($A244="","",IF($F244="called_away",IF($AF244&gt;0,INDEX($AH$9:$AH$243,$AF244),0)*$AL244,IF($F244="sell_shares",$M244*$AL244,0)))</f>
        <v/>
      </c>
      <c r="AE244" s="51" t="str">
        <f>IF($A244="","",IF(OR($F244="sell_put",$F244="sell_call"),IF(AND($H244&gt;0,$I244&gt;0,$J244&gt;=0),$H244,0),IF(OR($F244="buy_to_close",$F244="expire",$F244="roll",$F244="assignment",$F244="called_away"),IF(AND($AF244&gt;0,$H244&gt;0,IF($F244="assignment",IF($AF244&gt;0,INDEX($AG$9:$AG$243,$AF244),"")="put",TRUE),IF($F244="called_away",IF($AF244&gt;0,INDEX($AG$9:$AG$243,$AF244),"")="call",TRUE)),MIN($H244,IF($AF244&gt;0,MAX(0,INDEX($AI$9:$AI$243,$AF244)-SUMIFS($AE$9:$AE$243,$G$9:$G$243,$G244,$B$9:$B$243,$B244)),0)),0),0)))</f>
        <v/>
      </c>
      <c r="AF244" t="str">
        <f>IF($A244="","",IFERROR(MATCH(LEN($B244)&amp;":"&amp;$B244&amp;$G244,$AY$9:$AY$243,0),0))</f>
        <v/>
      </c>
      <c r="AG244" t="str">
        <f>IF($A244="","",IF($F244="sell_put","put",IF($F244="sell_call","call",IF($F244="roll",IF($AF244&gt;0,IF($AF244&gt;0,INDEX($AG$9:$AG$243,$AF244),""),""),IF($AF244&gt;0,IF($AF244&gt;0,INDEX($AG$9:$AG$243,$AF244),""),"")))))</f>
        <v/>
      </c>
      <c r="AH244" t="str">
        <f>IF($A244="","",IF(OR($F244="sell_put",$F244="sell_call",$F244="roll"),$I244,IF($AF244&gt;0,IF($AF244&gt;0,INDEX($AH$9:$AH$243,$AF244),0),0)))</f>
        <v/>
      </c>
      <c r="AI244" s="51" t="str">
        <f t="shared" si="60"/>
        <v/>
      </c>
      <c r="AJ244" s="51" t="str">
        <f>IF($A244="","",IFERROR(LOOKUP(2,1/($B$9:$B$243=$B244),$AM$9:$AM243),0))</f>
        <v/>
      </c>
      <c r="AK244" t="str">
        <f>IF($A244="","",IFERROR(LOOKUP(2,1/($B$9:$B$243=$B244),$AN$9:$AN243),0))</f>
        <v/>
      </c>
      <c r="AL244" s="51" t="str">
        <f t="shared" si="61"/>
        <v/>
      </c>
      <c r="AM244" s="51" t="str">
        <f t="shared" si="62"/>
        <v/>
      </c>
      <c r="AN244" t="str">
        <f t="shared" si="63"/>
        <v/>
      </c>
      <c r="AO244" s="50" t="str">
        <f>IF($A244="","",IFERROR(LOOKUP(2,1/($B$9:$B$243=$B244),$AO$9:$AO243),0)+IF($F244="sell_put",$I244*$AE244*$D244,IF($F244="roll",IF($AG244="put",($I244-IF($AF244&gt;0,INDEX($AH$9:$AH$243,$AF244),0))*$AE244*$D244,0),IF(AND(OR($F244="buy_to_close",$F244="expire",$F244="roll",$F244="assignment",$F244="called_away"),$F244&lt;&gt;"roll",$AG244="put"),-IF($AF244&gt;0,INDEX($AH$9:$AH$243,$AF244),0)*$AE244*$D244,0))))</f>
        <v/>
      </c>
      <c r="AP244" s="51" t="str">
        <f>IF($A244="","",IFERROR(LOOKUP(2,1/($B$9:$B$243=$B244),$AP$9:$AP243),0)+IF($F244="sell_put",$AE244*$D244,IF(AND(OR($F244="buy_to_close",$F244="expire",$F244="roll",$F244="assignment",$F244="called_away"),$F244&lt;&gt;"roll",$AG244="put"),-$AE244*$D244,0)))</f>
        <v/>
      </c>
      <c r="AQ244" s="51" t="str">
        <f>IF($A244="","",IFERROR(LOOKUP(2,1/($B$9:$B$243=$B244),$AQ$9:$AQ243),0)+IF(OR($F244="sell_put",$F244="sell_call"),$AE244,0)-IF(AND(OR($F244="buy_to_close",$F244="expire",$F244="roll",$F244="assignment",$F244="called_away"),$F244&lt;&gt;"roll"),$AE244,0))</f>
        <v/>
      </c>
      <c r="AR244" t="str">
        <f t="shared" si="64"/>
        <v/>
      </c>
      <c r="AS244" s="50" t="str">
        <f t="shared" si="65"/>
        <v/>
      </c>
      <c r="AT244" s="50" t="str">
        <f>IF($A244="","",MAX(IF($T244=IFERROR(LOOKUP(2,1/($B$9:$B$243=$B244),$T$9:$T243),0),IFERROR(LOOKUP(2,1/($B$9:$B$243=$B244),$AT$9:$AT243),0),0),$AS244))</f>
        <v/>
      </c>
      <c r="AU244" t="str">
        <f t="shared" si="66"/>
        <v/>
      </c>
      <c r="AV244" s="51">
        <f>IF($AU244="",0,IF(AND(IFERROR(LOOKUP(2,1/($B$9:$B$243=$B244),$AR$9:$AR243),1),NOT(AND(OR($F244="dividend",$F244="fee"),IFERROR(LOOKUP(2,1/($B$9:$B$243=$B244),$T$9:$T243),0)&gt;0))),ROW(),0))</f>
        <v>0</v>
      </c>
      <c r="AW244">
        <f>IF($A244="",0,IF($AV244&gt;0,MAX($AW$9:$AW$243)+1,MAX($AW$9:$AW$243)))</f>
        <v>0</v>
      </c>
      <c r="AX244">
        <f>IF($AU244="",0,IF(AND($AR244,OR(NOT(IFERROR(LOOKUP(2,1/($B$9:$B$243=$B244),$AR$9:$AR243),1)),IFERROR(LOOKUP(2,1/($B$9:$B$243=$B244),$T$9:$T243),0)=0)),ROW(),0))</f>
        <v>0</v>
      </c>
      <c r="AY244" t="str">
        <f t="shared" si="67"/>
        <v/>
      </c>
    </row>
    <row r="245" spans="1:51" ht="15" x14ac:dyDescent="0.25">
      <c r="A245" s="41" t="str">
        <f>IF(Trades!$A245="","",Trades!O245)</f>
        <v/>
      </c>
      <c r="B245" s="41" t="str">
        <f>IF(Trades!$A245="","",Trades!B245)</f>
        <v/>
      </c>
      <c r="C245" s="41" t="str">
        <f>IF(Trades!$A245="","",Trades!C245)</f>
        <v/>
      </c>
      <c r="D245" s="42" t="str">
        <f>IF(Trades!$A245="","",IF(Trades!$L245&gt;0,Trades!$L245,Trades!$C$6))</f>
        <v/>
      </c>
      <c r="E245" s="43" t="str">
        <f>IF(Trades!$A245="","",Trades!A245)</f>
        <v/>
      </c>
      <c r="F245" s="41" t="str">
        <f>IF(Trades!$A245="","",IFERROR(INDEX(Trades!$V$2:$V$14,MATCH(Trades!$E245,Trades!$U$2:$U$14,0)),""))</f>
        <v/>
      </c>
      <c r="G245" s="41" t="str">
        <f>IF(Trades!$A245="","",Trades!N245)</f>
        <v/>
      </c>
      <c r="H245" s="42" t="str">
        <f>IF(Trades!$A245="","",Trades!F245)</f>
        <v/>
      </c>
      <c r="I245" s="44" t="str">
        <f>IF(Trades!$A245="","",Trades!G245)</f>
        <v/>
      </c>
      <c r="J245" s="44" t="str">
        <f>IF(Trades!$A245="","",Trades!I245)</f>
        <v/>
      </c>
      <c r="K245" s="44" t="str">
        <f>IF(Trades!$A245="","",Trades!Q245)</f>
        <v/>
      </c>
      <c r="L245" s="42" t="str">
        <f>IF(Trades!$A245="","",Trades!F245)</f>
        <v/>
      </c>
      <c r="M245" s="44" t="str">
        <f>IF(Trades!$A245="","",Trades!M245)</f>
        <v/>
      </c>
      <c r="N245" s="44" t="str">
        <f>IF(Trades!$A245="","",Trades!R245)</f>
        <v/>
      </c>
      <c r="O245" s="44" t="str">
        <f>IF(Trades!$A245="","",Trades!J245)</f>
        <v/>
      </c>
      <c r="P245" s="43" t="str">
        <f>IF(Trades!$A245="","",Trades!H245)</f>
        <v/>
      </c>
      <c r="Q245" s="41" t="str">
        <f>IF(Trades!$A245="","",Trades!P245)</f>
        <v/>
      </c>
      <c r="R245" s="45" t="str">
        <f t="shared" si="51"/>
        <v/>
      </c>
      <c r="S245" s="45" t="str">
        <f t="shared" si="52"/>
        <v/>
      </c>
      <c r="T245" s="46" t="str">
        <f>IF(OR($A245="",$B245=""),"",IF(AND(IFERROR(LOOKUP(2,1/($B$9:$B$244=$B245),$AR$9:$AR244),1),NOT(AND(OR($F245="dividend",$F245="fee"),IFERROR(LOOKUP(2,1/($B$9:$B$244=$B245),$T$9:$T244),0)&gt;0))),IFERROR(LOOKUP(2,1/($B$9:$B$244=$B245),$T$9:$T244),0)+1,IFERROR(LOOKUP(2,1/($B$9:$B$244=$B245),$T$9:$T244),0)))</f>
        <v/>
      </c>
      <c r="U245" s="47" t="str">
        <f t="shared" si="53"/>
        <v/>
      </c>
      <c r="V245" s="47" t="str">
        <f>IF($A245="","",IF(OR($B245="",$C245="",$D245="",$E245="",$F245=""),"Missing required field",IF(COUNTIFS($A$9:$A245,$A245,$B$9:$B245,$B245)&gt;1,"Duplicate event ID",IF(AND($E245&lt;&gt;IFERROR(LOOKUP(2,1/($B$9:$B$244=$B245),$E$9:$E244),0),IFERROR(LOOKUP(2,1/($B$9:$B$244=$B245),$E$9:$E244),0)&gt;$E245),"Date out of order",IF(AND(OR($F245="buy_to_close",$F245="expire",$F245="roll",$F245="assignment",$F245="called_away"),$AF245=0),"Unknown lot",IF(OR(AND($F245="assignment",$AF245&gt;0,IF($AF245&gt;0,INDEX($AG$9:$AG$244,$AF245),"")&lt;&gt;"put"),AND($F245="called_away",$AF245&gt;0,IF($AF245&gt;0,INDEX($AG$9:$AG$244,$AF245),"")&lt;&gt;"call")),"Wrong option leg",IF(OR(AND(OR($F245="sell_put",$F245="sell_call"),OR($H245&lt;=0,$I245&lt;=0,$J245&lt;0)),AND(OR($F245="buy_to_close",$F245="expire",$F245="assignment",$F245="called_away"),OR($H245&lt;=0,$J245&lt;0)),AND($F245="roll",OR($H245&lt;=0,$I245&lt;=0,$J245&lt;0,$K245&lt;0)),AND(OR($F245="buy_shares",$F245="sell_shares"),OR($L245&lt;=0,$M245&lt;0)),AND(OR($F245="dividend",$F245="fee"),$N245&lt;0)),"Invalid value",IF(AND(OR($F245="sell_shares",$F245="called_away"),$AL245&lt;IF($F245="called_away",$AE245*$D245,$L245)),"Insufficient shares (capped)",IF(AND(OR($F245="buy_to_close",$F245="expire",$F245="roll",$F245="assignment",$F245="called_away"),$AF245&gt;0,$H245&gt;IF($AF245&gt;0,MAX(0,INDEX($AI$9:$AI$244,$AF245)-SUMIFS($AE$9:$AE$244,$G$9:$G$244,$G245,$B$9:$B$244,$B245)),0)),"Close quantity capped","OK")))))))))</f>
        <v/>
      </c>
      <c r="W245" s="48" t="str">
        <f t="shared" si="54"/>
        <v/>
      </c>
      <c r="X245" s="49" t="str">
        <f t="shared" si="55"/>
        <v/>
      </c>
      <c r="Y245" s="50" t="str">
        <f t="shared" si="56"/>
        <v/>
      </c>
      <c r="Z245" s="50" t="str">
        <f t="shared" si="57"/>
        <v/>
      </c>
      <c r="AA245" s="50" t="str">
        <f t="shared" si="58"/>
        <v/>
      </c>
      <c r="AB245" s="50" t="str">
        <f t="shared" si="59"/>
        <v/>
      </c>
      <c r="AC245" s="50" t="str">
        <f>IF($A245="","",IF($F245="assignment",IF($AF245&gt;0,INDEX($AH$9:$AH$244,$AF245),0)*$AE245*$D245,IF($F245="buy_shares",$M245*$AL245,0)))</f>
        <v/>
      </c>
      <c r="AD245" s="50" t="str">
        <f>IF($A245="","",IF($F245="called_away",IF($AF245&gt;0,INDEX($AH$9:$AH$244,$AF245),0)*$AL245,IF($F245="sell_shares",$M245*$AL245,0)))</f>
        <v/>
      </c>
      <c r="AE245" s="51" t="str">
        <f>IF($A245="","",IF(OR($F245="sell_put",$F245="sell_call"),IF(AND($H245&gt;0,$I245&gt;0,$J245&gt;=0),$H245,0),IF(OR($F245="buy_to_close",$F245="expire",$F245="roll",$F245="assignment",$F245="called_away"),IF(AND($AF245&gt;0,$H245&gt;0,IF($F245="assignment",IF($AF245&gt;0,INDEX($AG$9:$AG$244,$AF245),"")="put",TRUE),IF($F245="called_away",IF($AF245&gt;0,INDEX($AG$9:$AG$244,$AF245),"")="call",TRUE)),MIN($H245,IF($AF245&gt;0,MAX(0,INDEX($AI$9:$AI$244,$AF245)-SUMIFS($AE$9:$AE$244,$G$9:$G$244,$G245,$B$9:$B$244,$B245)),0)),0),0)))</f>
        <v/>
      </c>
      <c r="AF245" t="str">
        <f>IF($A245="","",IFERROR(MATCH(LEN($B245)&amp;":"&amp;$B245&amp;$G245,$AY$9:$AY$244,0),0))</f>
        <v/>
      </c>
      <c r="AG245" t="str">
        <f>IF($A245="","",IF($F245="sell_put","put",IF($F245="sell_call","call",IF($F245="roll",IF($AF245&gt;0,IF($AF245&gt;0,INDEX($AG$9:$AG$244,$AF245),""),""),IF($AF245&gt;0,IF($AF245&gt;0,INDEX($AG$9:$AG$244,$AF245),""),"")))))</f>
        <v/>
      </c>
      <c r="AH245" t="str">
        <f>IF($A245="","",IF(OR($F245="sell_put",$F245="sell_call",$F245="roll"),$I245,IF($AF245&gt;0,IF($AF245&gt;0,INDEX($AH$9:$AH$244,$AF245),0),0)))</f>
        <v/>
      </c>
      <c r="AI245" s="51" t="str">
        <f t="shared" si="60"/>
        <v/>
      </c>
      <c r="AJ245" s="51" t="str">
        <f>IF($A245="","",IFERROR(LOOKUP(2,1/($B$9:$B$244=$B245),$AM$9:$AM244),0))</f>
        <v/>
      </c>
      <c r="AK245" t="str">
        <f>IF($A245="","",IFERROR(LOOKUP(2,1/($B$9:$B$244=$B245),$AN$9:$AN244),0))</f>
        <v/>
      </c>
      <c r="AL245" s="51" t="str">
        <f t="shared" si="61"/>
        <v/>
      </c>
      <c r="AM245" s="51" t="str">
        <f t="shared" si="62"/>
        <v/>
      </c>
      <c r="AN245" t="str">
        <f t="shared" si="63"/>
        <v/>
      </c>
      <c r="AO245" s="50" t="str">
        <f>IF($A245="","",IFERROR(LOOKUP(2,1/($B$9:$B$244=$B245),$AO$9:$AO244),0)+IF($F245="sell_put",$I245*$AE245*$D245,IF($F245="roll",IF($AG245="put",($I245-IF($AF245&gt;0,INDEX($AH$9:$AH$244,$AF245),0))*$AE245*$D245,0),IF(AND(OR($F245="buy_to_close",$F245="expire",$F245="roll",$F245="assignment",$F245="called_away"),$F245&lt;&gt;"roll",$AG245="put"),-IF($AF245&gt;0,INDEX($AH$9:$AH$244,$AF245),0)*$AE245*$D245,0))))</f>
        <v/>
      </c>
      <c r="AP245" s="51" t="str">
        <f>IF($A245="","",IFERROR(LOOKUP(2,1/($B$9:$B$244=$B245),$AP$9:$AP244),0)+IF($F245="sell_put",$AE245*$D245,IF(AND(OR($F245="buy_to_close",$F245="expire",$F245="roll",$F245="assignment",$F245="called_away"),$F245&lt;&gt;"roll",$AG245="put"),-$AE245*$D245,0)))</f>
        <v/>
      </c>
      <c r="AQ245" s="51" t="str">
        <f>IF($A245="","",IFERROR(LOOKUP(2,1/($B$9:$B$244=$B245),$AQ$9:$AQ244),0)+IF(OR($F245="sell_put",$F245="sell_call"),$AE245,0)-IF(AND(OR($F245="buy_to_close",$F245="expire",$F245="roll",$F245="assignment",$F245="called_away"),$F245&lt;&gt;"roll"),$AE245,0))</f>
        <v/>
      </c>
      <c r="AR245" t="str">
        <f t="shared" si="64"/>
        <v/>
      </c>
      <c r="AS245" s="50" t="str">
        <f t="shared" si="65"/>
        <v/>
      </c>
      <c r="AT245" s="50" t="str">
        <f>IF($A245="","",MAX(IF($T245=IFERROR(LOOKUP(2,1/($B$9:$B$244=$B245),$T$9:$T244),0),IFERROR(LOOKUP(2,1/($B$9:$B$244=$B245),$AT$9:$AT244),0),0),$AS245))</f>
        <v/>
      </c>
      <c r="AU245" t="str">
        <f t="shared" si="66"/>
        <v/>
      </c>
      <c r="AV245" s="51">
        <f>IF($AU245="",0,IF(AND(IFERROR(LOOKUP(2,1/($B$9:$B$244=$B245),$AR$9:$AR244),1),NOT(AND(OR($F245="dividend",$F245="fee"),IFERROR(LOOKUP(2,1/($B$9:$B$244=$B245),$T$9:$T244),0)&gt;0))),ROW(),0))</f>
        <v>0</v>
      </c>
      <c r="AW245">
        <f>IF($A245="",0,IF($AV245&gt;0,MAX($AW$9:$AW$244)+1,MAX($AW$9:$AW$244)))</f>
        <v>0</v>
      </c>
      <c r="AX245">
        <f>IF($AU245="",0,IF(AND($AR245,OR(NOT(IFERROR(LOOKUP(2,1/($B$9:$B$244=$B245),$AR$9:$AR244),1)),IFERROR(LOOKUP(2,1/($B$9:$B$244=$B245),$T$9:$T244),0)=0)),ROW(),0))</f>
        <v>0</v>
      </c>
      <c r="AY245" t="str">
        <f t="shared" si="67"/>
        <v/>
      </c>
    </row>
    <row r="246" spans="1:51" ht="15" x14ac:dyDescent="0.25">
      <c r="A246" s="52" t="str">
        <f>IF(Trades!$A246="","",Trades!O246)</f>
        <v/>
      </c>
      <c r="B246" s="52" t="str">
        <f>IF(Trades!$A246="","",Trades!B246)</f>
        <v/>
      </c>
      <c r="C246" s="52" t="str">
        <f>IF(Trades!$A246="","",Trades!C246)</f>
        <v/>
      </c>
      <c r="D246" s="53" t="str">
        <f>IF(Trades!$A246="","",IF(Trades!$L246&gt;0,Trades!$L246,Trades!$C$6))</f>
        <v/>
      </c>
      <c r="E246" s="54" t="str">
        <f>IF(Trades!$A246="","",Trades!A246)</f>
        <v/>
      </c>
      <c r="F246" s="52" t="str">
        <f>IF(Trades!$A246="","",IFERROR(INDEX(Trades!$V$2:$V$14,MATCH(Trades!$E246,Trades!$U$2:$U$14,0)),""))</f>
        <v/>
      </c>
      <c r="G246" s="52" t="str">
        <f>IF(Trades!$A246="","",Trades!N246)</f>
        <v/>
      </c>
      <c r="H246" s="53" t="str">
        <f>IF(Trades!$A246="","",Trades!F246)</f>
        <v/>
      </c>
      <c r="I246" s="55" t="str">
        <f>IF(Trades!$A246="","",Trades!G246)</f>
        <v/>
      </c>
      <c r="J246" s="55" t="str">
        <f>IF(Trades!$A246="","",Trades!I246)</f>
        <v/>
      </c>
      <c r="K246" s="55" t="str">
        <f>IF(Trades!$A246="","",Trades!Q246)</f>
        <v/>
      </c>
      <c r="L246" s="53" t="str">
        <f>IF(Trades!$A246="","",Trades!F246)</f>
        <v/>
      </c>
      <c r="M246" s="55" t="str">
        <f>IF(Trades!$A246="","",Trades!M246)</f>
        <v/>
      </c>
      <c r="N246" s="55" t="str">
        <f>IF(Trades!$A246="","",Trades!R246)</f>
        <v/>
      </c>
      <c r="O246" s="55" t="str">
        <f>IF(Trades!$A246="","",Trades!J246)</f>
        <v/>
      </c>
      <c r="P246" s="54" t="str">
        <f>IF(Trades!$A246="","",Trades!H246)</f>
        <v/>
      </c>
      <c r="Q246" s="52" t="str">
        <f>IF(Trades!$A246="","",Trades!P246)</f>
        <v/>
      </c>
      <c r="R246" s="56" t="str">
        <f t="shared" si="51"/>
        <v/>
      </c>
      <c r="S246" s="56" t="str">
        <f t="shared" si="52"/>
        <v/>
      </c>
      <c r="T246" s="57" t="str">
        <f>IF(OR($A246="",$B246=""),"",IF(AND(IFERROR(LOOKUP(2,1/($B$9:$B$245=$B246),$AR$9:$AR245),1),NOT(AND(OR($F246="dividend",$F246="fee"),IFERROR(LOOKUP(2,1/($B$9:$B$245=$B246),$T$9:$T245),0)&gt;0))),IFERROR(LOOKUP(2,1/($B$9:$B$245=$B246),$T$9:$T245),0)+1,IFERROR(LOOKUP(2,1/($B$9:$B$245=$B246),$T$9:$T245),0)))</f>
        <v/>
      </c>
      <c r="U246" s="58" t="str">
        <f t="shared" si="53"/>
        <v/>
      </c>
      <c r="V246" s="58" t="str">
        <f>IF($A246="","",IF(OR($B246="",$C246="",$D246="",$E246="",$F246=""),"Missing required field",IF(COUNTIFS($A$9:$A246,$A246,$B$9:$B246,$B246)&gt;1,"Duplicate event ID",IF(AND($E246&lt;&gt;IFERROR(LOOKUP(2,1/($B$9:$B$245=$B246),$E$9:$E245),0),IFERROR(LOOKUP(2,1/($B$9:$B$245=$B246),$E$9:$E245),0)&gt;$E246),"Date out of order",IF(AND(OR($F246="buy_to_close",$F246="expire",$F246="roll",$F246="assignment",$F246="called_away"),$AF246=0),"Unknown lot",IF(OR(AND($F246="assignment",$AF246&gt;0,IF($AF246&gt;0,INDEX($AG$9:$AG$245,$AF246),"")&lt;&gt;"put"),AND($F246="called_away",$AF246&gt;0,IF($AF246&gt;0,INDEX($AG$9:$AG$245,$AF246),"")&lt;&gt;"call")),"Wrong option leg",IF(OR(AND(OR($F246="sell_put",$F246="sell_call"),OR($H246&lt;=0,$I246&lt;=0,$J246&lt;0)),AND(OR($F246="buy_to_close",$F246="expire",$F246="assignment",$F246="called_away"),OR($H246&lt;=0,$J246&lt;0)),AND($F246="roll",OR($H246&lt;=0,$I246&lt;=0,$J246&lt;0,$K246&lt;0)),AND(OR($F246="buy_shares",$F246="sell_shares"),OR($L246&lt;=0,$M246&lt;0)),AND(OR($F246="dividend",$F246="fee"),$N246&lt;0)),"Invalid value",IF(AND(OR($F246="sell_shares",$F246="called_away"),$AL246&lt;IF($F246="called_away",$AE246*$D246,$L246)),"Insufficient shares (capped)",IF(AND(OR($F246="buy_to_close",$F246="expire",$F246="roll",$F246="assignment",$F246="called_away"),$AF246&gt;0,$H246&gt;IF($AF246&gt;0,MAX(0,INDEX($AI$9:$AI$245,$AF246)-SUMIFS($AE$9:$AE$245,$G$9:$G$245,$G246,$B$9:$B$245,$B246)),0)),"Close quantity capped","OK")))))))))</f>
        <v/>
      </c>
      <c r="W246" s="59" t="str">
        <f t="shared" si="54"/>
        <v/>
      </c>
      <c r="X246" s="60" t="str">
        <f t="shared" si="55"/>
        <v/>
      </c>
      <c r="Y246" s="50" t="str">
        <f t="shared" si="56"/>
        <v/>
      </c>
      <c r="Z246" s="50" t="str">
        <f t="shared" si="57"/>
        <v/>
      </c>
      <c r="AA246" s="50" t="str">
        <f t="shared" si="58"/>
        <v/>
      </c>
      <c r="AB246" s="50" t="str">
        <f t="shared" si="59"/>
        <v/>
      </c>
      <c r="AC246" s="50" t="str">
        <f>IF($A246="","",IF($F246="assignment",IF($AF246&gt;0,INDEX($AH$9:$AH$245,$AF246),0)*$AE246*$D246,IF($F246="buy_shares",$M246*$AL246,0)))</f>
        <v/>
      </c>
      <c r="AD246" s="50" t="str">
        <f>IF($A246="","",IF($F246="called_away",IF($AF246&gt;0,INDEX($AH$9:$AH$245,$AF246),0)*$AL246,IF($F246="sell_shares",$M246*$AL246,0)))</f>
        <v/>
      </c>
      <c r="AE246" s="51" t="str">
        <f>IF($A246="","",IF(OR($F246="sell_put",$F246="sell_call"),IF(AND($H246&gt;0,$I246&gt;0,$J246&gt;=0),$H246,0),IF(OR($F246="buy_to_close",$F246="expire",$F246="roll",$F246="assignment",$F246="called_away"),IF(AND($AF246&gt;0,$H246&gt;0,IF($F246="assignment",IF($AF246&gt;0,INDEX($AG$9:$AG$245,$AF246),"")="put",TRUE),IF($F246="called_away",IF($AF246&gt;0,INDEX($AG$9:$AG$245,$AF246),"")="call",TRUE)),MIN($H246,IF($AF246&gt;0,MAX(0,INDEX($AI$9:$AI$245,$AF246)-SUMIFS($AE$9:$AE$245,$G$9:$G$245,$G246,$B$9:$B$245,$B246)),0)),0),0)))</f>
        <v/>
      </c>
      <c r="AF246" t="str">
        <f>IF($A246="","",IFERROR(MATCH(LEN($B246)&amp;":"&amp;$B246&amp;$G246,$AY$9:$AY$245,0),0))</f>
        <v/>
      </c>
      <c r="AG246" t="str">
        <f>IF($A246="","",IF($F246="sell_put","put",IF($F246="sell_call","call",IF($F246="roll",IF($AF246&gt;0,IF($AF246&gt;0,INDEX($AG$9:$AG$245,$AF246),""),""),IF($AF246&gt;0,IF($AF246&gt;0,INDEX($AG$9:$AG$245,$AF246),""),"")))))</f>
        <v/>
      </c>
      <c r="AH246" t="str">
        <f>IF($A246="","",IF(OR($F246="sell_put",$F246="sell_call",$F246="roll"),$I246,IF($AF246&gt;0,IF($AF246&gt;0,INDEX($AH$9:$AH$245,$AF246),0),0)))</f>
        <v/>
      </c>
      <c r="AI246" s="51" t="str">
        <f t="shared" si="60"/>
        <v/>
      </c>
      <c r="AJ246" s="51" t="str">
        <f>IF($A246="","",IFERROR(LOOKUP(2,1/($B$9:$B$245=$B246),$AM$9:$AM245),0))</f>
        <v/>
      </c>
      <c r="AK246" t="str">
        <f>IF($A246="","",IFERROR(LOOKUP(2,1/($B$9:$B$245=$B246),$AN$9:$AN245),0))</f>
        <v/>
      </c>
      <c r="AL246" s="51" t="str">
        <f t="shared" si="61"/>
        <v/>
      </c>
      <c r="AM246" s="51" t="str">
        <f t="shared" si="62"/>
        <v/>
      </c>
      <c r="AN246" t="str">
        <f t="shared" si="63"/>
        <v/>
      </c>
      <c r="AO246" s="50" t="str">
        <f>IF($A246="","",IFERROR(LOOKUP(2,1/($B$9:$B$245=$B246),$AO$9:$AO245),0)+IF($F246="sell_put",$I246*$AE246*$D246,IF($F246="roll",IF($AG246="put",($I246-IF($AF246&gt;0,INDEX($AH$9:$AH$245,$AF246),0))*$AE246*$D246,0),IF(AND(OR($F246="buy_to_close",$F246="expire",$F246="roll",$F246="assignment",$F246="called_away"),$F246&lt;&gt;"roll",$AG246="put"),-IF($AF246&gt;0,INDEX($AH$9:$AH$245,$AF246),0)*$AE246*$D246,0))))</f>
        <v/>
      </c>
      <c r="AP246" s="51" t="str">
        <f>IF($A246="","",IFERROR(LOOKUP(2,1/($B$9:$B$245=$B246),$AP$9:$AP245),0)+IF($F246="sell_put",$AE246*$D246,IF(AND(OR($F246="buy_to_close",$F246="expire",$F246="roll",$F246="assignment",$F246="called_away"),$F246&lt;&gt;"roll",$AG246="put"),-$AE246*$D246,0)))</f>
        <v/>
      </c>
      <c r="AQ246" s="51" t="str">
        <f>IF($A246="","",IFERROR(LOOKUP(2,1/($B$9:$B$245=$B246),$AQ$9:$AQ245),0)+IF(OR($F246="sell_put",$F246="sell_call"),$AE246,0)-IF(AND(OR($F246="buy_to_close",$F246="expire",$F246="roll",$F246="assignment",$F246="called_away"),$F246&lt;&gt;"roll"),$AE246,0))</f>
        <v/>
      </c>
      <c r="AR246" t="str">
        <f t="shared" si="64"/>
        <v/>
      </c>
      <c r="AS246" s="50" t="str">
        <f t="shared" si="65"/>
        <v/>
      </c>
      <c r="AT246" s="50" t="str">
        <f>IF($A246="","",MAX(IF($T246=IFERROR(LOOKUP(2,1/($B$9:$B$245=$B246),$T$9:$T245),0),IFERROR(LOOKUP(2,1/($B$9:$B$245=$B246),$AT$9:$AT245),0),0),$AS246))</f>
        <v/>
      </c>
      <c r="AU246" t="str">
        <f t="shared" si="66"/>
        <v/>
      </c>
      <c r="AV246" s="51">
        <f>IF($AU246="",0,IF(AND(IFERROR(LOOKUP(2,1/($B$9:$B$245=$B246),$AR$9:$AR245),1),NOT(AND(OR($F246="dividend",$F246="fee"),IFERROR(LOOKUP(2,1/($B$9:$B$245=$B246),$T$9:$T245),0)&gt;0))),ROW(),0))</f>
        <v>0</v>
      </c>
      <c r="AW246">
        <f>IF($A246="",0,IF($AV246&gt;0,MAX($AW$9:$AW$245)+1,MAX($AW$9:$AW$245)))</f>
        <v>0</v>
      </c>
      <c r="AX246">
        <f>IF($AU246="",0,IF(AND($AR246,OR(NOT(IFERROR(LOOKUP(2,1/($B$9:$B$245=$B246),$AR$9:$AR245),1)),IFERROR(LOOKUP(2,1/($B$9:$B$245=$B246),$T$9:$T245),0)=0)),ROW(),0))</f>
        <v>0</v>
      </c>
      <c r="AY246" t="str">
        <f t="shared" si="67"/>
        <v/>
      </c>
    </row>
    <row r="247" spans="1:51" ht="15" x14ac:dyDescent="0.25">
      <c r="A247" s="41" t="str">
        <f>IF(Trades!$A247="","",Trades!O247)</f>
        <v/>
      </c>
      <c r="B247" s="41" t="str">
        <f>IF(Trades!$A247="","",Trades!B247)</f>
        <v/>
      </c>
      <c r="C247" s="41" t="str">
        <f>IF(Trades!$A247="","",Trades!C247)</f>
        <v/>
      </c>
      <c r="D247" s="42" t="str">
        <f>IF(Trades!$A247="","",IF(Trades!$L247&gt;0,Trades!$L247,Trades!$C$6))</f>
        <v/>
      </c>
      <c r="E247" s="43" t="str">
        <f>IF(Trades!$A247="","",Trades!A247)</f>
        <v/>
      </c>
      <c r="F247" s="41" t="str">
        <f>IF(Trades!$A247="","",IFERROR(INDEX(Trades!$V$2:$V$14,MATCH(Trades!$E247,Trades!$U$2:$U$14,0)),""))</f>
        <v/>
      </c>
      <c r="G247" s="41" t="str">
        <f>IF(Trades!$A247="","",Trades!N247)</f>
        <v/>
      </c>
      <c r="H247" s="42" t="str">
        <f>IF(Trades!$A247="","",Trades!F247)</f>
        <v/>
      </c>
      <c r="I247" s="44" t="str">
        <f>IF(Trades!$A247="","",Trades!G247)</f>
        <v/>
      </c>
      <c r="J247" s="44" t="str">
        <f>IF(Trades!$A247="","",Trades!I247)</f>
        <v/>
      </c>
      <c r="K247" s="44" t="str">
        <f>IF(Trades!$A247="","",Trades!Q247)</f>
        <v/>
      </c>
      <c r="L247" s="42" t="str">
        <f>IF(Trades!$A247="","",Trades!F247)</f>
        <v/>
      </c>
      <c r="M247" s="44" t="str">
        <f>IF(Trades!$A247="","",Trades!M247)</f>
        <v/>
      </c>
      <c r="N247" s="44" t="str">
        <f>IF(Trades!$A247="","",Trades!R247)</f>
        <v/>
      </c>
      <c r="O247" s="44" t="str">
        <f>IF(Trades!$A247="","",Trades!J247)</f>
        <v/>
      </c>
      <c r="P247" s="43" t="str">
        <f>IF(Trades!$A247="","",Trades!H247)</f>
        <v/>
      </c>
      <c r="Q247" s="41" t="str">
        <f>IF(Trades!$A247="","",Trades!P247)</f>
        <v/>
      </c>
      <c r="R247" s="45" t="str">
        <f t="shared" si="51"/>
        <v/>
      </c>
      <c r="S247" s="45" t="str">
        <f t="shared" si="52"/>
        <v/>
      </c>
      <c r="T247" s="46" t="str">
        <f>IF(OR($A247="",$B247=""),"",IF(AND(IFERROR(LOOKUP(2,1/($B$9:$B$246=$B247),$AR$9:$AR246),1),NOT(AND(OR($F247="dividend",$F247="fee"),IFERROR(LOOKUP(2,1/($B$9:$B$246=$B247),$T$9:$T246),0)&gt;0))),IFERROR(LOOKUP(2,1/($B$9:$B$246=$B247),$T$9:$T246),0)+1,IFERROR(LOOKUP(2,1/($B$9:$B$246=$B247),$T$9:$T246),0)))</f>
        <v/>
      </c>
      <c r="U247" s="47" t="str">
        <f t="shared" si="53"/>
        <v/>
      </c>
      <c r="V247" s="47" t="str">
        <f>IF($A247="","",IF(OR($B247="",$C247="",$D247="",$E247="",$F247=""),"Missing required field",IF(COUNTIFS($A$9:$A247,$A247,$B$9:$B247,$B247)&gt;1,"Duplicate event ID",IF(AND($E247&lt;&gt;IFERROR(LOOKUP(2,1/($B$9:$B$246=$B247),$E$9:$E246),0),IFERROR(LOOKUP(2,1/($B$9:$B$246=$B247),$E$9:$E246),0)&gt;$E247),"Date out of order",IF(AND(OR($F247="buy_to_close",$F247="expire",$F247="roll",$F247="assignment",$F247="called_away"),$AF247=0),"Unknown lot",IF(OR(AND($F247="assignment",$AF247&gt;0,IF($AF247&gt;0,INDEX($AG$9:$AG$246,$AF247),"")&lt;&gt;"put"),AND($F247="called_away",$AF247&gt;0,IF($AF247&gt;0,INDEX($AG$9:$AG$246,$AF247),"")&lt;&gt;"call")),"Wrong option leg",IF(OR(AND(OR($F247="sell_put",$F247="sell_call"),OR($H247&lt;=0,$I247&lt;=0,$J247&lt;0)),AND(OR($F247="buy_to_close",$F247="expire",$F247="assignment",$F247="called_away"),OR($H247&lt;=0,$J247&lt;0)),AND($F247="roll",OR($H247&lt;=0,$I247&lt;=0,$J247&lt;0,$K247&lt;0)),AND(OR($F247="buy_shares",$F247="sell_shares"),OR($L247&lt;=0,$M247&lt;0)),AND(OR($F247="dividend",$F247="fee"),$N247&lt;0)),"Invalid value",IF(AND(OR($F247="sell_shares",$F247="called_away"),$AL247&lt;IF($F247="called_away",$AE247*$D247,$L247)),"Insufficient shares (capped)",IF(AND(OR($F247="buy_to_close",$F247="expire",$F247="roll",$F247="assignment",$F247="called_away"),$AF247&gt;0,$H247&gt;IF($AF247&gt;0,MAX(0,INDEX($AI$9:$AI$246,$AF247)-SUMIFS($AE$9:$AE$246,$G$9:$G$246,$G247,$B$9:$B$246,$B247)),0)),"Close quantity capped","OK")))))))))</f>
        <v/>
      </c>
      <c r="W247" s="48" t="str">
        <f t="shared" si="54"/>
        <v/>
      </c>
      <c r="X247" s="49" t="str">
        <f t="shared" si="55"/>
        <v/>
      </c>
      <c r="Y247" s="50" t="str">
        <f t="shared" si="56"/>
        <v/>
      </c>
      <c r="Z247" s="50" t="str">
        <f t="shared" si="57"/>
        <v/>
      </c>
      <c r="AA247" s="50" t="str">
        <f t="shared" si="58"/>
        <v/>
      </c>
      <c r="AB247" s="50" t="str">
        <f t="shared" si="59"/>
        <v/>
      </c>
      <c r="AC247" s="50" t="str">
        <f>IF($A247="","",IF($F247="assignment",IF($AF247&gt;0,INDEX($AH$9:$AH$246,$AF247),0)*$AE247*$D247,IF($F247="buy_shares",$M247*$AL247,0)))</f>
        <v/>
      </c>
      <c r="AD247" s="50" t="str">
        <f>IF($A247="","",IF($F247="called_away",IF($AF247&gt;0,INDEX($AH$9:$AH$246,$AF247),0)*$AL247,IF($F247="sell_shares",$M247*$AL247,0)))</f>
        <v/>
      </c>
      <c r="AE247" s="51" t="str">
        <f>IF($A247="","",IF(OR($F247="sell_put",$F247="sell_call"),IF(AND($H247&gt;0,$I247&gt;0,$J247&gt;=0),$H247,0),IF(OR($F247="buy_to_close",$F247="expire",$F247="roll",$F247="assignment",$F247="called_away"),IF(AND($AF247&gt;0,$H247&gt;0,IF($F247="assignment",IF($AF247&gt;0,INDEX($AG$9:$AG$246,$AF247),"")="put",TRUE),IF($F247="called_away",IF($AF247&gt;0,INDEX($AG$9:$AG$246,$AF247),"")="call",TRUE)),MIN($H247,IF($AF247&gt;0,MAX(0,INDEX($AI$9:$AI$246,$AF247)-SUMIFS($AE$9:$AE$246,$G$9:$G$246,$G247,$B$9:$B$246,$B247)),0)),0),0)))</f>
        <v/>
      </c>
      <c r="AF247" t="str">
        <f>IF($A247="","",IFERROR(MATCH(LEN($B247)&amp;":"&amp;$B247&amp;$G247,$AY$9:$AY$246,0),0))</f>
        <v/>
      </c>
      <c r="AG247" t="str">
        <f>IF($A247="","",IF($F247="sell_put","put",IF($F247="sell_call","call",IF($F247="roll",IF($AF247&gt;0,IF($AF247&gt;0,INDEX($AG$9:$AG$246,$AF247),""),""),IF($AF247&gt;0,IF($AF247&gt;0,INDEX($AG$9:$AG$246,$AF247),""),"")))))</f>
        <v/>
      </c>
      <c r="AH247" t="str">
        <f>IF($A247="","",IF(OR($F247="sell_put",$F247="sell_call",$F247="roll"),$I247,IF($AF247&gt;0,IF($AF247&gt;0,INDEX($AH$9:$AH$246,$AF247),0),0)))</f>
        <v/>
      </c>
      <c r="AI247" s="51" t="str">
        <f t="shared" si="60"/>
        <v/>
      </c>
      <c r="AJ247" s="51" t="str">
        <f>IF($A247="","",IFERROR(LOOKUP(2,1/($B$9:$B$246=$B247),$AM$9:$AM246),0))</f>
        <v/>
      </c>
      <c r="AK247" t="str">
        <f>IF($A247="","",IFERROR(LOOKUP(2,1/($B$9:$B$246=$B247),$AN$9:$AN246),0))</f>
        <v/>
      </c>
      <c r="AL247" s="51" t="str">
        <f t="shared" si="61"/>
        <v/>
      </c>
      <c r="AM247" s="51" t="str">
        <f t="shared" si="62"/>
        <v/>
      </c>
      <c r="AN247" t="str">
        <f t="shared" si="63"/>
        <v/>
      </c>
      <c r="AO247" s="50" t="str">
        <f>IF($A247="","",IFERROR(LOOKUP(2,1/($B$9:$B$246=$B247),$AO$9:$AO246),0)+IF($F247="sell_put",$I247*$AE247*$D247,IF($F247="roll",IF($AG247="put",($I247-IF($AF247&gt;0,INDEX($AH$9:$AH$246,$AF247),0))*$AE247*$D247,0),IF(AND(OR($F247="buy_to_close",$F247="expire",$F247="roll",$F247="assignment",$F247="called_away"),$F247&lt;&gt;"roll",$AG247="put"),-IF($AF247&gt;0,INDEX($AH$9:$AH$246,$AF247),0)*$AE247*$D247,0))))</f>
        <v/>
      </c>
      <c r="AP247" s="51" t="str">
        <f>IF($A247="","",IFERROR(LOOKUP(2,1/($B$9:$B$246=$B247),$AP$9:$AP246),0)+IF($F247="sell_put",$AE247*$D247,IF(AND(OR($F247="buy_to_close",$F247="expire",$F247="roll",$F247="assignment",$F247="called_away"),$F247&lt;&gt;"roll",$AG247="put"),-$AE247*$D247,0)))</f>
        <v/>
      </c>
      <c r="AQ247" s="51" t="str">
        <f>IF($A247="","",IFERROR(LOOKUP(2,1/($B$9:$B$246=$B247),$AQ$9:$AQ246),0)+IF(OR($F247="sell_put",$F247="sell_call"),$AE247,0)-IF(AND(OR($F247="buy_to_close",$F247="expire",$F247="roll",$F247="assignment",$F247="called_away"),$F247&lt;&gt;"roll"),$AE247,0))</f>
        <v/>
      </c>
      <c r="AR247" t="str">
        <f t="shared" si="64"/>
        <v/>
      </c>
      <c r="AS247" s="50" t="str">
        <f t="shared" si="65"/>
        <v/>
      </c>
      <c r="AT247" s="50" t="str">
        <f>IF($A247="","",MAX(IF($T247=IFERROR(LOOKUP(2,1/($B$9:$B$246=$B247),$T$9:$T246),0),IFERROR(LOOKUP(2,1/($B$9:$B$246=$B247),$AT$9:$AT246),0),0),$AS247))</f>
        <v/>
      </c>
      <c r="AU247" t="str">
        <f t="shared" si="66"/>
        <v/>
      </c>
      <c r="AV247" s="51">
        <f>IF($AU247="",0,IF(AND(IFERROR(LOOKUP(2,1/($B$9:$B$246=$B247),$AR$9:$AR246),1),NOT(AND(OR($F247="dividend",$F247="fee"),IFERROR(LOOKUP(2,1/($B$9:$B$246=$B247),$T$9:$T246),0)&gt;0))),ROW(),0))</f>
        <v>0</v>
      </c>
      <c r="AW247">
        <f>IF($A247="",0,IF($AV247&gt;0,MAX($AW$9:$AW$246)+1,MAX($AW$9:$AW$246)))</f>
        <v>0</v>
      </c>
      <c r="AX247">
        <f>IF($AU247="",0,IF(AND($AR247,OR(NOT(IFERROR(LOOKUP(2,1/($B$9:$B$246=$B247),$AR$9:$AR246),1)),IFERROR(LOOKUP(2,1/($B$9:$B$246=$B247),$T$9:$T246),0)=0)),ROW(),0))</f>
        <v>0</v>
      </c>
      <c r="AY247" t="str">
        <f t="shared" si="67"/>
        <v/>
      </c>
    </row>
    <row r="248" spans="1:51" ht="15" x14ac:dyDescent="0.25">
      <c r="A248" s="52" t="str">
        <f>IF(Trades!$A248="","",Trades!O248)</f>
        <v/>
      </c>
      <c r="B248" s="52" t="str">
        <f>IF(Trades!$A248="","",Trades!B248)</f>
        <v/>
      </c>
      <c r="C248" s="52" t="str">
        <f>IF(Trades!$A248="","",Trades!C248)</f>
        <v/>
      </c>
      <c r="D248" s="53" t="str">
        <f>IF(Trades!$A248="","",IF(Trades!$L248&gt;0,Trades!$L248,Trades!$C$6))</f>
        <v/>
      </c>
      <c r="E248" s="54" t="str">
        <f>IF(Trades!$A248="","",Trades!A248)</f>
        <v/>
      </c>
      <c r="F248" s="52" t="str">
        <f>IF(Trades!$A248="","",IFERROR(INDEX(Trades!$V$2:$V$14,MATCH(Trades!$E248,Trades!$U$2:$U$14,0)),""))</f>
        <v/>
      </c>
      <c r="G248" s="52" t="str">
        <f>IF(Trades!$A248="","",Trades!N248)</f>
        <v/>
      </c>
      <c r="H248" s="53" t="str">
        <f>IF(Trades!$A248="","",Trades!F248)</f>
        <v/>
      </c>
      <c r="I248" s="55" t="str">
        <f>IF(Trades!$A248="","",Trades!G248)</f>
        <v/>
      </c>
      <c r="J248" s="55" t="str">
        <f>IF(Trades!$A248="","",Trades!I248)</f>
        <v/>
      </c>
      <c r="K248" s="55" t="str">
        <f>IF(Trades!$A248="","",Trades!Q248)</f>
        <v/>
      </c>
      <c r="L248" s="53" t="str">
        <f>IF(Trades!$A248="","",Trades!F248)</f>
        <v/>
      </c>
      <c r="M248" s="55" t="str">
        <f>IF(Trades!$A248="","",Trades!M248)</f>
        <v/>
      </c>
      <c r="N248" s="55" t="str">
        <f>IF(Trades!$A248="","",Trades!R248)</f>
        <v/>
      </c>
      <c r="O248" s="55" t="str">
        <f>IF(Trades!$A248="","",Trades!J248)</f>
        <v/>
      </c>
      <c r="P248" s="54" t="str">
        <f>IF(Trades!$A248="","",Trades!H248)</f>
        <v/>
      </c>
      <c r="Q248" s="52" t="str">
        <f>IF(Trades!$A248="","",Trades!P248)</f>
        <v/>
      </c>
      <c r="R248" s="56" t="str">
        <f t="shared" si="51"/>
        <v/>
      </c>
      <c r="S248" s="56" t="str">
        <f t="shared" si="52"/>
        <v/>
      </c>
      <c r="T248" s="57" t="str">
        <f>IF(OR($A248="",$B248=""),"",IF(AND(IFERROR(LOOKUP(2,1/($B$9:$B$247=$B248),$AR$9:$AR247),1),NOT(AND(OR($F248="dividend",$F248="fee"),IFERROR(LOOKUP(2,1/($B$9:$B$247=$B248),$T$9:$T247),0)&gt;0))),IFERROR(LOOKUP(2,1/($B$9:$B$247=$B248),$T$9:$T247),0)+1,IFERROR(LOOKUP(2,1/($B$9:$B$247=$B248),$T$9:$T247),0)))</f>
        <v/>
      </c>
      <c r="U248" s="58" t="str">
        <f t="shared" si="53"/>
        <v/>
      </c>
      <c r="V248" s="58" t="str">
        <f>IF($A248="","",IF(OR($B248="",$C248="",$D248="",$E248="",$F248=""),"Missing required field",IF(COUNTIFS($A$9:$A248,$A248,$B$9:$B248,$B248)&gt;1,"Duplicate event ID",IF(AND($E248&lt;&gt;IFERROR(LOOKUP(2,1/($B$9:$B$247=$B248),$E$9:$E247),0),IFERROR(LOOKUP(2,1/($B$9:$B$247=$B248),$E$9:$E247),0)&gt;$E248),"Date out of order",IF(AND(OR($F248="buy_to_close",$F248="expire",$F248="roll",$F248="assignment",$F248="called_away"),$AF248=0),"Unknown lot",IF(OR(AND($F248="assignment",$AF248&gt;0,IF($AF248&gt;0,INDEX($AG$9:$AG$247,$AF248),"")&lt;&gt;"put"),AND($F248="called_away",$AF248&gt;0,IF($AF248&gt;0,INDEX($AG$9:$AG$247,$AF248),"")&lt;&gt;"call")),"Wrong option leg",IF(OR(AND(OR($F248="sell_put",$F248="sell_call"),OR($H248&lt;=0,$I248&lt;=0,$J248&lt;0)),AND(OR($F248="buy_to_close",$F248="expire",$F248="assignment",$F248="called_away"),OR($H248&lt;=0,$J248&lt;0)),AND($F248="roll",OR($H248&lt;=0,$I248&lt;=0,$J248&lt;0,$K248&lt;0)),AND(OR($F248="buy_shares",$F248="sell_shares"),OR($L248&lt;=0,$M248&lt;0)),AND(OR($F248="dividend",$F248="fee"),$N248&lt;0)),"Invalid value",IF(AND(OR($F248="sell_shares",$F248="called_away"),$AL248&lt;IF($F248="called_away",$AE248*$D248,$L248)),"Insufficient shares (capped)",IF(AND(OR($F248="buy_to_close",$F248="expire",$F248="roll",$F248="assignment",$F248="called_away"),$AF248&gt;0,$H248&gt;IF($AF248&gt;0,MAX(0,INDEX($AI$9:$AI$247,$AF248)-SUMIFS($AE$9:$AE$247,$G$9:$G$247,$G248,$B$9:$B$247,$B248)),0)),"Close quantity capped","OK")))))))))</f>
        <v/>
      </c>
      <c r="W248" s="59" t="str">
        <f t="shared" si="54"/>
        <v/>
      </c>
      <c r="X248" s="60" t="str">
        <f t="shared" si="55"/>
        <v/>
      </c>
      <c r="Y248" s="50" t="str">
        <f t="shared" si="56"/>
        <v/>
      </c>
      <c r="Z248" s="50" t="str">
        <f t="shared" si="57"/>
        <v/>
      </c>
      <c r="AA248" s="50" t="str">
        <f t="shared" si="58"/>
        <v/>
      </c>
      <c r="AB248" s="50" t="str">
        <f t="shared" si="59"/>
        <v/>
      </c>
      <c r="AC248" s="50" t="str">
        <f>IF($A248="","",IF($F248="assignment",IF($AF248&gt;0,INDEX($AH$9:$AH$247,$AF248),0)*$AE248*$D248,IF($F248="buy_shares",$M248*$AL248,0)))</f>
        <v/>
      </c>
      <c r="AD248" s="50" t="str">
        <f>IF($A248="","",IF($F248="called_away",IF($AF248&gt;0,INDEX($AH$9:$AH$247,$AF248),0)*$AL248,IF($F248="sell_shares",$M248*$AL248,0)))</f>
        <v/>
      </c>
      <c r="AE248" s="51" t="str">
        <f>IF($A248="","",IF(OR($F248="sell_put",$F248="sell_call"),IF(AND($H248&gt;0,$I248&gt;0,$J248&gt;=0),$H248,0),IF(OR($F248="buy_to_close",$F248="expire",$F248="roll",$F248="assignment",$F248="called_away"),IF(AND($AF248&gt;0,$H248&gt;0,IF($F248="assignment",IF($AF248&gt;0,INDEX($AG$9:$AG$247,$AF248),"")="put",TRUE),IF($F248="called_away",IF($AF248&gt;0,INDEX($AG$9:$AG$247,$AF248),"")="call",TRUE)),MIN($H248,IF($AF248&gt;0,MAX(0,INDEX($AI$9:$AI$247,$AF248)-SUMIFS($AE$9:$AE$247,$G$9:$G$247,$G248,$B$9:$B$247,$B248)),0)),0),0)))</f>
        <v/>
      </c>
      <c r="AF248" t="str">
        <f>IF($A248="","",IFERROR(MATCH(LEN($B248)&amp;":"&amp;$B248&amp;$G248,$AY$9:$AY$247,0),0))</f>
        <v/>
      </c>
      <c r="AG248" t="str">
        <f>IF($A248="","",IF($F248="sell_put","put",IF($F248="sell_call","call",IF($F248="roll",IF($AF248&gt;0,IF($AF248&gt;0,INDEX($AG$9:$AG$247,$AF248),""),""),IF($AF248&gt;0,IF($AF248&gt;0,INDEX($AG$9:$AG$247,$AF248),""),"")))))</f>
        <v/>
      </c>
      <c r="AH248" t="str">
        <f>IF($A248="","",IF(OR($F248="sell_put",$F248="sell_call",$F248="roll"),$I248,IF($AF248&gt;0,IF($AF248&gt;0,INDEX($AH$9:$AH$247,$AF248),0),0)))</f>
        <v/>
      </c>
      <c r="AI248" s="51" t="str">
        <f t="shared" si="60"/>
        <v/>
      </c>
      <c r="AJ248" s="51" t="str">
        <f>IF($A248="","",IFERROR(LOOKUP(2,1/($B$9:$B$247=$B248),$AM$9:$AM247),0))</f>
        <v/>
      </c>
      <c r="AK248" t="str">
        <f>IF($A248="","",IFERROR(LOOKUP(2,1/($B$9:$B$247=$B248),$AN$9:$AN247),0))</f>
        <v/>
      </c>
      <c r="AL248" s="51" t="str">
        <f t="shared" si="61"/>
        <v/>
      </c>
      <c r="AM248" s="51" t="str">
        <f t="shared" si="62"/>
        <v/>
      </c>
      <c r="AN248" t="str">
        <f t="shared" si="63"/>
        <v/>
      </c>
      <c r="AO248" s="50" t="str">
        <f>IF($A248="","",IFERROR(LOOKUP(2,1/($B$9:$B$247=$B248),$AO$9:$AO247),0)+IF($F248="sell_put",$I248*$AE248*$D248,IF($F248="roll",IF($AG248="put",($I248-IF($AF248&gt;0,INDEX($AH$9:$AH$247,$AF248),0))*$AE248*$D248,0),IF(AND(OR($F248="buy_to_close",$F248="expire",$F248="roll",$F248="assignment",$F248="called_away"),$F248&lt;&gt;"roll",$AG248="put"),-IF($AF248&gt;0,INDEX($AH$9:$AH$247,$AF248),0)*$AE248*$D248,0))))</f>
        <v/>
      </c>
      <c r="AP248" s="51" t="str">
        <f>IF($A248="","",IFERROR(LOOKUP(2,1/($B$9:$B$247=$B248),$AP$9:$AP247),0)+IF($F248="sell_put",$AE248*$D248,IF(AND(OR($F248="buy_to_close",$F248="expire",$F248="roll",$F248="assignment",$F248="called_away"),$F248&lt;&gt;"roll",$AG248="put"),-$AE248*$D248,0)))</f>
        <v/>
      </c>
      <c r="AQ248" s="51" t="str">
        <f>IF($A248="","",IFERROR(LOOKUP(2,1/($B$9:$B$247=$B248),$AQ$9:$AQ247),0)+IF(OR($F248="sell_put",$F248="sell_call"),$AE248,0)-IF(AND(OR($F248="buy_to_close",$F248="expire",$F248="roll",$F248="assignment",$F248="called_away"),$F248&lt;&gt;"roll"),$AE248,0))</f>
        <v/>
      </c>
      <c r="AR248" t="str">
        <f t="shared" si="64"/>
        <v/>
      </c>
      <c r="AS248" s="50" t="str">
        <f t="shared" si="65"/>
        <v/>
      </c>
      <c r="AT248" s="50" t="str">
        <f>IF($A248="","",MAX(IF($T248=IFERROR(LOOKUP(2,1/($B$9:$B$247=$B248),$T$9:$T247),0),IFERROR(LOOKUP(2,1/($B$9:$B$247=$B248),$AT$9:$AT247),0),0),$AS248))</f>
        <v/>
      </c>
      <c r="AU248" t="str">
        <f t="shared" si="66"/>
        <v/>
      </c>
      <c r="AV248" s="51">
        <f>IF($AU248="",0,IF(AND(IFERROR(LOOKUP(2,1/($B$9:$B$247=$B248),$AR$9:$AR247),1),NOT(AND(OR($F248="dividend",$F248="fee"),IFERROR(LOOKUP(2,1/($B$9:$B$247=$B248),$T$9:$T247),0)&gt;0))),ROW(),0))</f>
        <v>0</v>
      </c>
      <c r="AW248">
        <f>IF($A248="",0,IF($AV248&gt;0,MAX($AW$9:$AW$247)+1,MAX($AW$9:$AW$247)))</f>
        <v>0</v>
      </c>
      <c r="AX248">
        <f>IF($AU248="",0,IF(AND($AR248,OR(NOT(IFERROR(LOOKUP(2,1/($B$9:$B$247=$B248),$AR$9:$AR247),1)),IFERROR(LOOKUP(2,1/($B$9:$B$247=$B248),$T$9:$T247),0)=0)),ROW(),0))</f>
        <v>0</v>
      </c>
      <c r="AY248" t="str">
        <f t="shared" si="67"/>
        <v/>
      </c>
    </row>
    <row r="249" spans="1:51" ht="15" x14ac:dyDescent="0.25">
      <c r="A249" s="41" t="str">
        <f>IF(Trades!$A249="","",Trades!O249)</f>
        <v/>
      </c>
      <c r="B249" s="41" t="str">
        <f>IF(Trades!$A249="","",Trades!B249)</f>
        <v/>
      </c>
      <c r="C249" s="41" t="str">
        <f>IF(Trades!$A249="","",Trades!C249)</f>
        <v/>
      </c>
      <c r="D249" s="42" t="str">
        <f>IF(Trades!$A249="","",IF(Trades!$L249&gt;0,Trades!$L249,Trades!$C$6))</f>
        <v/>
      </c>
      <c r="E249" s="43" t="str">
        <f>IF(Trades!$A249="","",Trades!A249)</f>
        <v/>
      </c>
      <c r="F249" s="41" t="str">
        <f>IF(Trades!$A249="","",IFERROR(INDEX(Trades!$V$2:$V$14,MATCH(Trades!$E249,Trades!$U$2:$U$14,0)),""))</f>
        <v/>
      </c>
      <c r="G249" s="41" t="str">
        <f>IF(Trades!$A249="","",Trades!N249)</f>
        <v/>
      </c>
      <c r="H249" s="42" t="str">
        <f>IF(Trades!$A249="","",Trades!F249)</f>
        <v/>
      </c>
      <c r="I249" s="44" t="str">
        <f>IF(Trades!$A249="","",Trades!G249)</f>
        <v/>
      </c>
      <c r="J249" s="44" t="str">
        <f>IF(Trades!$A249="","",Trades!I249)</f>
        <v/>
      </c>
      <c r="K249" s="44" t="str">
        <f>IF(Trades!$A249="","",Trades!Q249)</f>
        <v/>
      </c>
      <c r="L249" s="42" t="str">
        <f>IF(Trades!$A249="","",Trades!F249)</f>
        <v/>
      </c>
      <c r="M249" s="44" t="str">
        <f>IF(Trades!$A249="","",Trades!M249)</f>
        <v/>
      </c>
      <c r="N249" s="44" t="str">
        <f>IF(Trades!$A249="","",Trades!R249)</f>
        <v/>
      </c>
      <c r="O249" s="44" t="str">
        <f>IF(Trades!$A249="","",Trades!J249)</f>
        <v/>
      </c>
      <c r="P249" s="43" t="str">
        <f>IF(Trades!$A249="","",Trades!H249)</f>
        <v/>
      </c>
      <c r="Q249" s="41" t="str">
        <f>IF(Trades!$A249="","",Trades!P249)</f>
        <v/>
      </c>
      <c r="R249" s="45" t="str">
        <f t="shared" si="51"/>
        <v/>
      </c>
      <c r="S249" s="45" t="str">
        <f t="shared" si="52"/>
        <v/>
      </c>
      <c r="T249" s="46" t="str">
        <f>IF(OR($A249="",$B249=""),"",IF(AND(IFERROR(LOOKUP(2,1/($B$9:$B$248=$B249),$AR$9:$AR248),1),NOT(AND(OR($F249="dividend",$F249="fee"),IFERROR(LOOKUP(2,1/($B$9:$B$248=$B249),$T$9:$T248),0)&gt;0))),IFERROR(LOOKUP(2,1/($B$9:$B$248=$B249),$T$9:$T248),0)+1,IFERROR(LOOKUP(2,1/($B$9:$B$248=$B249),$T$9:$T248),0)))</f>
        <v/>
      </c>
      <c r="U249" s="47" t="str">
        <f t="shared" si="53"/>
        <v/>
      </c>
      <c r="V249" s="47" t="str">
        <f>IF($A249="","",IF(OR($B249="",$C249="",$D249="",$E249="",$F249=""),"Missing required field",IF(COUNTIFS($A$9:$A249,$A249,$B$9:$B249,$B249)&gt;1,"Duplicate event ID",IF(AND($E249&lt;&gt;IFERROR(LOOKUP(2,1/($B$9:$B$248=$B249),$E$9:$E248),0),IFERROR(LOOKUP(2,1/($B$9:$B$248=$B249),$E$9:$E248),0)&gt;$E249),"Date out of order",IF(AND(OR($F249="buy_to_close",$F249="expire",$F249="roll",$F249="assignment",$F249="called_away"),$AF249=0),"Unknown lot",IF(OR(AND($F249="assignment",$AF249&gt;0,IF($AF249&gt;0,INDEX($AG$9:$AG$248,$AF249),"")&lt;&gt;"put"),AND($F249="called_away",$AF249&gt;0,IF($AF249&gt;0,INDEX($AG$9:$AG$248,$AF249),"")&lt;&gt;"call")),"Wrong option leg",IF(OR(AND(OR($F249="sell_put",$F249="sell_call"),OR($H249&lt;=0,$I249&lt;=0,$J249&lt;0)),AND(OR($F249="buy_to_close",$F249="expire",$F249="assignment",$F249="called_away"),OR($H249&lt;=0,$J249&lt;0)),AND($F249="roll",OR($H249&lt;=0,$I249&lt;=0,$J249&lt;0,$K249&lt;0)),AND(OR($F249="buy_shares",$F249="sell_shares"),OR($L249&lt;=0,$M249&lt;0)),AND(OR($F249="dividend",$F249="fee"),$N249&lt;0)),"Invalid value",IF(AND(OR($F249="sell_shares",$F249="called_away"),$AL249&lt;IF($F249="called_away",$AE249*$D249,$L249)),"Insufficient shares (capped)",IF(AND(OR($F249="buy_to_close",$F249="expire",$F249="roll",$F249="assignment",$F249="called_away"),$AF249&gt;0,$H249&gt;IF($AF249&gt;0,MAX(0,INDEX($AI$9:$AI$248,$AF249)-SUMIFS($AE$9:$AE$248,$G$9:$G$248,$G249,$B$9:$B$248,$B249)),0)),"Close quantity capped","OK")))))))))</f>
        <v/>
      </c>
      <c r="W249" s="48" t="str">
        <f t="shared" si="54"/>
        <v/>
      </c>
      <c r="X249" s="49" t="str">
        <f t="shared" si="55"/>
        <v/>
      </c>
      <c r="Y249" s="50" t="str">
        <f t="shared" si="56"/>
        <v/>
      </c>
      <c r="Z249" s="50" t="str">
        <f t="shared" si="57"/>
        <v/>
      </c>
      <c r="AA249" s="50" t="str">
        <f t="shared" si="58"/>
        <v/>
      </c>
      <c r="AB249" s="50" t="str">
        <f t="shared" si="59"/>
        <v/>
      </c>
      <c r="AC249" s="50" t="str">
        <f>IF($A249="","",IF($F249="assignment",IF($AF249&gt;0,INDEX($AH$9:$AH$248,$AF249),0)*$AE249*$D249,IF($F249="buy_shares",$M249*$AL249,0)))</f>
        <v/>
      </c>
      <c r="AD249" s="50" t="str">
        <f>IF($A249="","",IF($F249="called_away",IF($AF249&gt;0,INDEX($AH$9:$AH$248,$AF249),0)*$AL249,IF($F249="sell_shares",$M249*$AL249,0)))</f>
        <v/>
      </c>
      <c r="AE249" s="51" t="str">
        <f>IF($A249="","",IF(OR($F249="sell_put",$F249="sell_call"),IF(AND($H249&gt;0,$I249&gt;0,$J249&gt;=0),$H249,0),IF(OR($F249="buy_to_close",$F249="expire",$F249="roll",$F249="assignment",$F249="called_away"),IF(AND($AF249&gt;0,$H249&gt;0,IF($F249="assignment",IF($AF249&gt;0,INDEX($AG$9:$AG$248,$AF249),"")="put",TRUE),IF($F249="called_away",IF($AF249&gt;0,INDEX($AG$9:$AG$248,$AF249),"")="call",TRUE)),MIN($H249,IF($AF249&gt;0,MAX(0,INDEX($AI$9:$AI$248,$AF249)-SUMIFS($AE$9:$AE$248,$G$9:$G$248,$G249,$B$9:$B$248,$B249)),0)),0),0)))</f>
        <v/>
      </c>
      <c r="AF249" t="str">
        <f>IF($A249="","",IFERROR(MATCH(LEN($B249)&amp;":"&amp;$B249&amp;$G249,$AY$9:$AY$248,0),0))</f>
        <v/>
      </c>
      <c r="AG249" t="str">
        <f>IF($A249="","",IF($F249="sell_put","put",IF($F249="sell_call","call",IF($F249="roll",IF($AF249&gt;0,IF($AF249&gt;0,INDEX($AG$9:$AG$248,$AF249),""),""),IF($AF249&gt;0,IF($AF249&gt;0,INDEX($AG$9:$AG$248,$AF249),""),"")))))</f>
        <v/>
      </c>
      <c r="AH249" t="str">
        <f>IF($A249="","",IF(OR($F249="sell_put",$F249="sell_call",$F249="roll"),$I249,IF($AF249&gt;0,IF($AF249&gt;0,INDEX($AH$9:$AH$248,$AF249),0),0)))</f>
        <v/>
      </c>
      <c r="AI249" s="51" t="str">
        <f t="shared" si="60"/>
        <v/>
      </c>
      <c r="AJ249" s="51" t="str">
        <f>IF($A249="","",IFERROR(LOOKUP(2,1/($B$9:$B$248=$B249),$AM$9:$AM248),0))</f>
        <v/>
      </c>
      <c r="AK249" t="str">
        <f>IF($A249="","",IFERROR(LOOKUP(2,1/($B$9:$B$248=$B249),$AN$9:$AN248),0))</f>
        <v/>
      </c>
      <c r="AL249" s="51" t="str">
        <f t="shared" si="61"/>
        <v/>
      </c>
      <c r="AM249" s="51" t="str">
        <f t="shared" si="62"/>
        <v/>
      </c>
      <c r="AN249" t="str">
        <f t="shared" si="63"/>
        <v/>
      </c>
      <c r="AO249" s="50" t="str">
        <f>IF($A249="","",IFERROR(LOOKUP(2,1/($B$9:$B$248=$B249),$AO$9:$AO248),0)+IF($F249="sell_put",$I249*$AE249*$D249,IF($F249="roll",IF($AG249="put",($I249-IF($AF249&gt;0,INDEX($AH$9:$AH$248,$AF249),0))*$AE249*$D249,0),IF(AND(OR($F249="buy_to_close",$F249="expire",$F249="roll",$F249="assignment",$F249="called_away"),$F249&lt;&gt;"roll",$AG249="put"),-IF($AF249&gt;0,INDEX($AH$9:$AH$248,$AF249),0)*$AE249*$D249,0))))</f>
        <v/>
      </c>
      <c r="AP249" s="51" t="str">
        <f>IF($A249="","",IFERROR(LOOKUP(2,1/($B$9:$B$248=$B249),$AP$9:$AP248),0)+IF($F249="sell_put",$AE249*$D249,IF(AND(OR($F249="buy_to_close",$F249="expire",$F249="roll",$F249="assignment",$F249="called_away"),$F249&lt;&gt;"roll",$AG249="put"),-$AE249*$D249,0)))</f>
        <v/>
      </c>
      <c r="AQ249" s="51" t="str">
        <f>IF($A249="","",IFERROR(LOOKUP(2,1/($B$9:$B$248=$B249),$AQ$9:$AQ248),0)+IF(OR($F249="sell_put",$F249="sell_call"),$AE249,0)-IF(AND(OR($F249="buy_to_close",$F249="expire",$F249="roll",$F249="assignment",$F249="called_away"),$F249&lt;&gt;"roll"),$AE249,0))</f>
        <v/>
      </c>
      <c r="AR249" t="str">
        <f t="shared" si="64"/>
        <v/>
      </c>
      <c r="AS249" s="50" t="str">
        <f t="shared" si="65"/>
        <v/>
      </c>
      <c r="AT249" s="50" t="str">
        <f>IF($A249="","",MAX(IF($T249=IFERROR(LOOKUP(2,1/($B$9:$B$248=$B249),$T$9:$T248),0),IFERROR(LOOKUP(2,1/($B$9:$B$248=$B249),$AT$9:$AT248),0),0),$AS249))</f>
        <v/>
      </c>
      <c r="AU249" t="str">
        <f t="shared" si="66"/>
        <v/>
      </c>
      <c r="AV249" s="51">
        <f>IF($AU249="",0,IF(AND(IFERROR(LOOKUP(2,1/($B$9:$B$248=$B249),$AR$9:$AR248),1),NOT(AND(OR($F249="dividend",$F249="fee"),IFERROR(LOOKUP(2,1/($B$9:$B$248=$B249),$T$9:$T248),0)&gt;0))),ROW(),0))</f>
        <v>0</v>
      </c>
      <c r="AW249">
        <f>IF($A249="",0,IF($AV249&gt;0,MAX($AW$9:$AW$248)+1,MAX($AW$9:$AW$248)))</f>
        <v>0</v>
      </c>
      <c r="AX249">
        <f>IF($AU249="",0,IF(AND($AR249,OR(NOT(IFERROR(LOOKUP(2,1/($B$9:$B$248=$B249),$AR$9:$AR248),1)),IFERROR(LOOKUP(2,1/($B$9:$B$248=$B249),$T$9:$T248),0)=0)),ROW(),0))</f>
        <v>0</v>
      </c>
      <c r="AY249" t="str">
        <f t="shared" si="67"/>
        <v/>
      </c>
    </row>
    <row r="250" spans="1:51" ht="15" x14ac:dyDescent="0.25">
      <c r="A250" s="52" t="str">
        <f>IF(Trades!$A250="","",Trades!O250)</f>
        <v/>
      </c>
      <c r="B250" s="52" t="str">
        <f>IF(Trades!$A250="","",Trades!B250)</f>
        <v/>
      </c>
      <c r="C250" s="52" t="str">
        <f>IF(Trades!$A250="","",Trades!C250)</f>
        <v/>
      </c>
      <c r="D250" s="53" t="str">
        <f>IF(Trades!$A250="","",IF(Trades!$L250&gt;0,Trades!$L250,Trades!$C$6))</f>
        <v/>
      </c>
      <c r="E250" s="54" t="str">
        <f>IF(Trades!$A250="","",Trades!A250)</f>
        <v/>
      </c>
      <c r="F250" s="52" t="str">
        <f>IF(Trades!$A250="","",IFERROR(INDEX(Trades!$V$2:$V$14,MATCH(Trades!$E250,Trades!$U$2:$U$14,0)),""))</f>
        <v/>
      </c>
      <c r="G250" s="52" t="str">
        <f>IF(Trades!$A250="","",Trades!N250)</f>
        <v/>
      </c>
      <c r="H250" s="53" t="str">
        <f>IF(Trades!$A250="","",Trades!F250)</f>
        <v/>
      </c>
      <c r="I250" s="55" t="str">
        <f>IF(Trades!$A250="","",Trades!G250)</f>
        <v/>
      </c>
      <c r="J250" s="55" t="str">
        <f>IF(Trades!$A250="","",Trades!I250)</f>
        <v/>
      </c>
      <c r="K250" s="55" t="str">
        <f>IF(Trades!$A250="","",Trades!Q250)</f>
        <v/>
      </c>
      <c r="L250" s="53" t="str">
        <f>IF(Trades!$A250="","",Trades!F250)</f>
        <v/>
      </c>
      <c r="M250" s="55" t="str">
        <f>IF(Trades!$A250="","",Trades!M250)</f>
        <v/>
      </c>
      <c r="N250" s="55" t="str">
        <f>IF(Trades!$A250="","",Trades!R250)</f>
        <v/>
      </c>
      <c r="O250" s="55" t="str">
        <f>IF(Trades!$A250="","",Trades!J250)</f>
        <v/>
      </c>
      <c r="P250" s="54" t="str">
        <f>IF(Trades!$A250="","",Trades!H250)</f>
        <v/>
      </c>
      <c r="Q250" s="52" t="str">
        <f>IF(Trades!$A250="","",Trades!P250)</f>
        <v/>
      </c>
      <c r="R250" s="56" t="str">
        <f t="shared" si="51"/>
        <v/>
      </c>
      <c r="S250" s="56" t="str">
        <f t="shared" si="52"/>
        <v/>
      </c>
      <c r="T250" s="57" t="str">
        <f>IF(OR($A250="",$B250=""),"",IF(AND(IFERROR(LOOKUP(2,1/($B$9:$B$249=$B250),$AR$9:$AR249),1),NOT(AND(OR($F250="dividend",$F250="fee"),IFERROR(LOOKUP(2,1/($B$9:$B$249=$B250),$T$9:$T249),0)&gt;0))),IFERROR(LOOKUP(2,1/($B$9:$B$249=$B250),$T$9:$T249),0)+1,IFERROR(LOOKUP(2,1/($B$9:$B$249=$B250),$T$9:$T249),0)))</f>
        <v/>
      </c>
      <c r="U250" s="58" t="str">
        <f t="shared" si="53"/>
        <v/>
      </c>
      <c r="V250" s="58" t="str">
        <f>IF($A250="","",IF(OR($B250="",$C250="",$D250="",$E250="",$F250=""),"Missing required field",IF(COUNTIFS($A$9:$A250,$A250,$B$9:$B250,$B250)&gt;1,"Duplicate event ID",IF(AND($E250&lt;&gt;IFERROR(LOOKUP(2,1/($B$9:$B$249=$B250),$E$9:$E249),0),IFERROR(LOOKUP(2,1/($B$9:$B$249=$B250),$E$9:$E249),0)&gt;$E250),"Date out of order",IF(AND(OR($F250="buy_to_close",$F250="expire",$F250="roll",$F250="assignment",$F250="called_away"),$AF250=0),"Unknown lot",IF(OR(AND($F250="assignment",$AF250&gt;0,IF($AF250&gt;0,INDEX($AG$9:$AG$249,$AF250),"")&lt;&gt;"put"),AND($F250="called_away",$AF250&gt;0,IF($AF250&gt;0,INDEX($AG$9:$AG$249,$AF250),"")&lt;&gt;"call")),"Wrong option leg",IF(OR(AND(OR($F250="sell_put",$F250="sell_call"),OR($H250&lt;=0,$I250&lt;=0,$J250&lt;0)),AND(OR($F250="buy_to_close",$F250="expire",$F250="assignment",$F250="called_away"),OR($H250&lt;=0,$J250&lt;0)),AND($F250="roll",OR($H250&lt;=0,$I250&lt;=0,$J250&lt;0,$K250&lt;0)),AND(OR($F250="buy_shares",$F250="sell_shares"),OR($L250&lt;=0,$M250&lt;0)),AND(OR($F250="dividend",$F250="fee"),$N250&lt;0)),"Invalid value",IF(AND(OR($F250="sell_shares",$F250="called_away"),$AL250&lt;IF($F250="called_away",$AE250*$D250,$L250)),"Insufficient shares (capped)",IF(AND(OR($F250="buy_to_close",$F250="expire",$F250="roll",$F250="assignment",$F250="called_away"),$AF250&gt;0,$H250&gt;IF($AF250&gt;0,MAX(0,INDEX($AI$9:$AI$249,$AF250)-SUMIFS($AE$9:$AE$249,$G$9:$G$249,$G250,$B$9:$B$249,$B250)),0)),"Close quantity capped","OK")))))))))</f>
        <v/>
      </c>
      <c r="W250" s="59" t="str">
        <f t="shared" si="54"/>
        <v/>
      </c>
      <c r="X250" s="60" t="str">
        <f t="shared" si="55"/>
        <v/>
      </c>
      <c r="Y250" s="50" t="str">
        <f t="shared" si="56"/>
        <v/>
      </c>
      <c r="Z250" s="50" t="str">
        <f t="shared" si="57"/>
        <v/>
      </c>
      <c r="AA250" s="50" t="str">
        <f t="shared" si="58"/>
        <v/>
      </c>
      <c r="AB250" s="50" t="str">
        <f t="shared" si="59"/>
        <v/>
      </c>
      <c r="AC250" s="50" t="str">
        <f>IF($A250="","",IF($F250="assignment",IF($AF250&gt;0,INDEX($AH$9:$AH$249,$AF250),0)*$AE250*$D250,IF($F250="buy_shares",$M250*$AL250,0)))</f>
        <v/>
      </c>
      <c r="AD250" s="50" t="str">
        <f>IF($A250="","",IF($F250="called_away",IF($AF250&gt;0,INDEX($AH$9:$AH$249,$AF250),0)*$AL250,IF($F250="sell_shares",$M250*$AL250,0)))</f>
        <v/>
      </c>
      <c r="AE250" s="51" t="str">
        <f>IF($A250="","",IF(OR($F250="sell_put",$F250="sell_call"),IF(AND($H250&gt;0,$I250&gt;0,$J250&gt;=0),$H250,0),IF(OR($F250="buy_to_close",$F250="expire",$F250="roll",$F250="assignment",$F250="called_away"),IF(AND($AF250&gt;0,$H250&gt;0,IF($F250="assignment",IF($AF250&gt;0,INDEX($AG$9:$AG$249,$AF250),"")="put",TRUE),IF($F250="called_away",IF($AF250&gt;0,INDEX($AG$9:$AG$249,$AF250),"")="call",TRUE)),MIN($H250,IF($AF250&gt;0,MAX(0,INDEX($AI$9:$AI$249,$AF250)-SUMIFS($AE$9:$AE$249,$G$9:$G$249,$G250,$B$9:$B$249,$B250)),0)),0),0)))</f>
        <v/>
      </c>
      <c r="AF250" t="str">
        <f>IF($A250="","",IFERROR(MATCH(LEN($B250)&amp;":"&amp;$B250&amp;$G250,$AY$9:$AY$249,0),0))</f>
        <v/>
      </c>
      <c r="AG250" t="str">
        <f>IF($A250="","",IF($F250="sell_put","put",IF($F250="sell_call","call",IF($F250="roll",IF($AF250&gt;0,IF($AF250&gt;0,INDEX($AG$9:$AG$249,$AF250),""),""),IF($AF250&gt;0,IF($AF250&gt;0,INDEX($AG$9:$AG$249,$AF250),""),"")))))</f>
        <v/>
      </c>
      <c r="AH250" t="str">
        <f>IF($A250="","",IF(OR($F250="sell_put",$F250="sell_call",$F250="roll"),$I250,IF($AF250&gt;0,IF($AF250&gt;0,INDEX($AH$9:$AH$249,$AF250),0),0)))</f>
        <v/>
      </c>
      <c r="AI250" s="51" t="str">
        <f t="shared" si="60"/>
        <v/>
      </c>
      <c r="AJ250" s="51" t="str">
        <f>IF($A250="","",IFERROR(LOOKUP(2,1/($B$9:$B$249=$B250),$AM$9:$AM249),0))</f>
        <v/>
      </c>
      <c r="AK250" t="str">
        <f>IF($A250="","",IFERROR(LOOKUP(2,1/($B$9:$B$249=$B250),$AN$9:$AN249),0))</f>
        <v/>
      </c>
      <c r="AL250" s="51" t="str">
        <f t="shared" si="61"/>
        <v/>
      </c>
      <c r="AM250" s="51" t="str">
        <f t="shared" si="62"/>
        <v/>
      </c>
      <c r="AN250" t="str">
        <f t="shared" si="63"/>
        <v/>
      </c>
      <c r="AO250" s="50" t="str">
        <f>IF($A250="","",IFERROR(LOOKUP(2,1/($B$9:$B$249=$B250),$AO$9:$AO249),0)+IF($F250="sell_put",$I250*$AE250*$D250,IF($F250="roll",IF($AG250="put",($I250-IF($AF250&gt;0,INDEX($AH$9:$AH$249,$AF250),0))*$AE250*$D250,0),IF(AND(OR($F250="buy_to_close",$F250="expire",$F250="roll",$F250="assignment",$F250="called_away"),$F250&lt;&gt;"roll",$AG250="put"),-IF($AF250&gt;0,INDEX($AH$9:$AH$249,$AF250),0)*$AE250*$D250,0))))</f>
        <v/>
      </c>
      <c r="AP250" s="51" t="str">
        <f>IF($A250="","",IFERROR(LOOKUP(2,1/($B$9:$B$249=$B250),$AP$9:$AP249),0)+IF($F250="sell_put",$AE250*$D250,IF(AND(OR($F250="buy_to_close",$F250="expire",$F250="roll",$F250="assignment",$F250="called_away"),$F250&lt;&gt;"roll",$AG250="put"),-$AE250*$D250,0)))</f>
        <v/>
      </c>
      <c r="AQ250" s="51" t="str">
        <f>IF($A250="","",IFERROR(LOOKUP(2,1/($B$9:$B$249=$B250),$AQ$9:$AQ249),0)+IF(OR($F250="sell_put",$F250="sell_call"),$AE250,0)-IF(AND(OR($F250="buy_to_close",$F250="expire",$F250="roll",$F250="assignment",$F250="called_away"),$F250&lt;&gt;"roll"),$AE250,0))</f>
        <v/>
      </c>
      <c r="AR250" t="str">
        <f t="shared" si="64"/>
        <v/>
      </c>
      <c r="AS250" s="50" t="str">
        <f t="shared" si="65"/>
        <v/>
      </c>
      <c r="AT250" s="50" t="str">
        <f>IF($A250="","",MAX(IF($T250=IFERROR(LOOKUP(2,1/($B$9:$B$249=$B250),$T$9:$T249),0),IFERROR(LOOKUP(2,1/($B$9:$B$249=$B250),$AT$9:$AT249),0),0),$AS250))</f>
        <v/>
      </c>
      <c r="AU250" t="str">
        <f t="shared" si="66"/>
        <v/>
      </c>
      <c r="AV250" s="51">
        <f>IF($AU250="",0,IF(AND(IFERROR(LOOKUP(2,1/($B$9:$B$249=$B250),$AR$9:$AR249),1),NOT(AND(OR($F250="dividend",$F250="fee"),IFERROR(LOOKUP(2,1/($B$9:$B$249=$B250),$T$9:$T249),0)&gt;0))),ROW(),0))</f>
        <v>0</v>
      </c>
      <c r="AW250">
        <f>IF($A250="",0,IF($AV250&gt;0,MAX($AW$9:$AW$249)+1,MAX($AW$9:$AW$249)))</f>
        <v>0</v>
      </c>
      <c r="AX250">
        <f>IF($AU250="",0,IF(AND($AR250,OR(NOT(IFERROR(LOOKUP(2,1/($B$9:$B$249=$B250),$AR$9:$AR249),1)),IFERROR(LOOKUP(2,1/($B$9:$B$249=$B250),$T$9:$T249),0)=0)),ROW(),0))</f>
        <v>0</v>
      </c>
      <c r="AY250" t="str">
        <f t="shared" si="67"/>
        <v/>
      </c>
    </row>
    <row r="251" spans="1:51" ht="15" x14ac:dyDescent="0.25">
      <c r="A251" s="41" t="str">
        <f>IF(Trades!$A251="","",Trades!O251)</f>
        <v/>
      </c>
      <c r="B251" s="41" t="str">
        <f>IF(Trades!$A251="","",Trades!B251)</f>
        <v/>
      </c>
      <c r="C251" s="41" t="str">
        <f>IF(Trades!$A251="","",Trades!C251)</f>
        <v/>
      </c>
      <c r="D251" s="42" t="str">
        <f>IF(Trades!$A251="","",IF(Trades!$L251&gt;0,Trades!$L251,Trades!$C$6))</f>
        <v/>
      </c>
      <c r="E251" s="43" t="str">
        <f>IF(Trades!$A251="","",Trades!A251)</f>
        <v/>
      </c>
      <c r="F251" s="41" t="str">
        <f>IF(Trades!$A251="","",IFERROR(INDEX(Trades!$V$2:$V$14,MATCH(Trades!$E251,Trades!$U$2:$U$14,0)),""))</f>
        <v/>
      </c>
      <c r="G251" s="41" t="str">
        <f>IF(Trades!$A251="","",Trades!N251)</f>
        <v/>
      </c>
      <c r="H251" s="42" t="str">
        <f>IF(Trades!$A251="","",Trades!F251)</f>
        <v/>
      </c>
      <c r="I251" s="44" t="str">
        <f>IF(Trades!$A251="","",Trades!G251)</f>
        <v/>
      </c>
      <c r="J251" s="44" t="str">
        <f>IF(Trades!$A251="","",Trades!I251)</f>
        <v/>
      </c>
      <c r="K251" s="44" t="str">
        <f>IF(Trades!$A251="","",Trades!Q251)</f>
        <v/>
      </c>
      <c r="L251" s="42" t="str">
        <f>IF(Trades!$A251="","",Trades!F251)</f>
        <v/>
      </c>
      <c r="M251" s="44" t="str">
        <f>IF(Trades!$A251="","",Trades!M251)</f>
        <v/>
      </c>
      <c r="N251" s="44" t="str">
        <f>IF(Trades!$A251="","",Trades!R251)</f>
        <v/>
      </c>
      <c r="O251" s="44" t="str">
        <f>IF(Trades!$A251="","",Trades!J251)</f>
        <v/>
      </c>
      <c r="P251" s="43" t="str">
        <f>IF(Trades!$A251="","",Trades!H251)</f>
        <v/>
      </c>
      <c r="Q251" s="41" t="str">
        <f>IF(Trades!$A251="","",Trades!P251)</f>
        <v/>
      </c>
      <c r="R251" s="45" t="str">
        <f t="shared" si="51"/>
        <v/>
      </c>
      <c r="S251" s="45" t="str">
        <f t="shared" si="52"/>
        <v/>
      </c>
      <c r="T251" s="46" t="str">
        <f>IF(OR($A251="",$B251=""),"",IF(AND(IFERROR(LOOKUP(2,1/($B$9:$B$250=$B251),$AR$9:$AR250),1),NOT(AND(OR($F251="dividend",$F251="fee"),IFERROR(LOOKUP(2,1/($B$9:$B$250=$B251),$T$9:$T250),0)&gt;0))),IFERROR(LOOKUP(2,1/($B$9:$B$250=$B251),$T$9:$T250),0)+1,IFERROR(LOOKUP(2,1/($B$9:$B$250=$B251),$T$9:$T250),0)))</f>
        <v/>
      </c>
      <c r="U251" s="47" t="str">
        <f t="shared" si="53"/>
        <v/>
      </c>
      <c r="V251" s="47" t="str">
        <f>IF($A251="","",IF(OR($B251="",$C251="",$D251="",$E251="",$F251=""),"Missing required field",IF(COUNTIFS($A$9:$A251,$A251,$B$9:$B251,$B251)&gt;1,"Duplicate event ID",IF(AND($E251&lt;&gt;IFERROR(LOOKUP(2,1/($B$9:$B$250=$B251),$E$9:$E250),0),IFERROR(LOOKUP(2,1/($B$9:$B$250=$B251),$E$9:$E250),0)&gt;$E251),"Date out of order",IF(AND(OR($F251="buy_to_close",$F251="expire",$F251="roll",$F251="assignment",$F251="called_away"),$AF251=0),"Unknown lot",IF(OR(AND($F251="assignment",$AF251&gt;0,IF($AF251&gt;0,INDEX($AG$9:$AG$250,$AF251),"")&lt;&gt;"put"),AND($F251="called_away",$AF251&gt;0,IF($AF251&gt;0,INDEX($AG$9:$AG$250,$AF251),"")&lt;&gt;"call")),"Wrong option leg",IF(OR(AND(OR($F251="sell_put",$F251="sell_call"),OR($H251&lt;=0,$I251&lt;=0,$J251&lt;0)),AND(OR($F251="buy_to_close",$F251="expire",$F251="assignment",$F251="called_away"),OR($H251&lt;=0,$J251&lt;0)),AND($F251="roll",OR($H251&lt;=0,$I251&lt;=0,$J251&lt;0,$K251&lt;0)),AND(OR($F251="buy_shares",$F251="sell_shares"),OR($L251&lt;=0,$M251&lt;0)),AND(OR($F251="dividend",$F251="fee"),$N251&lt;0)),"Invalid value",IF(AND(OR($F251="sell_shares",$F251="called_away"),$AL251&lt;IF($F251="called_away",$AE251*$D251,$L251)),"Insufficient shares (capped)",IF(AND(OR($F251="buy_to_close",$F251="expire",$F251="roll",$F251="assignment",$F251="called_away"),$AF251&gt;0,$H251&gt;IF($AF251&gt;0,MAX(0,INDEX($AI$9:$AI$250,$AF251)-SUMIFS($AE$9:$AE$250,$G$9:$G$250,$G251,$B$9:$B$250,$B251)),0)),"Close quantity capped","OK")))))))))</f>
        <v/>
      </c>
      <c r="W251" s="48" t="str">
        <f t="shared" si="54"/>
        <v/>
      </c>
      <c r="X251" s="49" t="str">
        <f t="shared" si="55"/>
        <v/>
      </c>
      <c r="Y251" s="50" t="str">
        <f t="shared" si="56"/>
        <v/>
      </c>
      <c r="Z251" s="50" t="str">
        <f t="shared" si="57"/>
        <v/>
      </c>
      <c r="AA251" s="50" t="str">
        <f t="shared" si="58"/>
        <v/>
      </c>
      <c r="AB251" s="50" t="str">
        <f t="shared" si="59"/>
        <v/>
      </c>
      <c r="AC251" s="50" t="str">
        <f>IF($A251="","",IF($F251="assignment",IF($AF251&gt;0,INDEX($AH$9:$AH$250,$AF251),0)*$AE251*$D251,IF($F251="buy_shares",$M251*$AL251,0)))</f>
        <v/>
      </c>
      <c r="AD251" s="50" t="str">
        <f>IF($A251="","",IF($F251="called_away",IF($AF251&gt;0,INDEX($AH$9:$AH$250,$AF251),0)*$AL251,IF($F251="sell_shares",$M251*$AL251,0)))</f>
        <v/>
      </c>
      <c r="AE251" s="51" t="str">
        <f>IF($A251="","",IF(OR($F251="sell_put",$F251="sell_call"),IF(AND($H251&gt;0,$I251&gt;0,$J251&gt;=0),$H251,0),IF(OR($F251="buy_to_close",$F251="expire",$F251="roll",$F251="assignment",$F251="called_away"),IF(AND($AF251&gt;0,$H251&gt;0,IF($F251="assignment",IF($AF251&gt;0,INDEX($AG$9:$AG$250,$AF251),"")="put",TRUE),IF($F251="called_away",IF($AF251&gt;0,INDEX($AG$9:$AG$250,$AF251),"")="call",TRUE)),MIN($H251,IF($AF251&gt;0,MAX(0,INDEX($AI$9:$AI$250,$AF251)-SUMIFS($AE$9:$AE$250,$G$9:$G$250,$G251,$B$9:$B$250,$B251)),0)),0),0)))</f>
        <v/>
      </c>
      <c r="AF251" t="str">
        <f>IF($A251="","",IFERROR(MATCH(LEN($B251)&amp;":"&amp;$B251&amp;$G251,$AY$9:$AY$250,0),0))</f>
        <v/>
      </c>
      <c r="AG251" t="str">
        <f>IF($A251="","",IF($F251="sell_put","put",IF($F251="sell_call","call",IF($F251="roll",IF($AF251&gt;0,IF($AF251&gt;0,INDEX($AG$9:$AG$250,$AF251),""),""),IF($AF251&gt;0,IF($AF251&gt;0,INDEX($AG$9:$AG$250,$AF251),""),"")))))</f>
        <v/>
      </c>
      <c r="AH251" t="str">
        <f>IF($A251="","",IF(OR($F251="sell_put",$F251="sell_call",$F251="roll"),$I251,IF($AF251&gt;0,IF($AF251&gt;0,INDEX($AH$9:$AH$250,$AF251),0),0)))</f>
        <v/>
      </c>
      <c r="AI251" s="51" t="str">
        <f t="shared" si="60"/>
        <v/>
      </c>
      <c r="AJ251" s="51" t="str">
        <f>IF($A251="","",IFERROR(LOOKUP(2,1/($B$9:$B$250=$B251),$AM$9:$AM250),0))</f>
        <v/>
      </c>
      <c r="AK251" t="str">
        <f>IF($A251="","",IFERROR(LOOKUP(2,1/($B$9:$B$250=$B251),$AN$9:$AN250),0))</f>
        <v/>
      </c>
      <c r="AL251" s="51" t="str">
        <f t="shared" si="61"/>
        <v/>
      </c>
      <c r="AM251" s="51" t="str">
        <f t="shared" si="62"/>
        <v/>
      </c>
      <c r="AN251" t="str">
        <f t="shared" si="63"/>
        <v/>
      </c>
      <c r="AO251" s="50" t="str">
        <f>IF($A251="","",IFERROR(LOOKUP(2,1/($B$9:$B$250=$B251),$AO$9:$AO250),0)+IF($F251="sell_put",$I251*$AE251*$D251,IF($F251="roll",IF($AG251="put",($I251-IF($AF251&gt;0,INDEX($AH$9:$AH$250,$AF251),0))*$AE251*$D251,0),IF(AND(OR($F251="buy_to_close",$F251="expire",$F251="roll",$F251="assignment",$F251="called_away"),$F251&lt;&gt;"roll",$AG251="put"),-IF($AF251&gt;0,INDEX($AH$9:$AH$250,$AF251),0)*$AE251*$D251,0))))</f>
        <v/>
      </c>
      <c r="AP251" s="51" t="str">
        <f>IF($A251="","",IFERROR(LOOKUP(2,1/($B$9:$B$250=$B251),$AP$9:$AP250),0)+IF($F251="sell_put",$AE251*$D251,IF(AND(OR($F251="buy_to_close",$F251="expire",$F251="roll",$F251="assignment",$F251="called_away"),$F251&lt;&gt;"roll",$AG251="put"),-$AE251*$D251,0)))</f>
        <v/>
      </c>
      <c r="AQ251" s="51" t="str">
        <f>IF($A251="","",IFERROR(LOOKUP(2,1/($B$9:$B$250=$B251),$AQ$9:$AQ250),0)+IF(OR($F251="sell_put",$F251="sell_call"),$AE251,0)-IF(AND(OR($F251="buy_to_close",$F251="expire",$F251="roll",$F251="assignment",$F251="called_away"),$F251&lt;&gt;"roll"),$AE251,0))</f>
        <v/>
      </c>
      <c r="AR251" t="str">
        <f t="shared" si="64"/>
        <v/>
      </c>
      <c r="AS251" s="50" t="str">
        <f t="shared" si="65"/>
        <v/>
      </c>
      <c r="AT251" s="50" t="str">
        <f>IF($A251="","",MAX(IF($T251=IFERROR(LOOKUP(2,1/($B$9:$B$250=$B251),$T$9:$T250),0),IFERROR(LOOKUP(2,1/($B$9:$B$250=$B251),$AT$9:$AT250),0),0),$AS251))</f>
        <v/>
      </c>
      <c r="AU251" t="str">
        <f t="shared" si="66"/>
        <v/>
      </c>
      <c r="AV251" s="51">
        <f>IF($AU251="",0,IF(AND(IFERROR(LOOKUP(2,1/($B$9:$B$250=$B251),$AR$9:$AR250),1),NOT(AND(OR($F251="dividend",$F251="fee"),IFERROR(LOOKUP(2,1/($B$9:$B$250=$B251),$T$9:$T250),0)&gt;0))),ROW(),0))</f>
        <v>0</v>
      </c>
      <c r="AW251">
        <f>IF($A251="",0,IF($AV251&gt;0,MAX($AW$9:$AW$250)+1,MAX($AW$9:$AW$250)))</f>
        <v>0</v>
      </c>
      <c r="AX251">
        <f>IF($AU251="",0,IF(AND($AR251,OR(NOT(IFERROR(LOOKUP(2,1/($B$9:$B$250=$B251),$AR$9:$AR250),1)),IFERROR(LOOKUP(2,1/($B$9:$B$250=$B251),$T$9:$T250),0)=0)),ROW(),0))</f>
        <v>0</v>
      </c>
      <c r="AY251" t="str">
        <f t="shared" si="67"/>
        <v/>
      </c>
    </row>
    <row r="252" spans="1:51" ht="15" x14ac:dyDescent="0.25">
      <c r="A252" s="52" t="str">
        <f>IF(Trades!$A252="","",Trades!O252)</f>
        <v/>
      </c>
      <c r="B252" s="52" t="str">
        <f>IF(Trades!$A252="","",Trades!B252)</f>
        <v/>
      </c>
      <c r="C252" s="52" t="str">
        <f>IF(Trades!$A252="","",Trades!C252)</f>
        <v/>
      </c>
      <c r="D252" s="53" t="str">
        <f>IF(Trades!$A252="","",IF(Trades!$L252&gt;0,Trades!$L252,Trades!$C$6))</f>
        <v/>
      </c>
      <c r="E252" s="54" t="str">
        <f>IF(Trades!$A252="","",Trades!A252)</f>
        <v/>
      </c>
      <c r="F252" s="52" t="str">
        <f>IF(Trades!$A252="","",IFERROR(INDEX(Trades!$V$2:$V$14,MATCH(Trades!$E252,Trades!$U$2:$U$14,0)),""))</f>
        <v/>
      </c>
      <c r="G252" s="52" t="str">
        <f>IF(Trades!$A252="","",Trades!N252)</f>
        <v/>
      </c>
      <c r="H252" s="53" t="str">
        <f>IF(Trades!$A252="","",Trades!F252)</f>
        <v/>
      </c>
      <c r="I252" s="55" t="str">
        <f>IF(Trades!$A252="","",Trades!G252)</f>
        <v/>
      </c>
      <c r="J252" s="55" t="str">
        <f>IF(Trades!$A252="","",Trades!I252)</f>
        <v/>
      </c>
      <c r="K252" s="55" t="str">
        <f>IF(Trades!$A252="","",Trades!Q252)</f>
        <v/>
      </c>
      <c r="L252" s="53" t="str">
        <f>IF(Trades!$A252="","",Trades!F252)</f>
        <v/>
      </c>
      <c r="M252" s="55" t="str">
        <f>IF(Trades!$A252="","",Trades!M252)</f>
        <v/>
      </c>
      <c r="N252" s="55" t="str">
        <f>IF(Trades!$A252="","",Trades!R252)</f>
        <v/>
      </c>
      <c r="O252" s="55" t="str">
        <f>IF(Trades!$A252="","",Trades!J252)</f>
        <v/>
      </c>
      <c r="P252" s="54" t="str">
        <f>IF(Trades!$A252="","",Trades!H252)</f>
        <v/>
      </c>
      <c r="Q252" s="52" t="str">
        <f>IF(Trades!$A252="","",Trades!P252)</f>
        <v/>
      </c>
      <c r="R252" s="56" t="str">
        <f t="shared" si="51"/>
        <v/>
      </c>
      <c r="S252" s="56" t="str">
        <f t="shared" si="52"/>
        <v/>
      </c>
      <c r="T252" s="57" t="str">
        <f>IF(OR($A252="",$B252=""),"",IF(AND(IFERROR(LOOKUP(2,1/($B$9:$B$251=$B252),$AR$9:$AR251),1),NOT(AND(OR($F252="dividend",$F252="fee"),IFERROR(LOOKUP(2,1/($B$9:$B$251=$B252),$T$9:$T251),0)&gt;0))),IFERROR(LOOKUP(2,1/($B$9:$B$251=$B252),$T$9:$T251),0)+1,IFERROR(LOOKUP(2,1/($B$9:$B$251=$B252),$T$9:$T251),0)))</f>
        <v/>
      </c>
      <c r="U252" s="58" t="str">
        <f t="shared" si="53"/>
        <v/>
      </c>
      <c r="V252" s="58" t="str">
        <f>IF($A252="","",IF(OR($B252="",$C252="",$D252="",$E252="",$F252=""),"Missing required field",IF(COUNTIFS($A$9:$A252,$A252,$B$9:$B252,$B252)&gt;1,"Duplicate event ID",IF(AND($E252&lt;&gt;IFERROR(LOOKUP(2,1/($B$9:$B$251=$B252),$E$9:$E251),0),IFERROR(LOOKUP(2,1/($B$9:$B$251=$B252),$E$9:$E251),0)&gt;$E252),"Date out of order",IF(AND(OR($F252="buy_to_close",$F252="expire",$F252="roll",$F252="assignment",$F252="called_away"),$AF252=0),"Unknown lot",IF(OR(AND($F252="assignment",$AF252&gt;0,IF($AF252&gt;0,INDEX($AG$9:$AG$251,$AF252),"")&lt;&gt;"put"),AND($F252="called_away",$AF252&gt;0,IF($AF252&gt;0,INDEX($AG$9:$AG$251,$AF252),"")&lt;&gt;"call")),"Wrong option leg",IF(OR(AND(OR($F252="sell_put",$F252="sell_call"),OR($H252&lt;=0,$I252&lt;=0,$J252&lt;0)),AND(OR($F252="buy_to_close",$F252="expire",$F252="assignment",$F252="called_away"),OR($H252&lt;=0,$J252&lt;0)),AND($F252="roll",OR($H252&lt;=0,$I252&lt;=0,$J252&lt;0,$K252&lt;0)),AND(OR($F252="buy_shares",$F252="sell_shares"),OR($L252&lt;=0,$M252&lt;0)),AND(OR($F252="dividend",$F252="fee"),$N252&lt;0)),"Invalid value",IF(AND(OR($F252="sell_shares",$F252="called_away"),$AL252&lt;IF($F252="called_away",$AE252*$D252,$L252)),"Insufficient shares (capped)",IF(AND(OR($F252="buy_to_close",$F252="expire",$F252="roll",$F252="assignment",$F252="called_away"),$AF252&gt;0,$H252&gt;IF($AF252&gt;0,MAX(0,INDEX($AI$9:$AI$251,$AF252)-SUMIFS($AE$9:$AE$251,$G$9:$G$251,$G252,$B$9:$B$251,$B252)),0)),"Close quantity capped","OK")))))))))</f>
        <v/>
      </c>
      <c r="W252" s="59" t="str">
        <f t="shared" si="54"/>
        <v/>
      </c>
      <c r="X252" s="60" t="str">
        <f t="shared" si="55"/>
        <v/>
      </c>
      <c r="Y252" s="50" t="str">
        <f t="shared" si="56"/>
        <v/>
      </c>
      <c r="Z252" s="50" t="str">
        <f t="shared" si="57"/>
        <v/>
      </c>
      <c r="AA252" s="50" t="str">
        <f t="shared" si="58"/>
        <v/>
      </c>
      <c r="AB252" s="50" t="str">
        <f t="shared" si="59"/>
        <v/>
      </c>
      <c r="AC252" s="50" t="str">
        <f>IF($A252="","",IF($F252="assignment",IF($AF252&gt;0,INDEX($AH$9:$AH$251,$AF252),0)*$AE252*$D252,IF($F252="buy_shares",$M252*$AL252,0)))</f>
        <v/>
      </c>
      <c r="AD252" s="50" t="str">
        <f>IF($A252="","",IF($F252="called_away",IF($AF252&gt;0,INDEX($AH$9:$AH$251,$AF252),0)*$AL252,IF($F252="sell_shares",$M252*$AL252,0)))</f>
        <v/>
      </c>
      <c r="AE252" s="51" t="str">
        <f>IF($A252="","",IF(OR($F252="sell_put",$F252="sell_call"),IF(AND($H252&gt;0,$I252&gt;0,$J252&gt;=0),$H252,0),IF(OR($F252="buy_to_close",$F252="expire",$F252="roll",$F252="assignment",$F252="called_away"),IF(AND($AF252&gt;0,$H252&gt;0,IF($F252="assignment",IF($AF252&gt;0,INDEX($AG$9:$AG$251,$AF252),"")="put",TRUE),IF($F252="called_away",IF($AF252&gt;0,INDEX($AG$9:$AG$251,$AF252),"")="call",TRUE)),MIN($H252,IF($AF252&gt;0,MAX(0,INDEX($AI$9:$AI$251,$AF252)-SUMIFS($AE$9:$AE$251,$G$9:$G$251,$G252,$B$9:$B$251,$B252)),0)),0),0)))</f>
        <v/>
      </c>
      <c r="AF252" t="str">
        <f>IF($A252="","",IFERROR(MATCH(LEN($B252)&amp;":"&amp;$B252&amp;$G252,$AY$9:$AY$251,0),0))</f>
        <v/>
      </c>
      <c r="AG252" t="str">
        <f>IF($A252="","",IF($F252="sell_put","put",IF($F252="sell_call","call",IF($F252="roll",IF($AF252&gt;0,IF($AF252&gt;0,INDEX($AG$9:$AG$251,$AF252),""),""),IF($AF252&gt;0,IF($AF252&gt;0,INDEX($AG$9:$AG$251,$AF252),""),"")))))</f>
        <v/>
      </c>
      <c r="AH252" t="str">
        <f>IF($A252="","",IF(OR($F252="sell_put",$F252="sell_call",$F252="roll"),$I252,IF($AF252&gt;0,IF($AF252&gt;0,INDEX($AH$9:$AH$251,$AF252),0),0)))</f>
        <v/>
      </c>
      <c r="AI252" s="51" t="str">
        <f t="shared" si="60"/>
        <v/>
      </c>
      <c r="AJ252" s="51" t="str">
        <f>IF($A252="","",IFERROR(LOOKUP(2,1/($B$9:$B$251=$B252),$AM$9:$AM251),0))</f>
        <v/>
      </c>
      <c r="AK252" t="str">
        <f>IF($A252="","",IFERROR(LOOKUP(2,1/($B$9:$B$251=$B252),$AN$9:$AN251),0))</f>
        <v/>
      </c>
      <c r="AL252" s="51" t="str">
        <f t="shared" si="61"/>
        <v/>
      </c>
      <c r="AM252" s="51" t="str">
        <f t="shared" si="62"/>
        <v/>
      </c>
      <c r="AN252" t="str">
        <f t="shared" si="63"/>
        <v/>
      </c>
      <c r="AO252" s="50" t="str">
        <f>IF($A252="","",IFERROR(LOOKUP(2,1/($B$9:$B$251=$B252),$AO$9:$AO251),0)+IF($F252="sell_put",$I252*$AE252*$D252,IF($F252="roll",IF($AG252="put",($I252-IF($AF252&gt;0,INDEX($AH$9:$AH$251,$AF252),0))*$AE252*$D252,0),IF(AND(OR($F252="buy_to_close",$F252="expire",$F252="roll",$F252="assignment",$F252="called_away"),$F252&lt;&gt;"roll",$AG252="put"),-IF($AF252&gt;0,INDEX($AH$9:$AH$251,$AF252),0)*$AE252*$D252,0))))</f>
        <v/>
      </c>
      <c r="AP252" s="51" t="str">
        <f>IF($A252="","",IFERROR(LOOKUP(2,1/($B$9:$B$251=$B252),$AP$9:$AP251),0)+IF($F252="sell_put",$AE252*$D252,IF(AND(OR($F252="buy_to_close",$F252="expire",$F252="roll",$F252="assignment",$F252="called_away"),$F252&lt;&gt;"roll",$AG252="put"),-$AE252*$D252,0)))</f>
        <v/>
      </c>
      <c r="AQ252" s="51" t="str">
        <f>IF($A252="","",IFERROR(LOOKUP(2,1/($B$9:$B$251=$B252),$AQ$9:$AQ251),0)+IF(OR($F252="sell_put",$F252="sell_call"),$AE252,0)-IF(AND(OR($F252="buy_to_close",$F252="expire",$F252="roll",$F252="assignment",$F252="called_away"),$F252&lt;&gt;"roll"),$AE252,0))</f>
        <v/>
      </c>
      <c r="AR252" t="str">
        <f t="shared" si="64"/>
        <v/>
      </c>
      <c r="AS252" s="50" t="str">
        <f t="shared" si="65"/>
        <v/>
      </c>
      <c r="AT252" s="50" t="str">
        <f>IF($A252="","",MAX(IF($T252=IFERROR(LOOKUP(2,1/($B$9:$B$251=$B252),$T$9:$T251),0),IFERROR(LOOKUP(2,1/($B$9:$B$251=$B252),$AT$9:$AT251),0),0),$AS252))</f>
        <v/>
      </c>
      <c r="AU252" t="str">
        <f t="shared" si="66"/>
        <v/>
      </c>
      <c r="AV252" s="51">
        <f>IF($AU252="",0,IF(AND(IFERROR(LOOKUP(2,1/($B$9:$B$251=$B252),$AR$9:$AR251),1),NOT(AND(OR($F252="dividend",$F252="fee"),IFERROR(LOOKUP(2,1/($B$9:$B$251=$B252),$T$9:$T251),0)&gt;0))),ROW(),0))</f>
        <v>0</v>
      </c>
      <c r="AW252">
        <f>IF($A252="",0,IF($AV252&gt;0,MAX($AW$9:$AW$251)+1,MAX($AW$9:$AW$251)))</f>
        <v>0</v>
      </c>
      <c r="AX252">
        <f>IF($AU252="",0,IF(AND($AR252,OR(NOT(IFERROR(LOOKUP(2,1/($B$9:$B$251=$B252),$AR$9:$AR251),1)),IFERROR(LOOKUP(2,1/($B$9:$B$251=$B252),$T$9:$T251),0)=0)),ROW(),0))</f>
        <v>0</v>
      </c>
      <c r="AY252" t="str">
        <f t="shared" si="67"/>
        <v/>
      </c>
    </row>
    <row r="253" spans="1:51" ht="15" x14ac:dyDescent="0.25">
      <c r="A253" s="41" t="str">
        <f>IF(Trades!$A253="","",Trades!O253)</f>
        <v/>
      </c>
      <c r="B253" s="41" t="str">
        <f>IF(Trades!$A253="","",Trades!B253)</f>
        <v/>
      </c>
      <c r="C253" s="41" t="str">
        <f>IF(Trades!$A253="","",Trades!C253)</f>
        <v/>
      </c>
      <c r="D253" s="42" t="str">
        <f>IF(Trades!$A253="","",IF(Trades!$L253&gt;0,Trades!$L253,Trades!$C$6))</f>
        <v/>
      </c>
      <c r="E253" s="43" t="str">
        <f>IF(Trades!$A253="","",Trades!A253)</f>
        <v/>
      </c>
      <c r="F253" s="41" t="str">
        <f>IF(Trades!$A253="","",IFERROR(INDEX(Trades!$V$2:$V$14,MATCH(Trades!$E253,Trades!$U$2:$U$14,0)),""))</f>
        <v/>
      </c>
      <c r="G253" s="41" t="str">
        <f>IF(Trades!$A253="","",Trades!N253)</f>
        <v/>
      </c>
      <c r="H253" s="42" t="str">
        <f>IF(Trades!$A253="","",Trades!F253)</f>
        <v/>
      </c>
      <c r="I253" s="44" t="str">
        <f>IF(Trades!$A253="","",Trades!G253)</f>
        <v/>
      </c>
      <c r="J253" s="44" t="str">
        <f>IF(Trades!$A253="","",Trades!I253)</f>
        <v/>
      </c>
      <c r="K253" s="44" t="str">
        <f>IF(Trades!$A253="","",Trades!Q253)</f>
        <v/>
      </c>
      <c r="L253" s="42" t="str">
        <f>IF(Trades!$A253="","",Trades!F253)</f>
        <v/>
      </c>
      <c r="M253" s="44" t="str">
        <f>IF(Trades!$A253="","",Trades!M253)</f>
        <v/>
      </c>
      <c r="N253" s="44" t="str">
        <f>IF(Trades!$A253="","",Trades!R253)</f>
        <v/>
      </c>
      <c r="O253" s="44" t="str">
        <f>IF(Trades!$A253="","",Trades!J253)</f>
        <v/>
      </c>
      <c r="P253" s="43" t="str">
        <f>IF(Trades!$A253="","",Trades!H253)</f>
        <v/>
      </c>
      <c r="Q253" s="41" t="str">
        <f>IF(Trades!$A253="","",Trades!P253)</f>
        <v/>
      </c>
      <c r="R253" s="45" t="str">
        <f t="shared" si="51"/>
        <v/>
      </c>
      <c r="S253" s="45" t="str">
        <f t="shared" si="52"/>
        <v/>
      </c>
      <c r="T253" s="46" t="str">
        <f>IF(OR($A253="",$B253=""),"",IF(AND(IFERROR(LOOKUP(2,1/($B$9:$B$252=$B253),$AR$9:$AR252),1),NOT(AND(OR($F253="dividend",$F253="fee"),IFERROR(LOOKUP(2,1/($B$9:$B$252=$B253),$T$9:$T252),0)&gt;0))),IFERROR(LOOKUP(2,1/($B$9:$B$252=$B253),$T$9:$T252),0)+1,IFERROR(LOOKUP(2,1/($B$9:$B$252=$B253),$T$9:$T252),0)))</f>
        <v/>
      </c>
      <c r="U253" s="47" t="str">
        <f t="shared" si="53"/>
        <v/>
      </c>
      <c r="V253" s="47" t="str">
        <f>IF($A253="","",IF(OR($B253="",$C253="",$D253="",$E253="",$F253=""),"Missing required field",IF(COUNTIFS($A$9:$A253,$A253,$B$9:$B253,$B253)&gt;1,"Duplicate event ID",IF(AND($E253&lt;&gt;IFERROR(LOOKUP(2,1/($B$9:$B$252=$B253),$E$9:$E252),0),IFERROR(LOOKUP(2,1/($B$9:$B$252=$B253),$E$9:$E252),0)&gt;$E253),"Date out of order",IF(AND(OR($F253="buy_to_close",$F253="expire",$F253="roll",$F253="assignment",$F253="called_away"),$AF253=0),"Unknown lot",IF(OR(AND($F253="assignment",$AF253&gt;0,IF($AF253&gt;0,INDEX($AG$9:$AG$252,$AF253),"")&lt;&gt;"put"),AND($F253="called_away",$AF253&gt;0,IF($AF253&gt;0,INDEX($AG$9:$AG$252,$AF253),"")&lt;&gt;"call")),"Wrong option leg",IF(OR(AND(OR($F253="sell_put",$F253="sell_call"),OR($H253&lt;=0,$I253&lt;=0,$J253&lt;0)),AND(OR($F253="buy_to_close",$F253="expire",$F253="assignment",$F253="called_away"),OR($H253&lt;=0,$J253&lt;0)),AND($F253="roll",OR($H253&lt;=0,$I253&lt;=0,$J253&lt;0,$K253&lt;0)),AND(OR($F253="buy_shares",$F253="sell_shares"),OR($L253&lt;=0,$M253&lt;0)),AND(OR($F253="dividend",$F253="fee"),$N253&lt;0)),"Invalid value",IF(AND(OR($F253="sell_shares",$F253="called_away"),$AL253&lt;IF($F253="called_away",$AE253*$D253,$L253)),"Insufficient shares (capped)",IF(AND(OR($F253="buy_to_close",$F253="expire",$F253="roll",$F253="assignment",$F253="called_away"),$AF253&gt;0,$H253&gt;IF($AF253&gt;0,MAX(0,INDEX($AI$9:$AI$252,$AF253)-SUMIFS($AE$9:$AE$252,$G$9:$G$252,$G253,$B$9:$B$252,$B253)),0)),"Close quantity capped","OK")))))))))</f>
        <v/>
      </c>
      <c r="W253" s="48" t="str">
        <f t="shared" si="54"/>
        <v/>
      </c>
      <c r="X253" s="49" t="str">
        <f t="shared" si="55"/>
        <v/>
      </c>
      <c r="Y253" s="50" t="str">
        <f t="shared" si="56"/>
        <v/>
      </c>
      <c r="Z253" s="50" t="str">
        <f t="shared" si="57"/>
        <v/>
      </c>
      <c r="AA253" s="50" t="str">
        <f t="shared" si="58"/>
        <v/>
      </c>
      <c r="AB253" s="50" t="str">
        <f t="shared" si="59"/>
        <v/>
      </c>
      <c r="AC253" s="50" t="str">
        <f>IF($A253="","",IF($F253="assignment",IF($AF253&gt;0,INDEX($AH$9:$AH$252,$AF253),0)*$AE253*$D253,IF($F253="buy_shares",$M253*$AL253,0)))</f>
        <v/>
      </c>
      <c r="AD253" s="50" t="str">
        <f>IF($A253="","",IF($F253="called_away",IF($AF253&gt;0,INDEX($AH$9:$AH$252,$AF253),0)*$AL253,IF($F253="sell_shares",$M253*$AL253,0)))</f>
        <v/>
      </c>
      <c r="AE253" s="51" t="str">
        <f>IF($A253="","",IF(OR($F253="sell_put",$F253="sell_call"),IF(AND($H253&gt;0,$I253&gt;0,$J253&gt;=0),$H253,0),IF(OR($F253="buy_to_close",$F253="expire",$F253="roll",$F253="assignment",$F253="called_away"),IF(AND($AF253&gt;0,$H253&gt;0,IF($F253="assignment",IF($AF253&gt;0,INDEX($AG$9:$AG$252,$AF253),"")="put",TRUE),IF($F253="called_away",IF($AF253&gt;0,INDEX($AG$9:$AG$252,$AF253),"")="call",TRUE)),MIN($H253,IF($AF253&gt;0,MAX(0,INDEX($AI$9:$AI$252,$AF253)-SUMIFS($AE$9:$AE$252,$G$9:$G$252,$G253,$B$9:$B$252,$B253)),0)),0),0)))</f>
        <v/>
      </c>
      <c r="AF253" t="str">
        <f>IF($A253="","",IFERROR(MATCH(LEN($B253)&amp;":"&amp;$B253&amp;$G253,$AY$9:$AY$252,0),0))</f>
        <v/>
      </c>
      <c r="AG253" t="str">
        <f>IF($A253="","",IF($F253="sell_put","put",IF($F253="sell_call","call",IF($F253="roll",IF($AF253&gt;0,IF($AF253&gt;0,INDEX($AG$9:$AG$252,$AF253),""),""),IF($AF253&gt;0,IF($AF253&gt;0,INDEX($AG$9:$AG$252,$AF253),""),"")))))</f>
        <v/>
      </c>
      <c r="AH253" t="str">
        <f>IF($A253="","",IF(OR($F253="sell_put",$F253="sell_call",$F253="roll"),$I253,IF($AF253&gt;0,IF($AF253&gt;0,INDEX($AH$9:$AH$252,$AF253),0),0)))</f>
        <v/>
      </c>
      <c r="AI253" s="51" t="str">
        <f t="shared" si="60"/>
        <v/>
      </c>
      <c r="AJ253" s="51" t="str">
        <f>IF($A253="","",IFERROR(LOOKUP(2,1/($B$9:$B$252=$B253),$AM$9:$AM252),0))</f>
        <v/>
      </c>
      <c r="AK253" t="str">
        <f>IF($A253="","",IFERROR(LOOKUP(2,1/($B$9:$B$252=$B253),$AN$9:$AN252),0))</f>
        <v/>
      </c>
      <c r="AL253" s="51" t="str">
        <f t="shared" si="61"/>
        <v/>
      </c>
      <c r="AM253" s="51" t="str">
        <f t="shared" si="62"/>
        <v/>
      </c>
      <c r="AN253" t="str">
        <f t="shared" si="63"/>
        <v/>
      </c>
      <c r="AO253" s="50" t="str">
        <f>IF($A253="","",IFERROR(LOOKUP(2,1/($B$9:$B$252=$B253),$AO$9:$AO252),0)+IF($F253="sell_put",$I253*$AE253*$D253,IF($F253="roll",IF($AG253="put",($I253-IF($AF253&gt;0,INDEX($AH$9:$AH$252,$AF253),0))*$AE253*$D253,0),IF(AND(OR($F253="buy_to_close",$F253="expire",$F253="roll",$F253="assignment",$F253="called_away"),$F253&lt;&gt;"roll",$AG253="put"),-IF($AF253&gt;0,INDEX($AH$9:$AH$252,$AF253),0)*$AE253*$D253,0))))</f>
        <v/>
      </c>
      <c r="AP253" s="51" t="str">
        <f>IF($A253="","",IFERROR(LOOKUP(2,1/($B$9:$B$252=$B253),$AP$9:$AP252),0)+IF($F253="sell_put",$AE253*$D253,IF(AND(OR($F253="buy_to_close",$F253="expire",$F253="roll",$F253="assignment",$F253="called_away"),$F253&lt;&gt;"roll",$AG253="put"),-$AE253*$D253,0)))</f>
        <v/>
      </c>
      <c r="AQ253" s="51" t="str">
        <f>IF($A253="","",IFERROR(LOOKUP(2,1/($B$9:$B$252=$B253),$AQ$9:$AQ252),0)+IF(OR($F253="sell_put",$F253="sell_call"),$AE253,0)-IF(AND(OR($F253="buy_to_close",$F253="expire",$F253="roll",$F253="assignment",$F253="called_away"),$F253&lt;&gt;"roll"),$AE253,0))</f>
        <v/>
      </c>
      <c r="AR253" t="str">
        <f t="shared" si="64"/>
        <v/>
      </c>
      <c r="AS253" s="50" t="str">
        <f t="shared" si="65"/>
        <v/>
      </c>
      <c r="AT253" s="50" t="str">
        <f>IF($A253="","",MAX(IF($T253=IFERROR(LOOKUP(2,1/($B$9:$B$252=$B253),$T$9:$T252),0),IFERROR(LOOKUP(2,1/($B$9:$B$252=$B253),$AT$9:$AT252),0),0),$AS253))</f>
        <v/>
      </c>
      <c r="AU253" t="str">
        <f t="shared" si="66"/>
        <v/>
      </c>
      <c r="AV253" s="51">
        <f>IF($AU253="",0,IF(AND(IFERROR(LOOKUP(2,1/($B$9:$B$252=$B253),$AR$9:$AR252),1),NOT(AND(OR($F253="dividend",$F253="fee"),IFERROR(LOOKUP(2,1/($B$9:$B$252=$B253),$T$9:$T252),0)&gt;0))),ROW(),0))</f>
        <v>0</v>
      </c>
      <c r="AW253">
        <f>IF($A253="",0,IF($AV253&gt;0,MAX($AW$9:$AW$252)+1,MAX($AW$9:$AW$252)))</f>
        <v>0</v>
      </c>
      <c r="AX253">
        <f>IF($AU253="",0,IF(AND($AR253,OR(NOT(IFERROR(LOOKUP(2,1/($B$9:$B$252=$B253),$AR$9:$AR252),1)),IFERROR(LOOKUP(2,1/($B$9:$B$252=$B253),$T$9:$T252),0)=0)),ROW(),0))</f>
        <v>0</v>
      </c>
      <c r="AY253" t="str">
        <f t="shared" si="67"/>
        <v/>
      </c>
    </row>
    <row r="254" spans="1:51" ht="15" x14ac:dyDescent="0.25">
      <c r="A254" s="52" t="str">
        <f>IF(Trades!$A254="","",Trades!O254)</f>
        <v/>
      </c>
      <c r="B254" s="52" t="str">
        <f>IF(Trades!$A254="","",Trades!B254)</f>
        <v/>
      </c>
      <c r="C254" s="52" t="str">
        <f>IF(Trades!$A254="","",Trades!C254)</f>
        <v/>
      </c>
      <c r="D254" s="53" t="str">
        <f>IF(Trades!$A254="","",IF(Trades!$L254&gt;0,Trades!$L254,Trades!$C$6))</f>
        <v/>
      </c>
      <c r="E254" s="54" t="str">
        <f>IF(Trades!$A254="","",Trades!A254)</f>
        <v/>
      </c>
      <c r="F254" s="52" t="str">
        <f>IF(Trades!$A254="","",IFERROR(INDEX(Trades!$V$2:$V$14,MATCH(Trades!$E254,Trades!$U$2:$U$14,0)),""))</f>
        <v/>
      </c>
      <c r="G254" s="52" t="str">
        <f>IF(Trades!$A254="","",Trades!N254)</f>
        <v/>
      </c>
      <c r="H254" s="53" t="str">
        <f>IF(Trades!$A254="","",Trades!F254)</f>
        <v/>
      </c>
      <c r="I254" s="55" t="str">
        <f>IF(Trades!$A254="","",Trades!G254)</f>
        <v/>
      </c>
      <c r="J254" s="55" t="str">
        <f>IF(Trades!$A254="","",Trades!I254)</f>
        <v/>
      </c>
      <c r="K254" s="55" t="str">
        <f>IF(Trades!$A254="","",Trades!Q254)</f>
        <v/>
      </c>
      <c r="L254" s="53" t="str">
        <f>IF(Trades!$A254="","",Trades!F254)</f>
        <v/>
      </c>
      <c r="M254" s="55" t="str">
        <f>IF(Trades!$A254="","",Trades!M254)</f>
        <v/>
      </c>
      <c r="N254" s="55" t="str">
        <f>IF(Trades!$A254="","",Trades!R254)</f>
        <v/>
      </c>
      <c r="O254" s="55" t="str">
        <f>IF(Trades!$A254="","",Trades!J254)</f>
        <v/>
      </c>
      <c r="P254" s="54" t="str">
        <f>IF(Trades!$A254="","",Trades!H254)</f>
        <v/>
      </c>
      <c r="Q254" s="52" t="str">
        <f>IF(Trades!$A254="","",Trades!P254)</f>
        <v/>
      </c>
      <c r="R254" s="56" t="str">
        <f t="shared" si="51"/>
        <v/>
      </c>
      <c r="S254" s="56" t="str">
        <f t="shared" si="52"/>
        <v/>
      </c>
      <c r="T254" s="57" t="str">
        <f>IF(OR($A254="",$B254=""),"",IF(AND(IFERROR(LOOKUP(2,1/($B$9:$B$253=$B254),$AR$9:$AR253),1),NOT(AND(OR($F254="dividend",$F254="fee"),IFERROR(LOOKUP(2,1/($B$9:$B$253=$B254),$T$9:$T253),0)&gt;0))),IFERROR(LOOKUP(2,1/($B$9:$B$253=$B254),$T$9:$T253),0)+1,IFERROR(LOOKUP(2,1/($B$9:$B$253=$B254),$T$9:$T253),0)))</f>
        <v/>
      </c>
      <c r="U254" s="58" t="str">
        <f t="shared" si="53"/>
        <v/>
      </c>
      <c r="V254" s="58" t="str">
        <f>IF($A254="","",IF(OR($B254="",$C254="",$D254="",$E254="",$F254=""),"Missing required field",IF(COUNTIFS($A$9:$A254,$A254,$B$9:$B254,$B254)&gt;1,"Duplicate event ID",IF(AND($E254&lt;&gt;IFERROR(LOOKUP(2,1/($B$9:$B$253=$B254),$E$9:$E253),0),IFERROR(LOOKUP(2,1/($B$9:$B$253=$B254),$E$9:$E253),0)&gt;$E254),"Date out of order",IF(AND(OR($F254="buy_to_close",$F254="expire",$F254="roll",$F254="assignment",$F254="called_away"),$AF254=0),"Unknown lot",IF(OR(AND($F254="assignment",$AF254&gt;0,IF($AF254&gt;0,INDEX($AG$9:$AG$253,$AF254),"")&lt;&gt;"put"),AND($F254="called_away",$AF254&gt;0,IF($AF254&gt;0,INDEX($AG$9:$AG$253,$AF254),"")&lt;&gt;"call")),"Wrong option leg",IF(OR(AND(OR($F254="sell_put",$F254="sell_call"),OR($H254&lt;=0,$I254&lt;=0,$J254&lt;0)),AND(OR($F254="buy_to_close",$F254="expire",$F254="assignment",$F254="called_away"),OR($H254&lt;=0,$J254&lt;0)),AND($F254="roll",OR($H254&lt;=0,$I254&lt;=0,$J254&lt;0,$K254&lt;0)),AND(OR($F254="buy_shares",$F254="sell_shares"),OR($L254&lt;=0,$M254&lt;0)),AND(OR($F254="dividend",$F254="fee"),$N254&lt;0)),"Invalid value",IF(AND(OR($F254="sell_shares",$F254="called_away"),$AL254&lt;IF($F254="called_away",$AE254*$D254,$L254)),"Insufficient shares (capped)",IF(AND(OR($F254="buy_to_close",$F254="expire",$F254="roll",$F254="assignment",$F254="called_away"),$AF254&gt;0,$H254&gt;IF($AF254&gt;0,MAX(0,INDEX($AI$9:$AI$253,$AF254)-SUMIFS($AE$9:$AE$253,$G$9:$G$253,$G254,$B$9:$B$253,$B254)),0)),"Close quantity capped","OK")))))))))</f>
        <v/>
      </c>
      <c r="W254" s="59" t="str">
        <f t="shared" si="54"/>
        <v/>
      </c>
      <c r="X254" s="60" t="str">
        <f t="shared" si="55"/>
        <v/>
      </c>
      <c r="Y254" s="50" t="str">
        <f t="shared" si="56"/>
        <v/>
      </c>
      <c r="Z254" s="50" t="str">
        <f t="shared" si="57"/>
        <v/>
      </c>
      <c r="AA254" s="50" t="str">
        <f t="shared" si="58"/>
        <v/>
      </c>
      <c r="AB254" s="50" t="str">
        <f t="shared" si="59"/>
        <v/>
      </c>
      <c r="AC254" s="50" t="str">
        <f>IF($A254="","",IF($F254="assignment",IF($AF254&gt;0,INDEX($AH$9:$AH$253,$AF254),0)*$AE254*$D254,IF($F254="buy_shares",$M254*$AL254,0)))</f>
        <v/>
      </c>
      <c r="AD254" s="50" t="str">
        <f>IF($A254="","",IF($F254="called_away",IF($AF254&gt;0,INDEX($AH$9:$AH$253,$AF254),0)*$AL254,IF($F254="sell_shares",$M254*$AL254,0)))</f>
        <v/>
      </c>
      <c r="AE254" s="51" t="str">
        <f>IF($A254="","",IF(OR($F254="sell_put",$F254="sell_call"),IF(AND($H254&gt;0,$I254&gt;0,$J254&gt;=0),$H254,0),IF(OR($F254="buy_to_close",$F254="expire",$F254="roll",$F254="assignment",$F254="called_away"),IF(AND($AF254&gt;0,$H254&gt;0,IF($F254="assignment",IF($AF254&gt;0,INDEX($AG$9:$AG$253,$AF254),"")="put",TRUE),IF($F254="called_away",IF($AF254&gt;0,INDEX($AG$9:$AG$253,$AF254),"")="call",TRUE)),MIN($H254,IF($AF254&gt;0,MAX(0,INDEX($AI$9:$AI$253,$AF254)-SUMIFS($AE$9:$AE$253,$G$9:$G$253,$G254,$B$9:$B$253,$B254)),0)),0),0)))</f>
        <v/>
      </c>
      <c r="AF254" t="str">
        <f>IF($A254="","",IFERROR(MATCH(LEN($B254)&amp;":"&amp;$B254&amp;$G254,$AY$9:$AY$253,0),0))</f>
        <v/>
      </c>
      <c r="AG254" t="str">
        <f>IF($A254="","",IF($F254="sell_put","put",IF($F254="sell_call","call",IF($F254="roll",IF($AF254&gt;0,IF($AF254&gt;0,INDEX($AG$9:$AG$253,$AF254),""),""),IF($AF254&gt;0,IF($AF254&gt;0,INDEX($AG$9:$AG$253,$AF254),""),"")))))</f>
        <v/>
      </c>
      <c r="AH254" t="str">
        <f>IF($A254="","",IF(OR($F254="sell_put",$F254="sell_call",$F254="roll"),$I254,IF($AF254&gt;0,IF($AF254&gt;0,INDEX($AH$9:$AH$253,$AF254),0),0)))</f>
        <v/>
      </c>
      <c r="AI254" s="51" t="str">
        <f t="shared" si="60"/>
        <v/>
      </c>
      <c r="AJ254" s="51" t="str">
        <f>IF($A254="","",IFERROR(LOOKUP(2,1/($B$9:$B$253=$B254),$AM$9:$AM253),0))</f>
        <v/>
      </c>
      <c r="AK254" t="str">
        <f>IF($A254="","",IFERROR(LOOKUP(2,1/($B$9:$B$253=$B254),$AN$9:$AN253),0))</f>
        <v/>
      </c>
      <c r="AL254" s="51" t="str">
        <f t="shared" si="61"/>
        <v/>
      </c>
      <c r="AM254" s="51" t="str">
        <f t="shared" si="62"/>
        <v/>
      </c>
      <c r="AN254" t="str">
        <f t="shared" si="63"/>
        <v/>
      </c>
      <c r="AO254" s="50" t="str">
        <f>IF($A254="","",IFERROR(LOOKUP(2,1/($B$9:$B$253=$B254),$AO$9:$AO253),0)+IF($F254="sell_put",$I254*$AE254*$D254,IF($F254="roll",IF($AG254="put",($I254-IF($AF254&gt;0,INDEX($AH$9:$AH$253,$AF254),0))*$AE254*$D254,0),IF(AND(OR($F254="buy_to_close",$F254="expire",$F254="roll",$F254="assignment",$F254="called_away"),$F254&lt;&gt;"roll",$AG254="put"),-IF($AF254&gt;0,INDEX($AH$9:$AH$253,$AF254),0)*$AE254*$D254,0))))</f>
        <v/>
      </c>
      <c r="AP254" s="51" t="str">
        <f>IF($A254="","",IFERROR(LOOKUP(2,1/($B$9:$B$253=$B254),$AP$9:$AP253),0)+IF($F254="sell_put",$AE254*$D254,IF(AND(OR($F254="buy_to_close",$F254="expire",$F254="roll",$F254="assignment",$F254="called_away"),$F254&lt;&gt;"roll",$AG254="put"),-$AE254*$D254,0)))</f>
        <v/>
      </c>
      <c r="AQ254" s="51" t="str">
        <f>IF($A254="","",IFERROR(LOOKUP(2,1/($B$9:$B$253=$B254),$AQ$9:$AQ253),0)+IF(OR($F254="sell_put",$F254="sell_call"),$AE254,0)-IF(AND(OR($F254="buy_to_close",$F254="expire",$F254="roll",$F254="assignment",$F254="called_away"),$F254&lt;&gt;"roll"),$AE254,0))</f>
        <v/>
      </c>
      <c r="AR254" t="str">
        <f t="shared" si="64"/>
        <v/>
      </c>
      <c r="AS254" s="50" t="str">
        <f t="shared" si="65"/>
        <v/>
      </c>
      <c r="AT254" s="50" t="str">
        <f>IF($A254="","",MAX(IF($T254=IFERROR(LOOKUP(2,1/($B$9:$B$253=$B254),$T$9:$T253),0),IFERROR(LOOKUP(2,1/($B$9:$B$253=$B254),$AT$9:$AT253),0),0),$AS254))</f>
        <v/>
      </c>
      <c r="AU254" t="str">
        <f t="shared" si="66"/>
        <v/>
      </c>
      <c r="AV254" s="51">
        <f>IF($AU254="",0,IF(AND(IFERROR(LOOKUP(2,1/($B$9:$B$253=$B254),$AR$9:$AR253),1),NOT(AND(OR($F254="dividend",$F254="fee"),IFERROR(LOOKUP(2,1/($B$9:$B$253=$B254),$T$9:$T253),0)&gt;0))),ROW(),0))</f>
        <v>0</v>
      </c>
      <c r="AW254">
        <f>IF($A254="",0,IF($AV254&gt;0,MAX($AW$9:$AW$253)+1,MAX($AW$9:$AW$253)))</f>
        <v>0</v>
      </c>
      <c r="AX254">
        <f>IF($AU254="",0,IF(AND($AR254,OR(NOT(IFERROR(LOOKUP(2,1/($B$9:$B$253=$B254),$AR$9:$AR253),1)),IFERROR(LOOKUP(2,1/($B$9:$B$253=$B254),$T$9:$T253),0)=0)),ROW(),0))</f>
        <v>0</v>
      </c>
      <c r="AY254" t="str">
        <f t="shared" si="67"/>
        <v/>
      </c>
    </row>
    <row r="255" spans="1:51" ht="15" x14ac:dyDescent="0.25">
      <c r="A255" s="41" t="str">
        <f>IF(Trades!$A255="","",Trades!O255)</f>
        <v/>
      </c>
      <c r="B255" s="41" t="str">
        <f>IF(Trades!$A255="","",Trades!B255)</f>
        <v/>
      </c>
      <c r="C255" s="41" t="str">
        <f>IF(Trades!$A255="","",Trades!C255)</f>
        <v/>
      </c>
      <c r="D255" s="42" t="str">
        <f>IF(Trades!$A255="","",IF(Trades!$L255&gt;0,Trades!$L255,Trades!$C$6))</f>
        <v/>
      </c>
      <c r="E255" s="43" t="str">
        <f>IF(Trades!$A255="","",Trades!A255)</f>
        <v/>
      </c>
      <c r="F255" s="41" t="str">
        <f>IF(Trades!$A255="","",IFERROR(INDEX(Trades!$V$2:$V$14,MATCH(Trades!$E255,Trades!$U$2:$U$14,0)),""))</f>
        <v/>
      </c>
      <c r="G255" s="41" t="str">
        <f>IF(Trades!$A255="","",Trades!N255)</f>
        <v/>
      </c>
      <c r="H255" s="42" t="str">
        <f>IF(Trades!$A255="","",Trades!F255)</f>
        <v/>
      </c>
      <c r="I255" s="44" t="str">
        <f>IF(Trades!$A255="","",Trades!G255)</f>
        <v/>
      </c>
      <c r="J255" s="44" t="str">
        <f>IF(Trades!$A255="","",Trades!I255)</f>
        <v/>
      </c>
      <c r="K255" s="44" t="str">
        <f>IF(Trades!$A255="","",Trades!Q255)</f>
        <v/>
      </c>
      <c r="L255" s="42" t="str">
        <f>IF(Trades!$A255="","",Trades!F255)</f>
        <v/>
      </c>
      <c r="M255" s="44" t="str">
        <f>IF(Trades!$A255="","",Trades!M255)</f>
        <v/>
      </c>
      <c r="N255" s="44" t="str">
        <f>IF(Trades!$A255="","",Trades!R255)</f>
        <v/>
      </c>
      <c r="O255" s="44" t="str">
        <f>IF(Trades!$A255="","",Trades!J255)</f>
        <v/>
      </c>
      <c r="P255" s="43" t="str">
        <f>IF(Trades!$A255="","",Trades!H255)</f>
        <v/>
      </c>
      <c r="Q255" s="41" t="str">
        <f>IF(Trades!$A255="","",Trades!P255)</f>
        <v/>
      </c>
      <c r="R255" s="45" t="str">
        <f t="shared" si="51"/>
        <v/>
      </c>
      <c r="S255" s="45" t="str">
        <f t="shared" si="52"/>
        <v/>
      </c>
      <c r="T255" s="46" t="str">
        <f>IF(OR($A255="",$B255=""),"",IF(AND(IFERROR(LOOKUP(2,1/($B$9:$B$254=$B255),$AR$9:$AR254),1),NOT(AND(OR($F255="dividend",$F255="fee"),IFERROR(LOOKUP(2,1/($B$9:$B$254=$B255),$T$9:$T254),0)&gt;0))),IFERROR(LOOKUP(2,1/($B$9:$B$254=$B255),$T$9:$T254),0)+1,IFERROR(LOOKUP(2,1/($B$9:$B$254=$B255),$T$9:$T254),0)))</f>
        <v/>
      </c>
      <c r="U255" s="47" t="str">
        <f t="shared" si="53"/>
        <v/>
      </c>
      <c r="V255" s="47" t="str">
        <f>IF($A255="","",IF(OR($B255="",$C255="",$D255="",$E255="",$F255=""),"Missing required field",IF(COUNTIFS($A$9:$A255,$A255,$B$9:$B255,$B255)&gt;1,"Duplicate event ID",IF(AND($E255&lt;&gt;IFERROR(LOOKUP(2,1/($B$9:$B$254=$B255),$E$9:$E254),0),IFERROR(LOOKUP(2,1/($B$9:$B$254=$B255),$E$9:$E254),0)&gt;$E255),"Date out of order",IF(AND(OR($F255="buy_to_close",$F255="expire",$F255="roll",$F255="assignment",$F255="called_away"),$AF255=0),"Unknown lot",IF(OR(AND($F255="assignment",$AF255&gt;0,IF($AF255&gt;0,INDEX($AG$9:$AG$254,$AF255),"")&lt;&gt;"put"),AND($F255="called_away",$AF255&gt;0,IF($AF255&gt;0,INDEX($AG$9:$AG$254,$AF255),"")&lt;&gt;"call")),"Wrong option leg",IF(OR(AND(OR($F255="sell_put",$F255="sell_call"),OR($H255&lt;=0,$I255&lt;=0,$J255&lt;0)),AND(OR($F255="buy_to_close",$F255="expire",$F255="assignment",$F255="called_away"),OR($H255&lt;=0,$J255&lt;0)),AND($F255="roll",OR($H255&lt;=0,$I255&lt;=0,$J255&lt;0,$K255&lt;0)),AND(OR($F255="buy_shares",$F255="sell_shares"),OR($L255&lt;=0,$M255&lt;0)),AND(OR($F255="dividend",$F255="fee"),$N255&lt;0)),"Invalid value",IF(AND(OR($F255="sell_shares",$F255="called_away"),$AL255&lt;IF($F255="called_away",$AE255*$D255,$L255)),"Insufficient shares (capped)",IF(AND(OR($F255="buy_to_close",$F255="expire",$F255="roll",$F255="assignment",$F255="called_away"),$AF255&gt;0,$H255&gt;IF($AF255&gt;0,MAX(0,INDEX($AI$9:$AI$254,$AF255)-SUMIFS($AE$9:$AE$254,$G$9:$G$254,$G255,$B$9:$B$254,$B255)),0)),"Close quantity capped","OK")))))))))</f>
        <v/>
      </c>
      <c r="W255" s="48" t="str">
        <f t="shared" si="54"/>
        <v/>
      </c>
      <c r="X255" s="49" t="str">
        <f t="shared" si="55"/>
        <v/>
      </c>
      <c r="Y255" s="50" t="str">
        <f t="shared" si="56"/>
        <v/>
      </c>
      <c r="Z255" s="50" t="str">
        <f t="shared" si="57"/>
        <v/>
      </c>
      <c r="AA255" s="50" t="str">
        <f t="shared" si="58"/>
        <v/>
      </c>
      <c r="AB255" s="50" t="str">
        <f t="shared" si="59"/>
        <v/>
      </c>
      <c r="AC255" s="50" t="str">
        <f>IF($A255="","",IF($F255="assignment",IF($AF255&gt;0,INDEX($AH$9:$AH$254,$AF255),0)*$AE255*$D255,IF($F255="buy_shares",$M255*$AL255,0)))</f>
        <v/>
      </c>
      <c r="AD255" s="50" t="str">
        <f>IF($A255="","",IF($F255="called_away",IF($AF255&gt;0,INDEX($AH$9:$AH$254,$AF255),0)*$AL255,IF($F255="sell_shares",$M255*$AL255,0)))</f>
        <v/>
      </c>
      <c r="AE255" s="51" t="str">
        <f>IF($A255="","",IF(OR($F255="sell_put",$F255="sell_call"),IF(AND($H255&gt;0,$I255&gt;0,$J255&gt;=0),$H255,0),IF(OR($F255="buy_to_close",$F255="expire",$F255="roll",$F255="assignment",$F255="called_away"),IF(AND($AF255&gt;0,$H255&gt;0,IF($F255="assignment",IF($AF255&gt;0,INDEX($AG$9:$AG$254,$AF255),"")="put",TRUE),IF($F255="called_away",IF($AF255&gt;0,INDEX($AG$9:$AG$254,$AF255),"")="call",TRUE)),MIN($H255,IF($AF255&gt;0,MAX(0,INDEX($AI$9:$AI$254,$AF255)-SUMIFS($AE$9:$AE$254,$G$9:$G$254,$G255,$B$9:$B$254,$B255)),0)),0),0)))</f>
        <v/>
      </c>
      <c r="AF255" t="str">
        <f>IF($A255="","",IFERROR(MATCH(LEN($B255)&amp;":"&amp;$B255&amp;$G255,$AY$9:$AY$254,0),0))</f>
        <v/>
      </c>
      <c r="AG255" t="str">
        <f>IF($A255="","",IF($F255="sell_put","put",IF($F255="sell_call","call",IF($F255="roll",IF($AF255&gt;0,IF($AF255&gt;0,INDEX($AG$9:$AG$254,$AF255),""),""),IF($AF255&gt;0,IF($AF255&gt;0,INDEX($AG$9:$AG$254,$AF255),""),"")))))</f>
        <v/>
      </c>
      <c r="AH255" t="str">
        <f>IF($A255="","",IF(OR($F255="sell_put",$F255="sell_call",$F255="roll"),$I255,IF($AF255&gt;0,IF($AF255&gt;0,INDEX($AH$9:$AH$254,$AF255),0),0)))</f>
        <v/>
      </c>
      <c r="AI255" s="51" t="str">
        <f t="shared" si="60"/>
        <v/>
      </c>
      <c r="AJ255" s="51" t="str">
        <f>IF($A255="","",IFERROR(LOOKUP(2,1/($B$9:$B$254=$B255),$AM$9:$AM254),0))</f>
        <v/>
      </c>
      <c r="AK255" t="str">
        <f>IF($A255="","",IFERROR(LOOKUP(2,1/($B$9:$B$254=$B255),$AN$9:$AN254),0))</f>
        <v/>
      </c>
      <c r="AL255" s="51" t="str">
        <f t="shared" si="61"/>
        <v/>
      </c>
      <c r="AM255" s="51" t="str">
        <f t="shared" si="62"/>
        <v/>
      </c>
      <c r="AN255" t="str">
        <f t="shared" si="63"/>
        <v/>
      </c>
      <c r="AO255" s="50" t="str">
        <f>IF($A255="","",IFERROR(LOOKUP(2,1/($B$9:$B$254=$B255),$AO$9:$AO254),0)+IF($F255="sell_put",$I255*$AE255*$D255,IF($F255="roll",IF($AG255="put",($I255-IF($AF255&gt;0,INDEX($AH$9:$AH$254,$AF255),0))*$AE255*$D255,0),IF(AND(OR($F255="buy_to_close",$F255="expire",$F255="roll",$F255="assignment",$F255="called_away"),$F255&lt;&gt;"roll",$AG255="put"),-IF($AF255&gt;0,INDEX($AH$9:$AH$254,$AF255),0)*$AE255*$D255,0))))</f>
        <v/>
      </c>
      <c r="AP255" s="51" t="str">
        <f>IF($A255="","",IFERROR(LOOKUP(2,1/($B$9:$B$254=$B255),$AP$9:$AP254),0)+IF($F255="sell_put",$AE255*$D255,IF(AND(OR($F255="buy_to_close",$F255="expire",$F255="roll",$F255="assignment",$F255="called_away"),$F255&lt;&gt;"roll",$AG255="put"),-$AE255*$D255,0)))</f>
        <v/>
      </c>
      <c r="AQ255" s="51" t="str">
        <f>IF($A255="","",IFERROR(LOOKUP(2,1/($B$9:$B$254=$B255),$AQ$9:$AQ254),0)+IF(OR($F255="sell_put",$F255="sell_call"),$AE255,0)-IF(AND(OR($F255="buy_to_close",$F255="expire",$F255="roll",$F255="assignment",$F255="called_away"),$F255&lt;&gt;"roll"),$AE255,0))</f>
        <v/>
      </c>
      <c r="AR255" t="str">
        <f t="shared" si="64"/>
        <v/>
      </c>
      <c r="AS255" s="50" t="str">
        <f t="shared" si="65"/>
        <v/>
      </c>
      <c r="AT255" s="50" t="str">
        <f>IF($A255="","",MAX(IF($T255=IFERROR(LOOKUP(2,1/($B$9:$B$254=$B255),$T$9:$T254),0),IFERROR(LOOKUP(2,1/($B$9:$B$254=$B255),$AT$9:$AT254),0),0),$AS255))</f>
        <v/>
      </c>
      <c r="AU255" t="str">
        <f t="shared" si="66"/>
        <v/>
      </c>
      <c r="AV255" s="51">
        <f>IF($AU255="",0,IF(AND(IFERROR(LOOKUP(2,1/($B$9:$B$254=$B255),$AR$9:$AR254),1),NOT(AND(OR($F255="dividend",$F255="fee"),IFERROR(LOOKUP(2,1/($B$9:$B$254=$B255),$T$9:$T254),0)&gt;0))),ROW(),0))</f>
        <v>0</v>
      </c>
      <c r="AW255">
        <f>IF($A255="",0,IF($AV255&gt;0,MAX($AW$9:$AW$254)+1,MAX($AW$9:$AW$254)))</f>
        <v>0</v>
      </c>
      <c r="AX255">
        <f>IF($AU255="",0,IF(AND($AR255,OR(NOT(IFERROR(LOOKUP(2,1/($B$9:$B$254=$B255),$AR$9:$AR254),1)),IFERROR(LOOKUP(2,1/($B$9:$B$254=$B255),$T$9:$T254),0)=0)),ROW(),0))</f>
        <v>0</v>
      </c>
      <c r="AY255" t="str">
        <f t="shared" si="67"/>
        <v/>
      </c>
    </row>
    <row r="256" spans="1:51" ht="15" x14ac:dyDescent="0.25">
      <c r="A256" s="52" t="str">
        <f>IF(Trades!$A256="","",Trades!O256)</f>
        <v/>
      </c>
      <c r="B256" s="52" t="str">
        <f>IF(Trades!$A256="","",Trades!B256)</f>
        <v/>
      </c>
      <c r="C256" s="52" t="str">
        <f>IF(Trades!$A256="","",Trades!C256)</f>
        <v/>
      </c>
      <c r="D256" s="53" t="str">
        <f>IF(Trades!$A256="","",IF(Trades!$L256&gt;0,Trades!$L256,Trades!$C$6))</f>
        <v/>
      </c>
      <c r="E256" s="54" t="str">
        <f>IF(Trades!$A256="","",Trades!A256)</f>
        <v/>
      </c>
      <c r="F256" s="52" t="str">
        <f>IF(Trades!$A256="","",IFERROR(INDEX(Trades!$V$2:$V$14,MATCH(Trades!$E256,Trades!$U$2:$U$14,0)),""))</f>
        <v/>
      </c>
      <c r="G256" s="52" t="str">
        <f>IF(Trades!$A256="","",Trades!N256)</f>
        <v/>
      </c>
      <c r="H256" s="53" t="str">
        <f>IF(Trades!$A256="","",Trades!F256)</f>
        <v/>
      </c>
      <c r="I256" s="55" t="str">
        <f>IF(Trades!$A256="","",Trades!G256)</f>
        <v/>
      </c>
      <c r="J256" s="55" t="str">
        <f>IF(Trades!$A256="","",Trades!I256)</f>
        <v/>
      </c>
      <c r="K256" s="55" t="str">
        <f>IF(Trades!$A256="","",Trades!Q256)</f>
        <v/>
      </c>
      <c r="L256" s="53" t="str">
        <f>IF(Trades!$A256="","",Trades!F256)</f>
        <v/>
      </c>
      <c r="M256" s="55" t="str">
        <f>IF(Trades!$A256="","",Trades!M256)</f>
        <v/>
      </c>
      <c r="N256" s="55" t="str">
        <f>IF(Trades!$A256="","",Trades!R256)</f>
        <v/>
      </c>
      <c r="O256" s="55" t="str">
        <f>IF(Trades!$A256="","",Trades!J256)</f>
        <v/>
      </c>
      <c r="P256" s="54" t="str">
        <f>IF(Trades!$A256="","",Trades!H256)</f>
        <v/>
      </c>
      <c r="Q256" s="52" t="str">
        <f>IF(Trades!$A256="","",Trades!P256)</f>
        <v/>
      </c>
      <c r="R256" s="56" t="str">
        <f t="shared" si="51"/>
        <v/>
      </c>
      <c r="S256" s="56" t="str">
        <f t="shared" si="52"/>
        <v/>
      </c>
      <c r="T256" s="57" t="str">
        <f>IF(OR($A256="",$B256=""),"",IF(AND(IFERROR(LOOKUP(2,1/($B$9:$B$255=$B256),$AR$9:$AR255),1),NOT(AND(OR($F256="dividend",$F256="fee"),IFERROR(LOOKUP(2,1/($B$9:$B$255=$B256),$T$9:$T255),0)&gt;0))),IFERROR(LOOKUP(2,1/($B$9:$B$255=$B256),$T$9:$T255),0)+1,IFERROR(LOOKUP(2,1/($B$9:$B$255=$B256),$T$9:$T255),0)))</f>
        <v/>
      </c>
      <c r="U256" s="58" t="str">
        <f t="shared" si="53"/>
        <v/>
      </c>
      <c r="V256" s="58" t="str">
        <f>IF($A256="","",IF(OR($B256="",$C256="",$D256="",$E256="",$F256=""),"Missing required field",IF(COUNTIFS($A$9:$A256,$A256,$B$9:$B256,$B256)&gt;1,"Duplicate event ID",IF(AND($E256&lt;&gt;IFERROR(LOOKUP(2,1/($B$9:$B$255=$B256),$E$9:$E255),0),IFERROR(LOOKUP(2,1/($B$9:$B$255=$B256),$E$9:$E255),0)&gt;$E256),"Date out of order",IF(AND(OR($F256="buy_to_close",$F256="expire",$F256="roll",$F256="assignment",$F256="called_away"),$AF256=0),"Unknown lot",IF(OR(AND($F256="assignment",$AF256&gt;0,IF($AF256&gt;0,INDEX($AG$9:$AG$255,$AF256),"")&lt;&gt;"put"),AND($F256="called_away",$AF256&gt;0,IF($AF256&gt;0,INDEX($AG$9:$AG$255,$AF256),"")&lt;&gt;"call")),"Wrong option leg",IF(OR(AND(OR($F256="sell_put",$F256="sell_call"),OR($H256&lt;=0,$I256&lt;=0,$J256&lt;0)),AND(OR($F256="buy_to_close",$F256="expire",$F256="assignment",$F256="called_away"),OR($H256&lt;=0,$J256&lt;0)),AND($F256="roll",OR($H256&lt;=0,$I256&lt;=0,$J256&lt;0,$K256&lt;0)),AND(OR($F256="buy_shares",$F256="sell_shares"),OR($L256&lt;=0,$M256&lt;0)),AND(OR($F256="dividend",$F256="fee"),$N256&lt;0)),"Invalid value",IF(AND(OR($F256="sell_shares",$F256="called_away"),$AL256&lt;IF($F256="called_away",$AE256*$D256,$L256)),"Insufficient shares (capped)",IF(AND(OR($F256="buy_to_close",$F256="expire",$F256="roll",$F256="assignment",$F256="called_away"),$AF256&gt;0,$H256&gt;IF($AF256&gt;0,MAX(0,INDEX($AI$9:$AI$255,$AF256)-SUMIFS($AE$9:$AE$255,$G$9:$G$255,$G256,$B$9:$B$255,$B256)),0)),"Close quantity capped","OK")))))))))</f>
        <v/>
      </c>
      <c r="W256" s="59" t="str">
        <f t="shared" si="54"/>
        <v/>
      </c>
      <c r="X256" s="60" t="str">
        <f t="shared" si="55"/>
        <v/>
      </c>
      <c r="Y256" s="50" t="str">
        <f t="shared" si="56"/>
        <v/>
      </c>
      <c r="Z256" s="50" t="str">
        <f t="shared" si="57"/>
        <v/>
      </c>
      <c r="AA256" s="50" t="str">
        <f t="shared" si="58"/>
        <v/>
      </c>
      <c r="AB256" s="50" t="str">
        <f t="shared" si="59"/>
        <v/>
      </c>
      <c r="AC256" s="50" t="str">
        <f>IF($A256="","",IF($F256="assignment",IF($AF256&gt;0,INDEX($AH$9:$AH$255,$AF256),0)*$AE256*$D256,IF($F256="buy_shares",$M256*$AL256,0)))</f>
        <v/>
      </c>
      <c r="AD256" s="50" t="str">
        <f>IF($A256="","",IF($F256="called_away",IF($AF256&gt;0,INDEX($AH$9:$AH$255,$AF256),0)*$AL256,IF($F256="sell_shares",$M256*$AL256,0)))</f>
        <v/>
      </c>
      <c r="AE256" s="51" t="str">
        <f>IF($A256="","",IF(OR($F256="sell_put",$F256="sell_call"),IF(AND($H256&gt;0,$I256&gt;0,$J256&gt;=0),$H256,0),IF(OR($F256="buy_to_close",$F256="expire",$F256="roll",$F256="assignment",$F256="called_away"),IF(AND($AF256&gt;0,$H256&gt;0,IF($F256="assignment",IF($AF256&gt;0,INDEX($AG$9:$AG$255,$AF256),"")="put",TRUE),IF($F256="called_away",IF($AF256&gt;0,INDEX($AG$9:$AG$255,$AF256),"")="call",TRUE)),MIN($H256,IF($AF256&gt;0,MAX(0,INDEX($AI$9:$AI$255,$AF256)-SUMIFS($AE$9:$AE$255,$G$9:$G$255,$G256,$B$9:$B$255,$B256)),0)),0),0)))</f>
        <v/>
      </c>
      <c r="AF256" t="str">
        <f>IF($A256="","",IFERROR(MATCH(LEN($B256)&amp;":"&amp;$B256&amp;$G256,$AY$9:$AY$255,0),0))</f>
        <v/>
      </c>
      <c r="AG256" t="str">
        <f>IF($A256="","",IF($F256="sell_put","put",IF($F256="sell_call","call",IF($F256="roll",IF($AF256&gt;0,IF($AF256&gt;0,INDEX($AG$9:$AG$255,$AF256),""),""),IF($AF256&gt;0,IF($AF256&gt;0,INDEX($AG$9:$AG$255,$AF256),""),"")))))</f>
        <v/>
      </c>
      <c r="AH256" t="str">
        <f>IF($A256="","",IF(OR($F256="sell_put",$F256="sell_call",$F256="roll"),$I256,IF($AF256&gt;0,IF($AF256&gt;0,INDEX($AH$9:$AH$255,$AF256),0),0)))</f>
        <v/>
      </c>
      <c r="AI256" s="51" t="str">
        <f t="shared" si="60"/>
        <v/>
      </c>
      <c r="AJ256" s="51" t="str">
        <f>IF($A256="","",IFERROR(LOOKUP(2,1/($B$9:$B$255=$B256),$AM$9:$AM255),0))</f>
        <v/>
      </c>
      <c r="AK256" t="str">
        <f>IF($A256="","",IFERROR(LOOKUP(2,1/($B$9:$B$255=$B256),$AN$9:$AN255),0))</f>
        <v/>
      </c>
      <c r="AL256" s="51" t="str">
        <f t="shared" si="61"/>
        <v/>
      </c>
      <c r="AM256" s="51" t="str">
        <f t="shared" si="62"/>
        <v/>
      </c>
      <c r="AN256" t="str">
        <f t="shared" si="63"/>
        <v/>
      </c>
      <c r="AO256" s="50" t="str">
        <f>IF($A256="","",IFERROR(LOOKUP(2,1/($B$9:$B$255=$B256),$AO$9:$AO255),0)+IF($F256="sell_put",$I256*$AE256*$D256,IF($F256="roll",IF($AG256="put",($I256-IF($AF256&gt;0,INDEX($AH$9:$AH$255,$AF256),0))*$AE256*$D256,0),IF(AND(OR($F256="buy_to_close",$F256="expire",$F256="roll",$F256="assignment",$F256="called_away"),$F256&lt;&gt;"roll",$AG256="put"),-IF($AF256&gt;0,INDEX($AH$9:$AH$255,$AF256),0)*$AE256*$D256,0))))</f>
        <v/>
      </c>
      <c r="AP256" s="51" t="str">
        <f>IF($A256="","",IFERROR(LOOKUP(2,1/($B$9:$B$255=$B256),$AP$9:$AP255),0)+IF($F256="sell_put",$AE256*$D256,IF(AND(OR($F256="buy_to_close",$F256="expire",$F256="roll",$F256="assignment",$F256="called_away"),$F256&lt;&gt;"roll",$AG256="put"),-$AE256*$D256,0)))</f>
        <v/>
      </c>
      <c r="AQ256" s="51" t="str">
        <f>IF($A256="","",IFERROR(LOOKUP(2,1/($B$9:$B$255=$B256),$AQ$9:$AQ255),0)+IF(OR($F256="sell_put",$F256="sell_call"),$AE256,0)-IF(AND(OR($F256="buy_to_close",$F256="expire",$F256="roll",$F256="assignment",$F256="called_away"),$F256&lt;&gt;"roll"),$AE256,0))</f>
        <v/>
      </c>
      <c r="AR256" t="str">
        <f t="shared" si="64"/>
        <v/>
      </c>
      <c r="AS256" s="50" t="str">
        <f t="shared" si="65"/>
        <v/>
      </c>
      <c r="AT256" s="50" t="str">
        <f>IF($A256="","",MAX(IF($T256=IFERROR(LOOKUP(2,1/($B$9:$B$255=$B256),$T$9:$T255),0),IFERROR(LOOKUP(2,1/($B$9:$B$255=$B256),$AT$9:$AT255),0),0),$AS256))</f>
        <v/>
      </c>
      <c r="AU256" t="str">
        <f t="shared" si="66"/>
        <v/>
      </c>
      <c r="AV256" s="51">
        <f>IF($AU256="",0,IF(AND(IFERROR(LOOKUP(2,1/($B$9:$B$255=$B256),$AR$9:$AR255),1),NOT(AND(OR($F256="dividend",$F256="fee"),IFERROR(LOOKUP(2,1/($B$9:$B$255=$B256),$T$9:$T255),0)&gt;0))),ROW(),0))</f>
        <v>0</v>
      </c>
      <c r="AW256">
        <f>IF($A256="",0,IF($AV256&gt;0,MAX($AW$9:$AW$255)+1,MAX($AW$9:$AW$255)))</f>
        <v>0</v>
      </c>
      <c r="AX256">
        <f>IF($AU256="",0,IF(AND($AR256,OR(NOT(IFERROR(LOOKUP(2,1/($B$9:$B$255=$B256),$AR$9:$AR255),1)),IFERROR(LOOKUP(2,1/($B$9:$B$255=$B256),$T$9:$T255),0)=0)),ROW(),0))</f>
        <v>0</v>
      </c>
      <c r="AY256" t="str">
        <f t="shared" si="67"/>
        <v/>
      </c>
    </row>
    <row r="257" spans="1:51" ht="15" x14ac:dyDescent="0.25">
      <c r="A257" s="41" t="str">
        <f>IF(Trades!$A257="","",Trades!O257)</f>
        <v/>
      </c>
      <c r="B257" s="41" t="str">
        <f>IF(Trades!$A257="","",Trades!B257)</f>
        <v/>
      </c>
      <c r="C257" s="41" t="str">
        <f>IF(Trades!$A257="","",Trades!C257)</f>
        <v/>
      </c>
      <c r="D257" s="42" t="str">
        <f>IF(Trades!$A257="","",IF(Trades!$L257&gt;0,Trades!$L257,Trades!$C$6))</f>
        <v/>
      </c>
      <c r="E257" s="43" t="str">
        <f>IF(Trades!$A257="","",Trades!A257)</f>
        <v/>
      </c>
      <c r="F257" s="41" t="str">
        <f>IF(Trades!$A257="","",IFERROR(INDEX(Trades!$V$2:$V$14,MATCH(Trades!$E257,Trades!$U$2:$U$14,0)),""))</f>
        <v/>
      </c>
      <c r="G257" s="41" t="str">
        <f>IF(Trades!$A257="","",Trades!N257)</f>
        <v/>
      </c>
      <c r="H257" s="42" t="str">
        <f>IF(Trades!$A257="","",Trades!F257)</f>
        <v/>
      </c>
      <c r="I257" s="44" t="str">
        <f>IF(Trades!$A257="","",Trades!G257)</f>
        <v/>
      </c>
      <c r="J257" s="44" t="str">
        <f>IF(Trades!$A257="","",Trades!I257)</f>
        <v/>
      </c>
      <c r="K257" s="44" t="str">
        <f>IF(Trades!$A257="","",Trades!Q257)</f>
        <v/>
      </c>
      <c r="L257" s="42" t="str">
        <f>IF(Trades!$A257="","",Trades!F257)</f>
        <v/>
      </c>
      <c r="M257" s="44" t="str">
        <f>IF(Trades!$A257="","",Trades!M257)</f>
        <v/>
      </c>
      <c r="N257" s="44" t="str">
        <f>IF(Trades!$A257="","",Trades!R257)</f>
        <v/>
      </c>
      <c r="O257" s="44" t="str">
        <f>IF(Trades!$A257="","",Trades!J257)</f>
        <v/>
      </c>
      <c r="P257" s="43" t="str">
        <f>IF(Trades!$A257="","",Trades!H257)</f>
        <v/>
      </c>
      <c r="Q257" s="41" t="str">
        <f>IF(Trades!$A257="","",Trades!P257)</f>
        <v/>
      </c>
      <c r="R257" s="45" t="str">
        <f t="shared" si="51"/>
        <v/>
      </c>
      <c r="S257" s="45" t="str">
        <f t="shared" si="52"/>
        <v/>
      </c>
      <c r="T257" s="46" t="str">
        <f>IF(OR($A257="",$B257=""),"",IF(AND(IFERROR(LOOKUP(2,1/($B$9:$B$256=$B257),$AR$9:$AR256),1),NOT(AND(OR($F257="dividend",$F257="fee"),IFERROR(LOOKUP(2,1/($B$9:$B$256=$B257),$T$9:$T256),0)&gt;0))),IFERROR(LOOKUP(2,1/($B$9:$B$256=$B257),$T$9:$T256),0)+1,IFERROR(LOOKUP(2,1/($B$9:$B$256=$B257),$T$9:$T256),0)))</f>
        <v/>
      </c>
      <c r="U257" s="47" t="str">
        <f t="shared" si="53"/>
        <v/>
      </c>
      <c r="V257" s="47" t="str">
        <f>IF($A257="","",IF(OR($B257="",$C257="",$D257="",$E257="",$F257=""),"Missing required field",IF(COUNTIFS($A$9:$A257,$A257,$B$9:$B257,$B257)&gt;1,"Duplicate event ID",IF(AND($E257&lt;&gt;IFERROR(LOOKUP(2,1/($B$9:$B$256=$B257),$E$9:$E256),0),IFERROR(LOOKUP(2,1/($B$9:$B$256=$B257),$E$9:$E256),0)&gt;$E257),"Date out of order",IF(AND(OR($F257="buy_to_close",$F257="expire",$F257="roll",$F257="assignment",$F257="called_away"),$AF257=0),"Unknown lot",IF(OR(AND($F257="assignment",$AF257&gt;0,IF($AF257&gt;0,INDEX($AG$9:$AG$256,$AF257),"")&lt;&gt;"put"),AND($F257="called_away",$AF257&gt;0,IF($AF257&gt;0,INDEX($AG$9:$AG$256,$AF257),"")&lt;&gt;"call")),"Wrong option leg",IF(OR(AND(OR($F257="sell_put",$F257="sell_call"),OR($H257&lt;=0,$I257&lt;=0,$J257&lt;0)),AND(OR($F257="buy_to_close",$F257="expire",$F257="assignment",$F257="called_away"),OR($H257&lt;=0,$J257&lt;0)),AND($F257="roll",OR($H257&lt;=0,$I257&lt;=0,$J257&lt;0,$K257&lt;0)),AND(OR($F257="buy_shares",$F257="sell_shares"),OR($L257&lt;=0,$M257&lt;0)),AND(OR($F257="dividend",$F257="fee"),$N257&lt;0)),"Invalid value",IF(AND(OR($F257="sell_shares",$F257="called_away"),$AL257&lt;IF($F257="called_away",$AE257*$D257,$L257)),"Insufficient shares (capped)",IF(AND(OR($F257="buy_to_close",$F257="expire",$F257="roll",$F257="assignment",$F257="called_away"),$AF257&gt;0,$H257&gt;IF($AF257&gt;0,MAX(0,INDEX($AI$9:$AI$256,$AF257)-SUMIFS($AE$9:$AE$256,$G$9:$G$256,$G257,$B$9:$B$256,$B257)),0)),"Close quantity capped","OK")))))))))</f>
        <v/>
      </c>
      <c r="W257" s="48" t="str">
        <f t="shared" si="54"/>
        <v/>
      </c>
      <c r="X257" s="49" t="str">
        <f t="shared" si="55"/>
        <v/>
      </c>
      <c r="Y257" s="50" t="str">
        <f t="shared" si="56"/>
        <v/>
      </c>
      <c r="Z257" s="50" t="str">
        <f t="shared" si="57"/>
        <v/>
      </c>
      <c r="AA257" s="50" t="str">
        <f t="shared" si="58"/>
        <v/>
      </c>
      <c r="AB257" s="50" t="str">
        <f t="shared" si="59"/>
        <v/>
      </c>
      <c r="AC257" s="50" t="str">
        <f>IF($A257="","",IF($F257="assignment",IF($AF257&gt;0,INDEX($AH$9:$AH$256,$AF257),0)*$AE257*$D257,IF($F257="buy_shares",$M257*$AL257,0)))</f>
        <v/>
      </c>
      <c r="AD257" s="50" t="str">
        <f>IF($A257="","",IF($F257="called_away",IF($AF257&gt;0,INDEX($AH$9:$AH$256,$AF257),0)*$AL257,IF($F257="sell_shares",$M257*$AL257,0)))</f>
        <v/>
      </c>
      <c r="AE257" s="51" t="str">
        <f>IF($A257="","",IF(OR($F257="sell_put",$F257="sell_call"),IF(AND($H257&gt;0,$I257&gt;0,$J257&gt;=0),$H257,0),IF(OR($F257="buy_to_close",$F257="expire",$F257="roll",$F257="assignment",$F257="called_away"),IF(AND($AF257&gt;0,$H257&gt;0,IF($F257="assignment",IF($AF257&gt;0,INDEX($AG$9:$AG$256,$AF257),"")="put",TRUE),IF($F257="called_away",IF($AF257&gt;0,INDEX($AG$9:$AG$256,$AF257),"")="call",TRUE)),MIN($H257,IF($AF257&gt;0,MAX(0,INDEX($AI$9:$AI$256,$AF257)-SUMIFS($AE$9:$AE$256,$G$9:$G$256,$G257,$B$9:$B$256,$B257)),0)),0),0)))</f>
        <v/>
      </c>
      <c r="AF257" t="str">
        <f>IF($A257="","",IFERROR(MATCH(LEN($B257)&amp;":"&amp;$B257&amp;$G257,$AY$9:$AY$256,0),0))</f>
        <v/>
      </c>
      <c r="AG257" t="str">
        <f>IF($A257="","",IF($F257="sell_put","put",IF($F257="sell_call","call",IF($F257="roll",IF($AF257&gt;0,IF($AF257&gt;0,INDEX($AG$9:$AG$256,$AF257),""),""),IF($AF257&gt;0,IF($AF257&gt;0,INDEX($AG$9:$AG$256,$AF257),""),"")))))</f>
        <v/>
      </c>
      <c r="AH257" t="str">
        <f>IF($A257="","",IF(OR($F257="sell_put",$F257="sell_call",$F257="roll"),$I257,IF($AF257&gt;0,IF($AF257&gt;0,INDEX($AH$9:$AH$256,$AF257),0),0)))</f>
        <v/>
      </c>
      <c r="AI257" s="51" t="str">
        <f t="shared" si="60"/>
        <v/>
      </c>
      <c r="AJ257" s="51" t="str">
        <f>IF($A257="","",IFERROR(LOOKUP(2,1/($B$9:$B$256=$B257),$AM$9:$AM256),0))</f>
        <v/>
      </c>
      <c r="AK257" t="str">
        <f>IF($A257="","",IFERROR(LOOKUP(2,1/($B$9:$B$256=$B257),$AN$9:$AN256),0))</f>
        <v/>
      </c>
      <c r="AL257" s="51" t="str">
        <f t="shared" si="61"/>
        <v/>
      </c>
      <c r="AM257" s="51" t="str">
        <f t="shared" si="62"/>
        <v/>
      </c>
      <c r="AN257" t="str">
        <f t="shared" si="63"/>
        <v/>
      </c>
      <c r="AO257" s="50" t="str">
        <f>IF($A257="","",IFERROR(LOOKUP(2,1/($B$9:$B$256=$B257),$AO$9:$AO256),0)+IF($F257="sell_put",$I257*$AE257*$D257,IF($F257="roll",IF($AG257="put",($I257-IF($AF257&gt;0,INDEX($AH$9:$AH$256,$AF257),0))*$AE257*$D257,0),IF(AND(OR($F257="buy_to_close",$F257="expire",$F257="roll",$F257="assignment",$F257="called_away"),$F257&lt;&gt;"roll",$AG257="put"),-IF($AF257&gt;0,INDEX($AH$9:$AH$256,$AF257),0)*$AE257*$D257,0))))</f>
        <v/>
      </c>
      <c r="AP257" s="51" t="str">
        <f>IF($A257="","",IFERROR(LOOKUP(2,1/($B$9:$B$256=$B257),$AP$9:$AP256),0)+IF($F257="sell_put",$AE257*$D257,IF(AND(OR($F257="buy_to_close",$F257="expire",$F257="roll",$F257="assignment",$F257="called_away"),$F257&lt;&gt;"roll",$AG257="put"),-$AE257*$D257,0)))</f>
        <v/>
      </c>
      <c r="AQ257" s="51" t="str">
        <f>IF($A257="","",IFERROR(LOOKUP(2,1/($B$9:$B$256=$B257),$AQ$9:$AQ256),0)+IF(OR($F257="sell_put",$F257="sell_call"),$AE257,0)-IF(AND(OR($F257="buy_to_close",$F257="expire",$F257="roll",$F257="assignment",$F257="called_away"),$F257&lt;&gt;"roll"),$AE257,0))</f>
        <v/>
      </c>
      <c r="AR257" t="str">
        <f t="shared" si="64"/>
        <v/>
      </c>
      <c r="AS257" s="50" t="str">
        <f t="shared" si="65"/>
        <v/>
      </c>
      <c r="AT257" s="50" t="str">
        <f>IF($A257="","",MAX(IF($T257=IFERROR(LOOKUP(2,1/($B$9:$B$256=$B257),$T$9:$T256),0),IFERROR(LOOKUP(2,1/($B$9:$B$256=$B257),$AT$9:$AT256),0),0),$AS257))</f>
        <v/>
      </c>
      <c r="AU257" t="str">
        <f t="shared" si="66"/>
        <v/>
      </c>
      <c r="AV257" s="51">
        <f>IF($AU257="",0,IF(AND(IFERROR(LOOKUP(2,1/($B$9:$B$256=$B257),$AR$9:$AR256),1),NOT(AND(OR($F257="dividend",$F257="fee"),IFERROR(LOOKUP(2,1/($B$9:$B$256=$B257),$T$9:$T256),0)&gt;0))),ROW(),0))</f>
        <v>0</v>
      </c>
      <c r="AW257">
        <f>IF($A257="",0,IF($AV257&gt;0,MAX($AW$9:$AW$256)+1,MAX($AW$9:$AW$256)))</f>
        <v>0</v>
      </c>
      <c r="AX257">
        <f>IF($AU257="",0,IF(AND($AR257,OR(NOT(IFERROR(LOOKUP(2,1/($B$9:$B$256=$B257),$AR$9:$AR256),1)),IFERROR(LOOKUP(2,1/($B$9:$B$256=$B257),$T$9:$T256),0)=0)),ROW(),0))</f>
        <v>0</v>
      </c>
      <c r="AY257" t="str">
        <f t="shared" si="67"/>
        <v/>
      </c>
    </row>
    <row r="258" spans="1:51" ht="15" x14ac:dyDescent="0.25">
      <c r="A258" s="52" t="str">
        <f>IF(Trades!$A258="","",Trades!O258)</f>
        <v/>
      </c>
      <c r="B258" s="52" t="str">
        <f>IF(Trades!$A258="","",Trades!B258)</f>
        <v/>
      </c>
      <c r="C258" s="52" t="str">
        <f>IF(Trades!$A258="","",Trades!C258)</f>
        <v/>
      </c>
      <c r="D258" s="53" t="str">
        <f>IF(Trades!$A258="","",IF(Trades!$L258&gt;0,Trades!$L258,Trades!$C$6))</f>
        <v/>
      </c>
      <c r="E258" s="54" t="str">
        <f>IF(Trades!$A258="","",Trades!A258)</f>
        <v/>
      </c>
      <c r="F258" s="52" t="str">
        <f>IF(Trades!$A258="","",IFERROR(INDEX(Trades!$V$2:$V$14,MATCH(Trades!$E258,Trades!$U$2:$U$14,0)),""))</f>
        <v/>
      </c>
      <c r="G258" s="52" t="str">
        <f>IF(Trades!$A258="","",Trades!N258)</f>
        <v/>
      </c>
      <c r="H258" s="53" t="str">
        <f>IF(Trades!$A258="","",Trades!F258)</f>
        <v/>
      </c>
      <c r="I258" s="55" t="str">
        <f>IF(Trades!$A258="","",Trades!G258)</f>
        <v/>
      </c>
      <c r="J258" s="55" t="str">
        <f>IF(Trades!$A258="","",Trades!I258)</f>
        <v/>
      </c>
      <c r="K258" s="55" t="str">
        <f>IF(Trades!$A258="","",Trades!Q258)</f>
        <v/>
      </c>
      <c r="L258" s="53" t="str">
        <f>IF(Trades!$A258="","",Trades!F258)</f>
        <v/>
      </c>
      <c r="M258" s="55" t="str">
        <f>IF(Trades!$A258="","",Trades!M258)</f>
        <v/>
      </c>
      <c r="N258" s="55" t="str">
        <f>IF(Trades!$A258="","",Trades!R258)</f>
        <v/>
      </c>
      <c r="O258" s="55" t="str">
        <f>IF(Trades!$A258="","",Trades!J258)</f>
        <v/>
      </c>
      <c r="P258" s="54" t="str">
        <f>IF(Trades!$A258="","",Trades!H258)</f>
        <v/>
      </c>
      <c r="Q258" s="52" t="str">
        <f>IF(Trades!$A258="","",Trades!P258)</f>
        <v/>
      </c>
      <c r="R258" s="56" t="str">
        <f t="shared" si="51"/>
        <v/>
      </c>
      <c r="S258" s="56" t="str">
        <f t="shared" si="52"/>
        <v/>
      </c>
      <c r="T258" s="57" t="str">
        <f>IF(OR($A258="",$B258=""),"",IF(AND(IFERROR(LOOKUP(2,1/($B$9:$B$257=$B258),$AR$9:$AR257),1),NOT(AND(OR($F258="dividend",$F258="fee"),IFERROR(LOOKUP(2,1/($B$9:$B$257=$B258),$T$9:$T257),0)&gt;0))),IFERROR(LOOKUP(2,1/($B$9:$B$257=$B258),$T$9:$T257),0)+1,IFERROR(LOOKUP(2,1/($B$9:$B$257=$B258),$T$9:$T257),0)))</f>
        <v/>
      </c>
      <c r="U258" s="58" t="str">
        <f t="shared" si="53"/>
        <v/>
      </c>
      <c r="V258" s="58" t="str">
        <f>IF($A258="","",IF(OR($B258="",$C258="",$D258="",$E258="",$F258=""),"Missing required field",IF(COUNTIFS($A$9:$A258,$A258,$B$9:$B258,$B258)&gt;1,"Duplicate event ID",IF(AND($E258&lt;&gt;IFERROR(LOOKUP(2,1/($B$9:$B$257=$B258),$E$9:$E257),0),IFERROR(LOOKUP(2,1/($B$9:$B$257=$B258),$E$9:$E257),0)&gt;$E258),"Date out of order",IF(AND(OR($F258="buy_to_close",$F258="expire",$F258="roll",$F258="assignment",$F258="called_away"),$AF258=0),"Unknown lot",IF(OR(AND($F258="assignment",$AF258&gt;0,IF($AF258&gt;0,INDEX($AG$9:$AG$257,$AF258),"")&lt;&gt;"put"),AND($F258="called_away",$AF258&gt;0,IF($AF258&gt;0,INDEX($AG$9:$AG$257,$AF258),"")&lt;&gt;"call")),"Wrong option leg",IF(OR(AND(OR($F258="sell_put",$F258="sell_call"),OR($H258&lt;=0,$I258&lt;=0,$J258&lt;0)),AND(OR($F258="buy_to_close",$F258="expire",$F258="assignment",$F258="called_away"),OR($H258&lt;=0,$J258&lt;0)),AND($F258="roll",OR($H258&lt;=0,$I258&lt;=0,$J258&lt;0,$K258&lt;0)),AND(OR($F258="buy_shares",$F258="sell_shares"),OR($L258&lt;=0,$M258&lt;0)),AND(OR($F258="dividend",$F258="fee"),$N258&lt;0)),"Invalid value",IF(AND(OR($F258="sell_shares",$F258="called_away"),$AL258&lt;IF($F258="called_away",$AE258*$D258,$L258)),"Insufficient shares (capped)",IF(AND(OR($F258="buy_to_close",$F258="expire",$F258="roll",$F258="assignment",$F258="called_away"),$AF258&gt;0,$H258&gt;IF($AF258&gt;0,MAX(0,INDEX($AI$9:$AI$257,$AF258)-SUMIFS($AE$9:$AE$257,$G$9:$G$257,$G258,$B$9:$B$257,$B258)),0)),"Close quantity capped","OK")))))))))</f>
        <v/>
      </c>
      <c r="W258" s="59" t="str">
        <f t="shared" si="54"/>
        <v/>
      </c>
      <c r="X258" s="60" t="str">
        <f t="shared" si="55"/>
        <v/>
      </c>
      <c r="Y258" s="50" t="str">
        <f t="shared" si="56"/>
        <v/>
      </c>
      <c r="Z258" s="50" t="str">
        <f t="shared" si="57"/>
        <v/>
      </c>
      <c r="AA258" s="50" t="str">
        <f t="shared" si="58"/>
        <v/>
      </c>
      <c r="AB258" s="50" t="str">
        <f t="shared" si="59"/>
        <v/>
      </c>
      <c r="AC258" s="50" t="str">
        <f>IF($A258="","",IF($F258="assignment",IF($AF258&gt;0,INDEX($AH$9:$AH$257,$AF258),0)*$AE258*$D258,IF($F258="buy_shares",$M258*$AL258,0)))</f>
        <v/>
      </c>
      <c r="AD258" s="50" t="str">
        <f>IF($A258="","",IF($F258="called_away",IF($AF258&gt;0,INDEX($AH$9:$AH$257,$AF258),0)*$AL258,IF($F258="sell_shares",$M258*$AL258,0)))</f>
        <v/>
      </c>
      <c r="AE258" s="51" t="str">
        <f>IF($A258="","",IF(OR($F258="sell_put",$F258="sell_call"),IF(AND($H258&gt;0,$I258&gt;0,$J258&gt;=0),$H258,0),IF(OR($F258="buy_to_close",$F258="expire",$F258="roll",$F258="assignment",$F258="called_away"),IF(AND($AF258&gt;0,$H258&gt;0,IF($F258="assignment",IF($AF258&gt;0,INDEX($AG$9:$AG$257,$AF258),"")="put",TRUE),IF($F258="called_away",IF($AF258&gt;0,INDEX($AG$9:$AG$257,$AF258),"")="call",TRUE)),MIN($H258,IF($AF258&gt;0,MAX(0,INDEX($AI$9:$AI$257,$AF258)-SUMIFS($AE$9:$AE$257,$G$9:$G$257,$G258,$B$9:$B$257,$B258)),0)),0),0)))</f>
        <v/>
      </c>
      <c r="AF258" t="str">
        <f>IF($A258="","",IFERROR(MATCH(LEN($B258)&amp;":"&amp;$B258&amp;$G258,$AY$9:$AY$257,0),0))</f>
        <v/>
      </c>
      <c r="AG258" t="str">
        <f>IF($A258="","",IF($F258="sell_put","put",IF($F258="sell_call","call",IF($F258="roll",IF($AF258&gt;0,IF($AF258&gt;0,INDEX($AG$9:$AG$257,$AF258),""),""),IF($AF258&gt;0,IF($AF258&gt;0,INDEX($AG$9:$AG$257,$AF258),""),"")))))</f>
        <v/>
      </c>
      <c r="AH258" t="str">
        <f>IF($A258="","",IF(OR($F258="sell_put",$F258="sell_call",$F258="roll"),$I258,IF($AF258&gt;0,IF($AF258&gt;0,INDEX($AH$9:$AH$257,$AF258),0),0)))</f>
        <v/>
      </c>
      <c r="AI258" s="51" t="str">
        <f t="shared" si="60"/>
        <v/>
      </c>
      <c r="AJ258" s="51" t="str">
        <f>IF($A258="","",IFERROR(LOOKUP(2,1/($B$9:$B$257=$B258),$AM$9:$AM257),0))</f>
        <v/>
      </c>
      <c r="AK258" t="str">
        <f>IF($A258="","",IFERROR(LOOKUP(2,1/($B$9:$B$257=$B258),$AN$9:$AN257),0))</f>
        <v/>
      </c>
      <c r="AL258" s="51" t="str">
        <f t="shared" si="61"/>
        <v/>
      </c>
      <c r="AM258" s="51" t="str">
        <f t="shared" si="62"/>
        <v/>
      </c>
      <c r="AN258" t="str">
        <f t="shared" si="63"/>
        <v/>
      </c>
      <c r="AO258" s="50" t="str">
        <f>IF($A258="","",IFERROR(LOOKUP(2,1/($B$9:$B$257=$B258),$AO$9:$AO257),0)+IF($F258="sell_put",$I258*$AE258*$D258,IF($F258="roll",IF($AG258="put",($I258-IF($AF258&gt;0,INDEX($AH$9:$AH$257,$AF258),0))*$AE258*$D258,0),IF(AND(OR($F258="buy_to_close",$F258="expire",$F258="roll",$F258="assignment",$F258="called_away"),$F258&lt;&gt;"roll",$AG258="put"),-IF($AF258&gt;0,INDEX($AH$9:$AH$257,$AF258),0)*$AE258*$D258,0))))</f>
        <v/>
      </c>
      <c r="AP258" s="51" t="str">
        <f>IF($A258="","",IFERROR(LOOKUP(2,1/($B$9:$B$257=$B258),$AP$9:$AP257),0)+IF($F258="sell_put",$AE258*$D258,IF(AND(OR($F258="buy_to_close",$F258="expire",$F258="roll",$F258="assignment",$F258="called_away"),$F258&lt;&gt;"roll",$AG258="put"),-$AE258*$D258,0)))</f>
        <v/>
      </c>
      <c r="AQ258" s="51" t="str">
        <f>IF($A258="","",IFERROR(LOOKUP(2,1/($B$9:$B$257=$B258),$AQ$9:$AQ257),0)+IF(OR($F258="sell_put",$F258="sell_call"),$AE258,0)-IF(AND(OR($F258="buy_to_close",$F258="expire",$F258="roll",$F258="assignment",$F258="called_away"),$F258&lt;&gt;"roll"),$AE258,0))</f>
        <v/>
      </c>
      <c r="AR258" t="str">
        <f t="shared" si="64"/>
        <v/>
      </c>
      <c r="AS258" s="50" t="str">
        <f t="shared" si="65"/>
        <v/>
      </c>
      <c r="AT258" s="50" t="str">
        <f>IF($A258="","",MAX(IF($T258=IFERROR(LOOKUP(2,1/($B$9:$B$257=$B258),$T$9:$T257),0),IFERROR(LOOKUP(2,1/($B$9:$B$257=$B258),$AT$9:$AT257),0),0),$AS258))</f>
        <v/>
      </c>
      <c r="AU258" t="str">
        <f t="shared" si="66"/>
        <v/>
      </c>
      <c r="AV258" s="51">
        <f>IF($AU258="",0,IF(AND(IFERROR(LOOKUP(2,1/($B$9:$B$257=$B258),$AR$9:$AR257),1),NOT(AND(OR($F258="dividend",$F258="fee"),IFERROR(LOOKUP(2,1/($B$9:$B$257=$B258),$T$9:$T257),0)&gt;0))),ROW(),0))</f>
        <v>0</v>
      </c>
      <c r="AW258">
        <f>IF($A258="",0,IF($AV258&gt;0,MAX($AW$9:$AW$257)+1,MAX($AW$9:$AW$257)))</f>
        <v>0</v>
      </c>
      <c r="AX258">
        <f>IF($AU258="",0,IF(AND($AR258,OR(NOT(IFERROR(LOOKUP(2,1/($B$9:$B$257=$B258),$AR$9:$AR257),1)),IFERROR(LOOKUP(2,1/($B$9:$B$257=$B258),$T$9:$T257),0)=0)),ROW(),0))</f>
        <v>0</v>
      </c>
      <c r="AY258" t="str">
        <f t="shared" si="67"/>
        <v/>
      </c>
    </row>
    <row r="259" spans="1:51" ht="15" x14ac:dyDescent="0.25">
      <c r="A259" s="41" t="str">
        <f>IF(Trades!$A259="","",Trades!O259)</f>
        <v/>
      </c>
      <c r="B259" s="41" t="str">
        <f>IF(Trades!$A259="","",Trades!B259)</f>
        <v/>
      </c>
      <c r="C259" s="41" t="str">
        <f>IF(Trades!$A259="","",Trades!C259)</f>
        <v/>
      </c>
      <c r="D259" s="42" t="str">
        <f>IF(Trades!$A259="","",IF(Trades!$L259&gt;0,Trades!$L259,Trades!$C$6))</f>
        <v/>
      </c>
      <c r="E259" s="43" t="str">
        <f>IF(Trades!$A259="","",Trades!A259)</f>
        <v/>
      </c>
      <c r="F259" s="41" t="str">
        <f>IF(Trades!$A259="","",IFERROR(INDEX(Trades!$V$2:$V$14,MATCH(Trades!$E259,Trades!$U$2:$U$14,0)),""))</f>
        <v/>
      </c>
      <c r="G259" s="41" t="str">
        <f>IF(Trades!$A259="","",Trades!N259)</f>
        <v/>
      </c>
      <c r="H259" s="42" t="str">
        <f>IF(Trades!$A259="","",Trades!F259)</f>
        <v/>
      </c>
      <c r="I259" s="44" t="str">
        <f>IF(Trades!$A259="","",Trades!G259)</f>
        <v/>
      </c>
      <c r="J259" s="44" t="str">
        <f>IF(Trades!$A259="","",Trades!I259)</f>
        <v/>
      </c>
      <c r="K259" s="44" t="str">
        <f>IF(Trades!$A259="","",Trades!Q259)</f>
        <v/>
      </c>
      <c r="L259" s="42" t="str">
        <f>IF(Trades!$A259="","",Trades!F259)</f>
        <v/>
      </c>
      <c r="M259" s="44" t="str">
        <f>IF(Trades!$A259="","",Trades!M259)</f>
        <v/>
      </c>
      <c r="N259" s="44" t="str">
        <f>IF(Trades!$A259="","",Trades!R259)</f>
        <v/>
      </c>
      <c r="O259" s="44" t="str">
        <f>IF(Trades!$A259="","",Trades!J259)</f>
        <v/>
      </c>
      <c r="P259" s="43" t="str">
        <f>IF(Trades!$A259="","",Trades!H259)</f>
        <v/>
      </c>
      <c r="Q259" s="41" t="str">
        <f>IF(Trades!$A259="","",Trades!P259)</f>
        <v/>
      </c>
      <c r="R259" s="45" t="str">
        <f t="shared" si="51"/>
        <v/>
      </c>
      <c r="S259" s="45" t="str">
        <f t="shared" si="52"/>
        <v/>
      </c>
      <c r="T259" s="46" t="str">
        <f>IF(OR($A259="",$B259=""),"",IF(AND(IFERROR(LOOKUP(2,1/($B$9:$B$258=$B259),$AR$9:$AR258),1),NOT(AND(OR($F259="dividend",$F259="fee"),IFERROR(LOOKUP(2,1/($B$9:$B$258=$B259),$T$9:$T258),0)&gt;0))),IFERROR(LOOKUP(2,1/($B$9:$B$258=$B259),$T$9:$T258),0)+1,IFERROR(LOOKUP(2,1/($B$9:$B$258=$B259),$T$9:$T258),0)))</f>
        <v/>
      </c>
      <c r="U259" s="47" t="str">
        <f t="shared" si="53"/>
        <v/>
      </c>
      <c r="V259" s="47" t="str">
        <f>IF($A259="","",IF(OR($B259="",$C259="",$D259="",$E259="",$F259=""),"Missing required field",IF(COUNTIFS($A$9:$A259,$A259,$B$9:$B259,$B259)&gt;1,"Duplicate event ID",IF(AND($E259&lt;&gt;IFERROR(LOOKUP(2,1/($B$9:$B$258=$B259),$E$9:$E258),0),IFERROR(LOOKUP(2,1/($B$9:$B$258=$B259),$E$9:$E258),0)&gt;$E259),"Date out of order",IF(AND(OR($F259="buy_to_close",$F259="expire",$F259="roll",$F259="assignment",$F259="called_away"),$AF259=0),"Unknown lot",IF(OR(AND($F259="assignment",$AF259&gt;0,IF($AF259&gt;0,INDEX($AG$9:$AG$258,$AF259),"")&lt;&gt;"put"),AND($F259="called_away",$AF259&gt;0,IF($AF259&gt;0,INDEX($AG$9:$AG$258,$AF259),"")&lt;&gt;"call")),"Wrong option leg",IF(OR(AND(OR($F259="sell_put",$F259="sell_call"),OR($H259&lt;=0,$I259&lt;=0,$J259&lt;0)),AND(OR($F259="buy_to_close",$F259="expire",$F259="assignment",$F259="called_away"),OR($H259&lt;=0,$J259&lt;0)),AND($F259="roll",OR($H259&lt;=0,$I259&lt;=0,$J259&lt;0,$K259&lt;0)),AND(OR($F259="buy_shares",$F259="sell_shares"),OR($L259&lt;=0,$M259&lt;0)),AND(OR($F259="dividend",$F259="fee"),$N259&lt;0)),"Invalid value",IF(AND(OR($F259="sell_shares",$F259="called_away"),$AL259&lt;IF($F259="called_away",$AE259*$D259,$L259)),"Insufficient shares (capped)",IF(AND(OR($F259="buy_to_close",$F259="expire",$F259="roll",$F259="assignment",$F259="called_away"),$AF259&gt;0,$H259&gt;IF($AF259&gt;0,MAX(0,INDEX($AI$9:$AI$258,$AF259)-SUMIFS($AE$9:$AE$258,$G$9:$G$258,$G259,$B$9:$B$258,$B259)),0)),"Close quantity capped","OK")))))))))</f>
        <v/>
      </c>
      <c r="W259" s="48" t="str">
        <f t="shared" si="54"/>
        <v/>
      </c>
      <c r="X259" s="49" t="str">
        <f t="shared" si="55"/>
        <v/>
      </c>
      <c r="Y259" s="50" t="str">
        <f t="shared" si="56"/>
        <v/>
      </c>
      <c r="Z259" s="50" t="str">
        <f t="shared" si="57"/>
        <v/>
      </c>
      <c r="AA259" s="50" t="str">
        <f t="shared" si="58"/>
        <v/>
      </c>
      <c r="AB259" s="50" t="str">
        <f t="shared" si="59"/>
        <v/>
      </c>
      <c r="AC259" s="50" t="str">
        <f>IF($A259="","",IF($F259="assignment",IF($AF259&gt;0,INDEX($AH$9:$AH$258,$AF259),0)*$AE259*$D259,IF($F259="buy_shares",$M259*$AL259,0)))</f>
        <v/>
      </c>
      <c r="AD259" s="50" t="str">
        <f>IF($A259="","",IF($F259="called_away",IF($AF259&gt;0,INDEX($AH$9:$AH$258,$AF259),0)*$AL259,IF($F259="sell_shares",$M259*$AL259,0)))</f>
        <v/>
      </c>
      <c r="AE259" s="51" t="str">
        <f>IF($A259="","",IF(OR($F259="sell_put",$F259="sell_call"),IF(AND($H259&gt;0,$I259&gt;0,$J259&gt;=0),$H259,0),IF(OR($F259="buy_to_close",$F259="expire",$F259="roll",$F259="assignment",$F259="called_away"),IF(AND($AF259&gt;0,$H259&gt;0,IF($F259="assignment",IF($AF259&gt;0,INDEX($AG$9:$AG$258,$AF259),"")="put",TRUE),IF($F259="called_away",IF($AF259&gt;0,INDEX($AG$9:$AG$258,$AF259),"")="call",TRUE)),MIN($H259,IF($AF259&gt;0,MAX(0,INDEX($AI$9:$AI$258,$AF259)-SUMIFS($AE$9:$AE$258,$G$9:$G$258,$G259,$B$9:$B$258,$B259)),0)),0),0)))</f>
        <v/>
      </c>
      <c r="AF259" t="str">
        <f>IF($A259="","",IFERROR(MATCH(LEN($B259)&amp;":"&amp;$B259&amp;$G259,$AY$9:$AY$258,0),0))</f>
        <v/>
      </c>
      <c r="AG259" t="str">
        <f>IF($A259="","",IF($F259="sell_put","put",IF($F259="sell_call","call",IF($F259="roll",IF($AF259&gt;0,IF($AF259&gt;0,INDEX($AG$9:$AG$258,$AF259),""),""),IF($AF259&gt;0,IF($AF259&gt;0,INDEX($AG$9:$AG$258,$AF259),""),"")))))</f>
        <v/>
      </c>
      <c r="AH259" t="str">
        <f>IF($A259="","",IF(OR($F259="sell_put",$F259="sell_call",$F259="roll"),$I259,IF($AF259&gt;0,IF($AF259&gt;0,INDEX($AH$9:$AH$258,$AF259),0),0)))</f>
        <v/>
      </c>
      <c r="AI259" s="51" t="str">
        <f t="shared" si="60"/>
        <v/>
      </c>
      <c r="AJ259" s="51" t="str">
        <f>IF($A259="","",IFERROR(LOOKUP(2,1/($B$9:$B$258=$B259),$AM$9:$AM258),0))</f>
        <v/>
      </c>
      <c r="AK259" t="str">
        <f>IF($A259="","",IFERROR(LOOKUP(2,1/($B$9:$B$258=$B259),$AN$9:$AN258),0))</f>
        <v/>
      </c>
      <c r="AL259" s="51" t="str">
        <f t="shared" si="61"/>
        <v/>
      </c>
      <c r="AM259" s="51" t="str">
        <f t="shared" si="62"/>
        <v/>
      </c>
      <c r="AN259" t="str">
        <f t="shared" si="63"/>
        <v/>
      </c>
      <c r="AO259" s="50" t="str">
        <f>IF($A259="","",IFERROR(LOOKUP(2,1/($B$9:$B$258=$B259),$AO$9:$AO258),0)+IF($F259="sell_put",$I259*$AE259*$D259,IF($F259="roll",IF($AG259="put",($I259-IF($AF259&gt;0,INDEX($AH$9:$AH$258,$AF259),0))*$AE259*$D259,0),IF(AND(OR($F259="buy_to_close",$F259="expire",$F259="roll",$F259="assignment",$F259="called_away"),$F259&lt;&gt;"roll",$AG259="put"),-IF($AF259&gt;0,INDEX($AH$9:$AH$258,$AF259),0)*$AE259*$D259,0))))</f>
        <v/>
      </c>
      <c r="AP259" s="51" t="str">
        <f>IF($A259="","",IFERROR(LOOKUP(2,1/($B$9:$B$258=$B259),$AP$9:$AP258),0)+IF($F259="sell_put",$AE259*$D259,IF(AND(OR($F259="buy_to_close",$F259="expire",$F259="roll",$F259="assignment",$F259="called_away"),$F259&lt;&gt;"roll",$AG259="put"),-$AE259*$D259,0)))</f>
        <v/>
      </c>
      <c r="AQ259" s="51" t="str">
        <f>IF($A259="","",IFERROR(LOOKUP(2,1/($B$9:$B$258=$B259),$AQ$9:$AQ258),0)+IF(OR($F259="sell_put",$F259="sell_call"),$AE259,0)-IF(AND(OR($F259="buy_to_close",$F259="expire",$F259="roll",$F259="assignment",$F259="called_away"),$F259&lt;&gt;"roll"),$AE259,0))</f>
        <v/>
      </c>
      <c r="AR259" t="str">
        <f t="shared" si="64"/>
        <v/>
      </c>
      <c r="AS259" s="50" t="str">
        <f t="shared" si="65"/>
        <v/>
      </c>
      <c r="AT259" s="50" t="str">
        <f>IF($A259="","",MAX(IF($T259=IFERROR(LOOKUP(2,1/($B$9:$B$258=$B259),$T$9:$T258),0),IFERROR(LOOKUP(2,1/($B$9:$B$258=$B259),$AT$9:$AT258),0),0),$AS259))</f>
        <v/>
      </c>
      <c r="AU259" t="str">
        <f t="shared" si="66"/>
        <v/>
      </c>
      <c r="AV259" s="51">
        <f>IF($AU259="",0,IF(AND(IFERROR(LOOKUP(2,1/($B$9:$B$258=$B259),$AR$9:$AR258),1),NOT(AND(OR($F259="dividend",$F259="fee"),IFERROR(LOOKUP(2,1/($B$9:$B$258=$B259),$T$9:$T258),0)&gt;0))),ROW(),0))</f>
        <v>0</v>
      </c>
      <c r="AW259">
        <f>IF($A259="",0,IF($AV259&gt;0,MAX($AW$9:$AW$258)+1,MAX($AW$9:$AW$258)))</f>
        <v>0</v>
      </c>
      <c r="AX259">
        <f>IF($AU259="",0,IF(AND($AR259,OR(NOT(IFERROR(LOOKUP(2,1/($B$9:$B$258=$B259),$AR$9:$AR258),1)),IFERROR(LOOKUP(2,1/($B$9:$B$258=$B259),$T$9:$T258),0)=0)),ROW(),0))</f>
        <v>0</v>
      </c>
      <c r="AY259" t="str">
        <f t="shared" si="67"/>
        <v/>
      </c>
    </row>
    <row r="260" spans="1:51" ht="15" x14ac:dyDescent="0.25">
      <c r="A260" s="52" t="str">
        <f>IF(Trades!$A260="","",Trades!O260)</f>
        <v/>
      </c>
      <c r="B260" s="52" t="str">
        <f>IF(Trades!$A260="","",Trades!B260)</f>
        <v/>
      </c>
      <c r="C260" s="52" t="str">
        <f>IF(Trades!$A260="","",Trades!C260)</f>
        <v/>
      </c>
      <c r="D260" s="53" t="str">
        <f>IF(Trades!$A260="","",IF(Trades!$L260&gt;0,Trades!$L260,Trades!$C$6))</f>
        <v/>
      </c>
      <c r="E260" s="54" t="str">
        <f>IF(Trades!$A260="","",Trades!A260)</f>
        <v/>
      </c>
      <c r="F260" s="52" t="str">
        <f>IF(Trades!$A260="","",IFERROR(INDEX(Trades!$V$2:$V$14,MATCH(Trades!$E260,Trades!$U$2:$U$14,0)),""))</f>
        <v/>
      </c>
      <c r="G260" s="52" t="str">
        <f>IF(Trades!$A260="","",Trades!N260)</f>
        <v/>
      </c>
      <c r="H260" s="53" t="str">
        <f>IF(Trades!$A260="","",Trades!F260)</f>
        <v/>
      </c>
      <c r="I260" s="55" t="str">
        <f>IF(Trades!$A260="","",Trades!G260)</f>
        <v/>
      </c>
      <c r="J260" s="55" t="str">
        <f>IF(Trades!$A260="","",Trades!I260)</f>
        <v/>
      </c>
      <c r="K260" s="55" t="str">
        <f>IF(Trades!$A260="","",Trades!Q260)</f>
        <v/>
      </c>
      <c r="L260" s="53" t="str">
        <f>IF(Trades!$A260="","",Trades!F260)</f>
        <v/>
      </c>
      <c r="M260" s="55" t="str">
        <f>IF(Trades!$A260="","",Trades!M260)</f>
        <v/>
      </c>
      <c r="N260" s="55" t="str">
        <f>IF(Trades!$A260="","",Trades!R260)</f>
        <v/>
      </c>
      <c r="O260" s="55" t="str">
        <f>IF(Trades!$A260="","",Trades!J260)</f>
        <v/>
      </c>
      <c r="P260" s="54" t="str">
        <f>IF(Trades!$A260="","",Trades!H260)</f>
        <v/>
      </c>
      <c r="Q260" s="52" t="str">
        <f>IF(Trades!$A260="","",Trades!P260)</f>
        <v/>
      </c>
      <c r="R260" s="56" t="str">
        <f t="shared" si="51"/>
        <v/>
      </c>
      <c r="S260" s="56" t="str">
        <f t="shared" si="52"/>
        <v/>
      </c>
      <c r="T260" s="57" t="str">
        <f>IF(OR($A260="",$B260=""),"",IF(AND(IFERROR(LOOKUP(2,1/($B$9:$B$259=$B260),$AR$9:$AR259),1),NOT(AND(OR($F260="dividend",$F260="fee"),IFERROR(LOOKUP(2,1/($B$9:$B$259=$B260),$T$9:$T259),0)&gt;0))),IFERROR(LOOKUP(2,1/($B$9:$B$259=$B260),$T$9:$T259),0)+1,IFERROR(LOOKUP(2,1/($B$9:$B$259=$B260),$T$9:$T259),0)))</f>
        <v/>
      </c>
      <c r="U260" s="58" t="str">
        <f t="shared" si="53"/>
        <v/>
      </c>
      <c r="V260" s="58" t="str">
        <f>IF($A260="","",IF(OR($B260="",$C260="",$D260="",$E260="",$F260=""),"Missing required field",IF(COUNTIFS($A$9:$A260,$A260,$B$9:$B260,$B260)&gt;1,"Duplicate event ID",IF(AND($E260&lt;&gt;IFERROR(LOOKUP(2,1/($B$9:$B$259=$B260),$E$9:$E259),0),IFERROR(LOOKUP(2,1/($B$9:$B$259=$B260),$E$9:$E259),0)&gt;$E260),"Date out of order",IF(AND(OR($F260="buy_to_close",$F260="expire",$F260="roll",$F260="assignment",$F260="called_away"),$AF260=0),"Unknown lot",IF(OR(AND($F260="assignment",$AF260&gt;0,IF($AF260&gt;0,INDEX($AG$9:$AG$259,$AF260),"")&lt;&gt;"put"),AND($F260="called_away",$AF260&gt;0,IF($AF260&gt;0,INDEX($AG$9:$AG$259,$AF260),"")&lt;&gt;"call")),"Wrong option leg",IF(OR(AND(OR($F260="sell_put",$F260="sell_call"),OR($H260&lt;=0,$I260&lt;=0,$J260&lt;0)),AND(OR($F260="buy_to_close",$F260="expire",$F260="assignment",$F260="called_away"),OR($H260&lt;=0,$J260&lt;0)),AND($F260="roll",OR($H260&lt;=0,$I260&lt;=0,$J260&lt;0,$K260&lt;0)),AND(OR($F260="buy_shares",$F260="sell_shares"),OR($L260&lt;=0,$M260&lt;0)),AND(OR($F260="dividend",$F260="fee"),$N260&lt;0)),"Invalid value",IF(AND(OR($F260="sell_shares",$F260="called_away"),$AL260&lt;IF($F260="called_away",$AE260*$D260,$L260)),"Insufficient shares (capped)",IF(AND(OR($F260="buy_to_close",$F260="expire",$F260="roll",$F260="assignment",$F260="called_away"),$AF260&gt;0,$H260&gt;IF($AF260&gt;0,MAX(0,INDEX($AI$9:$AI$259,$AF260)-SUMIFS($AE$9:$AE$259,$G$9:$G$259,$G260,$B$9:$B$259,$B260)),0)),"Close quantity capped","OK")))))))))</f>
        <v/>
      </c>
      <c r="W260" s="59" t="str">
        <f t="shared" si="54"/>
        <v/>
      </c>
      <c r="X260" s="60" t="str">
        <f t="shared" si="55"/>
        <v/>
      </c>
      <c r="Y260" s="50" t="str">
        <f t="shared" si="56"/>
        <v/>
      </c>
      <c r="Z260" s="50" t="str">
        <f t="shared" si="57"/>
        <v/>
      </c>
      <c r="AA260" s="50" t="str">
        <f t="shared" si="58"/>
        <v/>
      </c>
      <c r="AB260" s="50" t="str">
        <f t="shared" si="59"/>
        <v/>
      </c>
      <c r="AC260" s="50" t="str">
        <f>IF($A260="","",IF($F260="assignment",IF($AF260&gt;0,INDEX($AH$9:$AH$259,$AF260),0)*$AE260*$D260,IF($F260="buy_shares",$M260*$AL260,0)))</f>
        <v/>
      </c>
      <c r="AD260" s="50" t="str">
        <f>IF($A260="","",IF($F260="called_away",IF($AF260&gt;0,INDEX($AH$9:$AH$259,$AF260),0)*$AL260,IF($F260="sell_shares",$M260*$AL260,0)))</f>
        <v/>
      </c>
      <c r="AE260" s="51" t="str">
        <f>IF($A260="","",IF(OR($F260="sell_put",$F260="sell_call"),IF(AND($H260&gt;0,$I260&gt;0,$J260&gt;=0),$H260,0),IF(OR($F260="buy_to_close",$F260="expire",$F260="roll",$F260="assignment",$F260="called_away"),IF(AND($AF260&gt;0,$H260&gt;0,IF($F260="assignment",IF($AF260&gt;0,INDEX($AG$9:$AG$259,$AF260),"")="put",TRUE),IF($F260="called_away",IF($AF260&gt;0,INDEX($AG$9:$AG$259,$AF260),"")="call",TRUE)),MIN($H260,IF($AF260&gt;0,MAX(0,INDEX($AI$9:$AI$259,$AF260)-SUMIFS($AE$9:$AE$259,$G$9:$G$259,$G260,$B$9:$B$259,$B260)),0)),0),0)))</f>
        <v/>
      </c>
      <c r="AF260" t="str">
        <f>IF($A260="","",IFERROR(MATCH(LEN($B260)&amp;":"&amp;$B260&amp;$G260,$AY$9:$AY$259,0),0))</f>
        <v/>
      </c>
      <c r="AG260" t="str">
        <f>IF($A260="","",IF($F260="sell_put","put",IF($F260="sell_call","call",IF($F260="roll",IF($AF260&gt;0,IF($AF260&gt;0,INDEX($AG$9:$AG$259,$AF260),""),""),IF($AF260&gt;0,IF($AF260&gt;0,INDEX($AG$9:$AG$259,$AF260),""),"")))))</f>
        <v/>
      </c>
      <c r="AH260" t="str">
        <f>IF($A260="","",IF(OR($F260="sell_put",$F260="sell_call",$F260="roll"),$I260,IF($AF260&gt;0,IF($AF260&gt;0,INDEX($AH$9:$AH$259,$AF260),0),0)))</f>
        <v/>
      </c>
      <c r="AI260" s="51" t="str">
        <f t="shared" si="60"/>
        <v/>
      </c>
      <c r="AJ260" s="51" t="str">
        <f>IF($A260="","",IFERROR(LOOKUP(2,1/($B$9:$B$259=$B260),$AM$9:$AM259),0))</f>
        <v/>
      </c>
      <c r="AK260" t="str">
        <f>IF($A260="","",IFERROR(LOOKUP(2,1/($B$9:$B$259=$B260),$AN$9:$AN259),0))</f>
        <v/>
      </c>
      <c r="AL260" s="51" t="str">
        <f t="shared" si="61"/>
        <v/>
      </c>
      <c r="AM260" s="51" t="str">
        <f t="shared" si="62"/>
        <v/>
      </c>
      <c r="AN260" t="str">
        <f t="shared" si="63"/>
        <v/>
      </c>
      <c r="AO260" s="50" t="str">
        <f>IF($A260="","",IFERROR(LOOKUP(2,1/($B$9:$B$259=$B260),$AO$9:$AO259),0)+IF($F260="sell_put",$I260*$AE260*$D260,IF($F260="roll",IF($AG260="put",($I260-IF($AF260&gt;0,INDEX($AH$9:$AH$259,$AF260),0))*$AE260*$D260,0),IF(AND(OR($F260="buy_to_close",$F260="expire",$F260="roll",$F260="assignment",$F260="called_away"),$F260&lt;&gt;"roll",$AG260="put"),-IF($AF260&gt;0,INDEX($AH$9:$AH$259,$AF260),0)*$AE260*$D260,0))))</f>
        <v/>
      </c>
      <c r="AP260" s="51" t="str">
        <f>IF($A260="","",IFERROR(LOOKUP(2,1/($B$9:$B$259=$B260),$AP$9:$AP259),0)+IF($F260="sell_put",$AE260*$D260,IF(AND(OR($F260="buy_to_close",$F260="expire",$F260="roll",$F260="assignment",$F260="called_away"),$F260&lt;&gt;"roll",$AG260="put"),-$AE260*$D260,0)))</f>
        <v/>
      </c>
      <c r="AQ260" s="51" t="str">
        <f>IF($A260="","",IFERROR(LOOKUP(2,1/($B$9:$B$259=$B260),$AQ$9:$AQ259),0)+IF(OR($F260="sell_put",$F260="sell_call"),$AE260,0)-IF(AND(OR($F260="buy_to_close",$F260="expire",$F260="roll",$F260="assignment",$F260="called_away"),$F260&lt;&gt;"roll"),$AE260,0))</f>
        <v/>
      </c>
      <c r="AR260" t="str">
        <f t="shared" si="64"/>
        <v/>
      </c>
      <c r="AS260" s="50" t="str">
        <f t="shared" si="65"/>
        <v/>
      </c>
      <c r="AT260" s="50" t="str">
        <f>IF($A260="","",MAX(IF($T260=IFERROR(LOOKUP(2,1/($B$9:$B$259=$B260),$T$9:$T259),0),IFERROR(LOOKUP(2,1/($B$9:$B$259=$B260),$AT$9:$AT259),0),0),$AS260))</f>
        <v/>
      </c>
      <c r="AU260" t="str">
        <f t="shared" si="66"/>
        <v/>
      </c>
      <c r="AV260" s="51">
        <f>IF($AU260="",0,IF(AND(IFERROR(LOOKUP(2,1/($B$9:$B$259=$B260),$AR$9:$AR259),1),NOT(AND(OR($F260="dividend",$F260="fee"),IFERROR(LOOKUP(2,1/($B$9:$B$259=$B260),$T$9:$T259),0)&gt;0))),ROW(),0))</f>
        <v>0</v>
      </c>
      <c r="AW260">
        <f>IF($A260="",0,IF($AV260&gt;0,MAX($AW$9:$AW$259)+1,MAX($AW$9:$AW$259)))</f>
        <v>0</v>
      </c>
      <c r="AX260">
        <f>IF($AU260="",0,IF(AND($AR260,OR(NOT(IFERROR(LOOKUP(2,1/($B$9:$B$259=$B260),$AR$9:$AR259),1)),IFERROR(LOOKUP(2,1/($B$9:$B$259=$B260),$T$9:$T259),0)=0)),ROW(),0))</f>
        <v>0</v>
      </c>
      <c r="AY260" t="str">
        <f t="shared" si="67"/>
        <v/>
      </c>
    </row>
    <row r="261" spans="1:51" ht="15" x14ac:dyDescent="0.25">
      <c r="A261" s="41" t="str">
        <f>IF(Trades!$A261="","",Trades!O261)</f>
        <v/>
      </c>
      <c r="B261" s="41" t="str">
        <f>IF(Trades!$A261="","",Trades!B261)</f>
        <v/>
      </c>
      <c r="C261" s="41" t="str">
        <f>IF(Trades!$A261="","",Trades!C261)</f>
        <v/>
      </c>
      <c r="D261" s="42" t="str">
        <f>IF(Trades!$A261="","",IF(Trades!$L261&gt;0,Trades!$L261,Trades!$C$6))</f>
        <v/>
      </c>
      <c r="E261" s="43" t="str">
        <f>IF(Trades!$A261="","",Trades!A261)</f>
        <v/>
      </c>
      <c r="F261" s="41" t="str">
        <f>IF(Trades!$A261="","",IFERROR(INDEX(Trades!$V$2:$V$14,MATCH(Trades!$E261,Trades!$U$2:$U$14,0)),""))</f>
        <v/>
      </c>
      <c r="G261" s="41" t="str">
        <f>IF(Trades!$A261="","",Trades!N261)</f>
        <v/>
      </c>
      <c r="H261" s="42" t="str">
        <f>IF(Trades!$A261="","",Trades!F261)</f>
        <v/>
      </c>
      <c r="I261" s="44" t="str">
        <f>IF(Trades!$A261="","",Trades!G261)</f>
        <v/>
      </c>
      <c r="J261" s="44" t="str">
        <f>IF(Trades!$A261="","",Trades!I261)</f>
        <v/>
      </c>
      <c r="K261" s="44" t="str">
        <f>IF(Trades!$A261="","",Trades!Q261)</f>
        <v/>
      </c>
      <c r="L261" s="42" t="str">
        <f>IF(Trades!$A261="","",Trades!F261)</f>
        <v/>
      </c>
      <c r="M261" s="44" t="str">
        <f>IF(Trades!$A261="","",Trades!M261)</f>
        <v/>
      </c>
      <c r="N261" s="44" t="str">
        <f>IF(Trades!$A261="","",Trades!R261)</f>
        <v/>
      </c>
      <c r="O261" s="44" t="str">
        <f>IF(Trades!$A261="","",Trades!J261)</f>
        <v/>
      </c>
      <c r="P261" s="43" t="str">
        <f>IF(Trades!$A261="","",Trades!H261)</f>
        <v/>
      </c>
      <c r="Q261" s="41" t="str">
        <f>IF(Trades!$A261="","",Trades!P261)</f>
        <v/>
      </c>
      <c r="R261" s="45" t="str">
        <f t="shared" si="51"/>
        <v/>
      </c>
      <c r="S261" s="45" t="str">
        <f t="shared" si="52"/>
        <v/>
      </c>
      <c r="T261" s="46" t="str">
        <f>IF(OR($A261="",$B261=""),"",IF(AND(IFERROR(LOOKUP(2,1/($B$9:$B$260=$B261),$AR$9:$AR260),1),NOT(AND(OR($F261="dividend",$F261="fee"),IFERROR(LOOKUP(2,1/($B$9:$B$260=$B261),$T$9:$T260),0)&gt;0))),IFERROR(LOOKUP(2,1/($B$9:$B$260=$B261),$T$9:$T260),0)+1,IFERROR(LOOKUP(2,1/($B$9:$B$260=$B261),$T$9:$T260),0)))</f>
        <v/>
      </c>
      <c r="U261" s="47" t="str">
        <f t="shared" si="53"/>
        <v/>
      </c>
      <c r="V261" s="47" t="str">
        <f>IF($A261="","",IF(OR($B261="",$C261="",$D261="",$E261="",$F261=""),"Missing required field",IF(COUNTIFS($A$9:$A261,$A261,$B$9:$B261,$B261)&gt;1,"Duplicate event ID",IF(AND($E261&lt;&gt;IFERROR(LOOKUP(2,1/($B$9:$B$260=$B261),$E$9:$E260),0),IFERROR(LOOKUP(2,1/($B$9:$B$260=$B261),$E$9:$E260),0)&gt;$E261),"Date out of order",IF(AND(OR($F261="buy_to_close",$F261="expire",$F261="roll",$F261="assignment",$F261="called_away"),$AF261=0),"Unknown lot",IF(OR(AND($F261="assignment",$AF261&gt;0,IF($AF261&gt;0,INDEX($AG$9:$AG$260,$AF261),"")&lt;&gt;"put"),AND($F261="called_away",$AF261&gt;0,IF($AF261&gt;0,INDEX($AG$9:$AG$260,$AF261),"")&lt;&gt;"call")),"Wrong option leg",IF(OR(AND(OR($F261="sell_put",$F261="sell_call"),OR($H261&lt;=0,$I261&lt;=0,$J261&lt;0)),AND(OR($F261="buy_to_close",$F261="expire",$F261="assignment",$F261="called_away"),OR($H261&lt;=0,$J261&lt;0)),AND($F261="roll",OR($H261&lt;=0,$I261&lt;=0,$J261&lt;0,$K261&lt;0)),AND(OR($F261="buy_shares",$F261="sell_shares"),OR($L261&lt;=0,$M261&lt;0)),AND(OR($F261="dividend",$F261="fee"),$N261&lt;0)),"Invalid value",IF(AND(OR($F261="sell_shares",$F261="called_away"),$AL261&lt;IF($F261="called_away",$AE261*$D261,$L261)),"Insufficient shares (capped)",IF(AND(OR($F261="buy_to_close",$F261="expire",$F261="roll",$F261="assignment",$F261="called_away"),$AF261&gt;0,$H261&gt;IF($AF261&gt;0,MAX(0,INDEX($AI$9:$AI$260,$AF261)-SUMIFS($AE$9:$AE$260,$G$9:$G$260,$G261,$B$9:$B$260,$B261)),0)),"Close quantity capped","OK")))))))))</f>
        <v/>
      </c>
      <c r="W261" s="48" t="str">
        <f t="shared" si="54"/>
        <v/>
      </c>
      <c r="X261" s="49" t="str">
        <f t="shared" si="55"/>
        <v/>
      </c>
      <c r="Y261" s="50" t="str">
        <f t="shared" si="56"/>
        <v/>
      </c>
      <c r="Z261" s="50" t="str">
        <f t="shared" si="57"/>
        <v/>
      </c>
      <c r="AA261" s="50" t="str">
        <f t="shared" si="58"/>
        <v/>
      </c>
      <c r="AB261" s="50" t="str">
        <f t="shared" si="59"/>
        <v/>
      </c>
      <c r="AC261" s="50" t="str">
        <f>IF($A261="","",IF($F261="assignment",IF($AF261&gt;0,INDEX($AH$9:$AH$260,$AF261),0)*$AE261*$D261,IF($F261="buy_shares",$M261*$AL261,0)))</f>
        <v/>
      </c>
      <c r="AD261" s="50" t="str">
        <f>IF($A261="","",IF($F261="called_away",IF($AF261&gt;0,INDEX($AH$9:$AH$260,$AF261),0)*$AL261,IF($F261="sell_shares",$M261*$AL261,0)))</f>
        <v/>
      </c>
      <c r="AE261" s="51" t="str">
        <f>IF($A261="","",IF(OR($F261="sell_put",$F261="sell_call"),IF(AND($H261&gt;0,$I261&gt;0,$J261&gt;=0),$H261,0),IF(OR($F261="buy_to_close",$F261="expire",$F261="roll",$F261="assignment",$F261="called_away"),IF(AND($AF261&gt;0,$H261&gt;0,IF($F261="assignment",IF($AF261&gt;0,INDEX($AG$9:$AG$260,$AF261),"")="put",TRUE),IF($F261="called_away",IF($AF261&gt;0,INDEX($AG$9:$AG$260,$AF261),"")="call",TRUE)),MIN($H261,IF($AF261&gt;0,MAX(0,INDEX($AI$9:$AI$260,$AF261)-SUMIFS($AE$9:$AE$260,$G$9:$G$260,$G261,$B$9:$B$260,$B261)),0)),0),0)))</f>
        <v/>
      </c>
      <c r="AF261" t="str">
        <f>IF($A261="","",IFERROR(MATCH(LEN($B261)&amp;":"&amp;$B261&amp;$G261,$AY$9:$AY$260,0),0))</f>
        <v/>
      </c>
      <c r="AG261" t="str">
        <f>IF($A261="","",IF($F261="sell_put","put",IF($F261="sell_call","call",IF($F261="roll",IF($AF261&gt;0,IF($AF261&gt;0,INDEX($AG$9:$AG$260,$AF261),""),""),IF($AF261&gt;0,IF($AF261&gt;0,INDEX($AG$9:$AG$260,$AF261),""),"")))))</f>
        <v/>
      </c>
      <c r="AH261" t="str">
        <f>IF($A261="","",IF(OR($F261="sell_put",$F261="sell_call",$F261="roll"),$I261,IF($AF261&gt;0,IF($AF261&gt;0,INDEX($AH$9:$AH$260,$AF261),0),0)))</f>
        <v/>
      </c>
      <c r="AI261" s="51" t="str">
        <f t="shared" si="60"/>
        <v/>
      </c>
      <c r="AJ261" s="51" t="str">
        <f>IF($A261="","",IFERROR(LOOKUP(2,1/($B$9:$B$260=$B261),$AM$9:$AM260),0))</f>
        <v/>
      </c>
      <c r="AK261" t="str">
        <f>IF($A261="","",IFERROR(LOOKUP(2,1/($B$9:$B$260=$B261),$AN$9:$AN260),0))</f>
        <v/>
      </c>
      <c r="AL261" s="51" t="str">
        <f t="shared" si="61"/>
        <v/>
      </c>
      <c r="AM261" s="51" t="str">
        <f t="shared" si="62"/>
        <v/>
      </c>
      <c r="AN261" t="str">
        <f t="shared" si="63"/>
        <v/>
      </c>
      <c r="AO261" s="50" t="str">
        <f>IF($A261="","",IFERROR(LOOKUP(2,1/($B$9:$B$260=$B261),$AO$9:$AO260),0)+IF($F261="sell_put",$I261*$AE261*$D261,IF($F261="roll",IF($AG261="put",($I261-IF($AF261&gt;0,INDEX($AH$9:$AH$260,$AF261),0))*$AE261*$D261,0),IF(AND(OR($F261="buy_to_close",$F261="expire",$F261="roll",$F261="assignment",$F261="called_away"),$F261&lt;&gt;"roll",$AG261="put"),-IF($AF261&gt;0,INDEX($AH$9:$AH$260,$AF261),0)*$AE261*$D261,0))))</f>
        <v/>
      </c>
      <c r="AP261" s="51" t="str">
        <f>IF($A261="","",IFERROR(LOOKUP(2,1/($B$9:$B$260=$B261),$AP$9:$AP260),0)+IF($F261="sell_put",$AE261*$D261,IF(AND(OR($F261="buy_to_close",$F261="expire",$F261="roll",$F261="assignment",$F261="called_away"),$F261&lt;&gt;"roll",$AG261="put"),-$AE261*$D261,0)))</f>
        <v/>
      </c>
      <c r="AQ261" s="51" t="str">
        <f>IF($A261="","",IFERROR(LOOKUP(2,1/($B$9:$B$260=$B261),$AQ$9:$AQ260),0)+IF(OR($F261="sell_put",$F261="sell_call"),$AE261,0)-IF(AND(OR($F261="buy_to_close",$F261="expire",$F261="roll",$F261="assignment",$F261="called_away"),$F261&lt;&gt;"roll"),$AE261,0))</f>
        <v/>
      </c>
      <c r="AR261" t="str">
        <f t="shared" si="64"/>
        <v/>
      </c>
      <c r="AS261" s="50" t="str">
        <f t="shared" si="65"/>
        <v/>
      </c>
      <c r="AT261" s="50" t="str">
        <f>IF($A261="","",MAX(IF($T261=IFERROR(LOOKUP(2,1/($B$9:$B$260=$B261),$T$9:$T260),0),IFERROR(LOOKUP(2,1/($B$9:$B$260=$B261),$AT$9:$AT260),0),0),$AS261))</f>
        <v/>
      </c>
      <c r="AU261" t="str">
        <f t="shared" si="66"/>
        <v/>
      </c>
      <c r="AV261" s="51">
        <f>IF($AU261="",0,IF(AND(IFERROR(LOOKUP(2,1/($B$9:$B$260=$B261),$AR$9:$AR260),1),NOT(AND(OR($F261="dividend",$F261="fee"),IFERROR(LOOKUP(2,1/($B$9:$B$260=$B261),$T$9:$T260),0)&gt;0))),ROW(),0))</f>
        <v>0</v>
      </c>
      <c r="AW261">
        <f>IF($A261="",0,IF($AV261&gt;0,MAX($AW$9:$AW$260)+1,MAX($AW$9:$AW$260)))</f>
        <v>0</v>
      </c>
      <c r="AX261">
        <f>IF($AU261="",0,IF(AND($AR261,OR(NOT(IFERROR(LOOKUP(2,1/($B$9:$B$260=$B261),$AR$9:$AR260),1)),IFERROR(LOOKUP(2,1/($B$9:$B$260=$B261),$T$9:$T260),0)=0)),ROW(),0))</f>
        <v>0</v>
      </c>
      <c r="AY261" t="str">
        <f t="shared" si="67"/>
        <v/>
      </c>
    </row>
    <row r="262" spans="1:51" ht="15" x14ac:dyDescent="0.25">
      <c r="A262" s="52" t="str">
        <f>IF(Trades!$A262="","",Trades!O262)</f>
        <v/>
      </c>
      <c r="B262" s="52" t="str">
        <f>IF(Trades!$A262="","",Trades!B262)</f>
        <v/>
      </c>
      <c r="C262" s="52" t="str">
        <f>IF(Trades!$A262="","",Trades!C262)</f>
        <v/>
      </c>
      <c r="D262" s="53" t="str">
        <f>IF(Trades!$A262="","",IF(Trades!$L262&gt;0,Trades!$L262,Trades!$C$6))</f>
        <v/>
      </c>
      <c r="E262" s="54" t="str">
        <f>IF(Trades!$A262="","",Trades!A262)</f>
        <v/>
      </c>
      <c r="F262" s="52" t="str">
        <f>IF(Trades!$A262="","",IFERROR(INDEX(Trades!$V$2:$V$14,MATCH(Trades!$E262,Trades!$U$2:$U$14,0)),""))</f>
        <v/>
      </c>
      <c r="G262" s="52" t="str">
        <f>IF(Trades!$A262="","",Trades!N262)</f>
        <v/>
      </c>
      <c r="H262" s="53" t="str">
        <f>IF(Trades!$A262="","",Trades!F262)</f>
        <v/>
      </c>
      <c r="I262" s="55" t="str">
        <f>IF(Trades!$A262="","",Trades!G262)</f>
        <v/>
      </c>
      <c r="J262" s="55" t="str">
        <f>IF(Trades!$A262="","",Trades!I262)</f>
        <v/>
      </c>
      <c r="K262" s="55" t="str">
        <f>IF(Trades!$A262="","",Trades!Q262)</f>
        <v/>
      </c>
      <c r="L262" s="53" t="str">
        <f>IF(Trades!$A262="","",Trades!F262)</f>
        <v/>
      </c>
      <c r="M262" s="55" t="str">
        <f>IF(Trades!$A262="","",Trades!M262)</f>
        <v/>
      </c>
      <c r="N262" s="55" t="str">
        <f>IF(Trades!$A262="","",Trades!R262)</f>
        <v/>
      </c>
      <c r="O262" s="55" t="str">
        <f>IF(Trades!$A262="","",Trades!J262)</f>
        <v/>
      </c>
      <c r="P262" s="54" t="str">
        <f>IF(Trades!$A262="","",Trades!H262)</f>
        <v/>
      </c>
      <c r="Q262" s="52" t="str">
        <f>IF(Trades!$A262="","",Trades!P262)</f>
        <v/>
      </c>
      <c r="R262" s="56" t="str">
        <f t="shared" si="51"/>
        <v/>
      </c>
      <c r="S262" s="56" t="str">
        <f t="shared" si="52"/>
        <v/>
      </c>
      <c r="T262" s="57" t="str">
        <f>IF(OR($A262="",$B262=""),"",IF(AND(IFERROR(LOOKUP(2,1/($B$9:$B$261=$B262),$AR$9:$AR261),1),NOT(AND(OR($F262="dividend",$F262="fee"),IFERROR(LOOKUP(2,1/($B$9:$B$261=$B262),$T$9:$T261),0)&gt;0))),IFERROR(LOOKUP(2,1/($B$9:$B$261=$B262),$T$9:$T261),0)+1,IFERROR(LOOKUP(2,1/($B$9:$B$261=$B262),$T$9:$T261),0)))</f>
        <v/>
      </c>
      <c r="U262" s="58" t="str">
        <f t="shared" si="53"/>
        <v/>
      </c>
      <c r="V262" s="58" t="str">
        <f>IF($A262="","",IF(OR($B262="",$C262="",$D262="",$E262="",$F262=""),"Missing required field",IF(COUNTIFS($A$9:$A262,$A262,$B$9:$B262,$B262)&gt;1,"Duplicate event ID",IF(AND($E262&lt;&gt;IFERROR(LOOKUP(2,1/($B$9:$B$261=$B262),$E$9:$E261),0),IFERROR(LOOKUP(2,1/($B$9:$B$261=$B262),$E$9:$E261),0)&gt;$E262),"Date out of order",IF(AND(OR($F262="buy_to_close",$F262="expire",$F262="roll",$F262="assignment",$F262="called_away"),$AF262=0),"Unknown lot",IF(OR(AND($F262="assignment",$AF262&gt;0,IF($AF262&gt;0,INDEX($AG$9:$AG$261,$AF262),"")&lt;&gt;"put"),AND($F262="called_away",$AF262&gt;0,IF($AF262&gt;0,INDEX($AG$9:$AG$261,$AF262),"")&lt;&gt;"call")),"Wrong option leg",IF(OR(AND(OR($F262="sell_put",$F262="sell_call"),OR($H262&lt;=0,$I262&lt;=0,$J262&lt;0)),AND(OR($F262="buy_to_close",$F262="expire",$F262="assignment",$F262="called_away"),OR($H262&lt;=0,$J262&lt;0)),AND($F262="roll",OR($H262&lt;=0,$I262&lt;=0,$J262&lt;0,$K262&lt;0)),AND(OR($F262="buy_shares",$F262="sell_shares"),OR($L262&lt;=0,$M262&lt;0)),AND(OR($F262="dividend",$F262="fee"),$N262&lt;0)),"Invalid value",IF(AND(OR($F262="sell_shares",$F262="called_away"),$AL262&lt;IF($F262="called_away",$AE262*$D262,$L262)),"Insufficient shares (capped)",IF(AND(OR($F262="buy_to_close",$F262="expire",$F262="roll",$F262="assignment",$F262="called_away"),$AF262&gt;0,$H262&gt;IF($AF262&gt;0,MAX(0,INDEX($AI$9:$AI$261,$AF262)-SUMIFS($AE$9:$AE$261,$G$9:$G$261,$G262,$B$9:$B$261,$B262)),0)),"Close quantity capped","OK")))))))))</f>
        <v/>
      </c>
      <c r="W262" s="59" t="str">
        <f t="shared" si="54"/>
        <v/>
      </c>
      <c r="X262" s="60" t="str">
        <f t="shared" si="55"/>
        <v/>
      </c>
      <c r="Y262" s="50" t="str">
        <f t="shared" si="56"/>
        <v/>
      </c>
      <c r="Z262" s="50" t="str">
        <f t="shared" si="57"/>
        <v/>
      </c>
      <c r="AA262" s="50" t="str">
        <f t="shared" si="58"/>
        <v/>
      </c>
      <c r="AB262" s="50" t="str">
        <f t="shared" si="59"/>
        <v/>
      </c>
      <c r="AC262" s="50" t="str">
        <f>IF($A262="","",IF($F262="assignment",IF($AF262&gt;0,INDEX($AH$9:$AH$261,$AF262),0)*$AE262*$D262,IF($F262="buy_shares",$M262*$AL262,0)))</f>
        <v/>
      </c>
      <c r="AD262" s="50" t="str">
        <f>IF($A262="","",IF($F262="called_away",IF($AF262&gt;0,INDEX($AH$9:$AH$261,$AF262),0)*$AL262,IF($F262="sell_shares",$M262*$AL262,0)))</f>
        <v/>
      </c>
      <c r="AE262" s="51" t="str">
        <f>IF($A262="","",IF(OR($F262="sell_put",$F262="sell_call"),IF(AND($H262&gt;0,$I262&gt;0,$J262&gt;=0),$H262,0),IF(OR($F262="buy_to_close",$F262="expire",$F262="roll",$F262="assignment",$F262="called_away"),IF(AND($AF262&gt;0,$H262&gt;0,IF($F262="assignment",IF($AF262&gt;0,INDEX($AG$9:$AG$261,$AF262),"")="put",TRUE),IF($F262="called_away",IF($AF262&gt;0,INDEX($AG$9:$AG$261,$AF262),"")="call",TRUE)),MIN($H262,IF($AF262&gt;0,MAX(0,INDEX($AI$9:$AI$261,$AF262)-SUMIFS($AE$9:$AE$261,$G$9:$G$261,$G262,$B$9:$B$261,$B262)),0)),0),0)))</f>
        <v/>
      </c>
      <c r="AF262" t="str">
        <f>IF($A262="","",IFERROR(MATCH(LEN($B262)&amp;":"&amp;$B262&amp;$G262,$AY$9:$AY$261,0),0))</f>
        <v/>
      </c>
      <c r="AG262" t="str">
        <f>IF($A262="","",IF($F262="sell_put","put",IF($F262="sell_call","call",IF($F262="roll",IF($AF262&gt;0,IF($AF262&gt;0,INDEX($AG$9:$AG$261,$AF262),""),""),IF($AF262&gt;0,IF($AF262&gt;0,INDEX($AG$9:$AG$261,$AF262),""),"")))))</f>
        <v/>
      </c>
      <c r="AH262" t="str">
        <f>IF($A262="","",IF(OR($F262="sell_put",$F262="sell_call",$F262="roll"),$I262,IF($AF262&gt;0,IF($AF262&gt;0,INDEX($AH$9:$AH$261,$AF262),0),0)))</f>
        <v/>
      </c>
      <c r="AI262" s="51" t="str">
        <f t="shared" si="60"/>
        <v/>
      </c>
      <c r="AJ262" s="51" t="str">
        <f>IF($A262="","",IFERROR(LOOKUP(2,1/($B$9:$B$261=$B262),$AM$9:$AM261),0))</f>
        <v/>
      </c>
      <c r="AK262" t="str">
        <f>IF($A262="","",IFERROR(LOOKUP(2,1/($B$9:$B$261=$B262),$AN$9:$AN261),0))</f>
        <v/>
      </c>
      <c r="AL262" s="51" t="str">
        <f t="shared" si="61"/>
        <v/>
      </c>
      <c r="AM262" s="51" t="str">
        <f t="shared" si="62"/>
        <v/>
      </c>
      <c r="AN262" t="str">
        <f t="shared" si="63"/>
        <v/>
      </c>
      <c r="AO262" s="50" t="str">
        <f>IF($A262="","",IFERROR(LOOKUP(2,1/($B$9:$B$261=$B262),$AO$9:$AO261),0)+IF($F262="sell_put",$I262*$AE262*$D262,IF($F262="roll",IF($AG262="put",($I262-IF($AF262&gt;0,INDEX($AH$9:$AH$261,$AF262),0))*$AE262*$D262,0),IF(AND(OR($F262="buy_to_close",$F262="expire",$F262="roll",$F262="assignment",$F262="called_away"),$F262&lt;&gt;"roll",$AG262="put"),-IF($AF262&gt;0,INDEX($AH$9:$AH$261,$AF262),0)*$AE262*$D262,0))))</f>
        <v/>
      </c>
      <c r="AP262" s="51" t="str">
        <f>IF($A262="","",IFERROR(LOOKUP(2,1/($B$9:$B$261=$B262),$AP$9:$AP261),0)+IF($F262="sell_put",$AE262*$D262,IF(AND(OR($F262="buy_to_close",$F262="expire",$F262="roll",$F262="assignment",$F262="called_away"),$F262&lt;&gt;"roll",$AG262="put"),-$AE262*$D262,0)))</f>
        <v/>
      </c>
      <c r="AQ262" s="51" t="str">
        <f>IF($A262="","",IFERROR(LOOKUP(2,1/($B$9:$B$261=$B262),$AQ$9:$AQ261),0)+IF(OR($F262="sell_put",$F262="sell_call"),$AE262,0)-IF(AND(OR($F262="buy_to_close",$F262="expire",$F262="roll",$F262="assignment",$F262="called_away"),$F262&lt;&gt;"roll"),$AE262,0))</f>
        <v/>
      </c>
      <c r="AR262" t="str">
        <f t="shared" si="64"/>
        <v/>
      </c>
      <c r="AS262" s="50" t="str">
        <f t="shared" si="65"/>
        <v/>
      </c>
      <c r="AT262" s="50" t="str">
        <f>IF($A262="","",MAX(IF($T262=IFERROR(LOOKUP(2,1/($B$9:$B$261=$B262),$T$9:$T261),0),IFERROR(LOOKUP(2,1/($B$9:$B$261=$B262),$AT$9:$AT261),0),0),$AS262))</f>
        <v/>
      </c>
      <c r="AU262" t="str">
        <f t="shared" si="66"/>
        <v/>
      </c>
      <c r="AV262" s="51">
        <f>IF($AU262="",0,IF(AND(IFERROR(LOOKUP(2,1/($B$9:$B$261=$B262),$AR$9:$AR261),1),NOT(AND(OR($F262="dividend",$F262="fee"),IFERROR(LOOKUP(2,1/($B$9:$B$261=$B262),$T$9:$T261),0)&gt;0))),ROW(),0))</f>
        <v>0</v>
      </c>
      <c r="AW262">
        <f>IF($A262="",0,IF($AV262&gt;0,MAX($AW$9:$AW$261)+1,MAX($AW$9:$AW$261)))</f>
        <v>0</v>
      </c>
      <c r="AX262">
        <f>IF($AU262="",0,IF(AND($AR262,OR(NOT(IFERROR(LOOKUP(2,1/($B$9:$B$261=$B262),$AR$9:$AR261),1)),IFERROR(LOOKUP(2,1/($B$9:$B$261=$B262),$T$9:$T261),0)=0)),ROW(),0))</f>
        <v>0</v>
      </c>
      <c r="AY262" t="str">
        <f t="shared" si="67"/>
        <v/>
      </c>
    </row>
    <row r="263" spans="1:51" ht="15" x14ac:dyDescent="0.25">
      <c r="A263" s="41" t="str">
        <f>IF(Trades!$A263="","",Trades!O263)</f>
        <v/>
      </c>
      <c r="B263" s="41" t="str">
        <f>IF(Trades!$A263="","",Trades!B263)</f>
        <v/>
      </c>
      <c r="C263" s="41" t="str">
        <f>IF(Trades!$A263="","",Trades!C263)</f>
        <v/>
      </c>
      <c r="D263" s="42" t="str">
        <f>IF(Trades!$A263="","",IF(Trades!$L263&gt;0,Trades!$L263,Trades!$C$6))</f>
        <v/>
      </c>
      <c r="E263" s="43" t="str">
        <f>IF(Trades!$A263="","",Trades!A263)</f>
        <v/>
      </c>
      <c r="F263" s="41" t="str">
        <f>IF(Trades!$A263="","",IFERROR(INDEX(Trades!$V$2:$V$14,MATCH(Trades!$E263,Trades!$U$2:$U$14,0)),""))</f>
        <v/>
      </c>
      <c r="G263" s="41" t="str">
        <f>IF(Trades!$A263="","",Trades!N263)</f>
        <v/>
      </c>
      <c r="H263" s="42" t="str">
        <f>IF(Trades!$A263="","",Trades!F263)</f>
        <v/>
      </c>
      <c r="I263" s="44" t="str">
        <f>IF(Trades!$A263="","",Trades!G263)</f>
        <v/>
      </c>
      <c r="J263" s="44" t="str">
        <f>IF(Trades!$A263="","",Trades!I263)</f>
        <v/>
      </c>
      <c r="K263" s="44" t="str">
        <f>IF(Trades!$A263="","",Trades!Q263)</f>
        <v/>
      </c>
      <c r="L263" s="42" t="str">
        <f>IF(Trades!$A263="","",Trades!F263)</f>
        <v/>
      </c>
      <c r="M263" s="44" t="str">
        <f>IF(Trades!$A263="","",Trades!M263)</f>
        <v/>
      </c>
      <c r="N263" s="44" t="str">
        <f>IF(Trades!$A263="","",Trades!R263)</f>
        <v/>
      </c>
      <c r="O263" s="44" t="str">
        <f>IF(Trades!$A263="","",Trades!J263)</f>
        <v/>
      </c>
      <c r="P263" s="43" t="str">
        <f>IF(Trades!$A263="","",Trades!H263)</f>
        <v/>
      </c>
      <c r="Q263" s="41" t="str">
        <f>IF(Trades!$A263="","",Trades!P263)</f>
        <v/>
      </c>
      <c r="R263" s="45" t="str">
        <f t="shared" si="51"/>
        <v/>
      </c>
      <c r="S263" s="45" t="str">
        <f t="shared" si="52"/>
        <v/>
      </c>
      <c r="T263" s="46" t="str">
        <f>IF(OR($A263="",$B263=""),"",IF(AND(IFERROR(LOOKUP(2,1/($B$9:$B$262=$B263),$AR$9:$AR262),1),NOT(AND(OR($F263="dividend",$F263="fee"),IFERROR(LOOKUP(2,1/($B$9:$B$262=$B263),$T$9:$T262),0)&gt;0))),IFERROR(LOOKUP(2,1/($B$9:$B$262=$B263),$T$9:$T262),0)+1,IFERROR(LOOKUP(2,1/($B$9:$B$262=$B263),$T$9:$T262),0)))</f>
        <v/>
      </c>
      <c r="U263" s="47" t="str">
        <f t="shared" si="53"/>
        <v/>
      </c>
      <c r="V263" s="47" t="str">
        <f>IF($A263="","",IF(OR($B263="",$C263="",$D263="",$E263="",$F263=""),"Missing required field",IF(COUNTIFS($A$9:$A263,$A263,$B$9:$B263,$B263)&gt;1,"Duplicate event ID",IF(AND($E263&lt;&gt;IFERROR(LOOKUP(2,1/($B$9:$B$262=$B263),$E$9:$E262),0),IFERROR(LOOKUP(2,1/($B$9:$B$262=$B263),$E$9:$E262),0)&gt;$E263),"Date out of order",IF(AND(OR($F263="buy_to_close",$F263="expire",$F263="roll",$F263="assignment",$F263="called_away"),$AF263=0),"Unknown lot",IF(OR(AND($F263="assignment",$AF263&gt;0,IF($AF263&gt;0,INDEX($AG$9:$AG$262,$AF263),"")&lt;&gt;"put"),AND($F263="called_away",$AF263&gt;0,IF($AF263&gt;0,INDEX($AG$9:$AG$262,$AF263),"")&lt;&gt;"call")),"Wrong option leg",IF(OR(AND(OR($F263="sell_put",$F263="sell_call"),OR($H263&lt;=0,$I263&lt;=0,$J263&lt;0)),AND(OR($F263="buy_to_close",$F263="expire",$F263="assignment",$F263="called_away"),OR($H263&lt;=0,$J263&lt;0)),AND($F263="roll",OR($H263&lt;=0,$I263&lt;=0,$J263&lt;0,$K263&lt;0)),AND(OR($F263="buy_shares",$F263="sell_shares"),OR($L263&lt;=0,$M263&lt;0)),AND(OR($F263="dividend",$F263="fee"),$N263&lt;0)),"Invalid value",IF(AND(OR($F263="sell_shares",$F263="called_away"),$AL263&lt;IF($F263="called_away",$AE263*$D263,$L263)),"Insufficient shares (capped)",IF(AND(OR($F263="buy_to_close",$F263="expire",$F263="roll",$F263="assignment",$F263="called_away"),$AF263&gt;0,$H263&gt;IF($AF263&gt;0,MAX(0,INDEX($AI$9:$AI$262,$AF263)-SUMIFS($AE$9:$AE$262,$G$9:$G$262,$G263,$B$9:$B$262,$B263)),0)),"Close quantity capped","OK")))))))))</f>
        <v/>
      </c>
      <c r="W263" s="48" t="str">
        <f t="shared" si="54"/>
        <v/>
      </c>
      <c r="X263" s="49" t="str">
        <f t="shared" si="55"/>
        <v/>
      </c>
      <c r="Y263" s="50" t="str">
        <f t="shared" si="56"/>
        <v/>
      </c>
      <c r="Z263" s="50" t="str">
        <f t="shared" si="57"/>
        <v/>
      </c>
      <c r="AA263" s="50" t="str">
        <f t="shared" si="58"/>
        <v/>
      </c>
      <c r="AB263" s="50" t="str">
        <f t="shared" si="59"/>
        <v/>
      </c>
      <c r="AC263" s="50" t="str">
        <f>IF($A263="","",IF($F263="assignment",IF($AF263&gt;0,INDEX($AH$9:$AH$262,$AF263),0)*$AE263*$D263,IF($F263="buy_shares",$M263*$AL263,0)))</f>
        <v/>
      </c>
      <c r="AD263" s="50" t="str">
        <f>IF($A263="","",IF($F263="called_away",IF($AF263&gt;0,INDEX($AH$9:$AH$262,$AF263),0)*$AL263,IF($F263="sell_shares",$M263*$AL263,0)))</f>
        <v/>
      </c>
      <c r="AE263" s="51" t="str">
        <f>IF($A263="","",IF(OR($F263="sell_put",$F263="sell_call"),IF(AND($H263&gt;0,$I263&gt;0,$J263&gt;=0),$H263,0),IF(OR($F263="buy_to_close",$F263="expire",$F263="roll",$F263="assignment",$F263="called_away"),IF(AND($AF263&gt;0,$H263&gt;0,IF($F263="assignment",IF($AF263&gt;0,INDEX($AG$9:$AG$262,$AF263),"")="put",TRUE),IF($F263="called_away",IF($AF263&gt;0,INDEX($AG$9:$AG$262,$AF263),"")="call",TRUE)),MIN($H263,IF($AF263&gt;0,MAX(0,INDEX($AI$9:$AI$262,$AF263)-SUMIFS($AE$9:$AE$262,$G$9:$G$262,$G263,$B$9:$B$262,$B263)),0)),0),0)))</f>
        <v/>
      </c>
      <c r="AF263" t="str">
        <f>IF($A263="","",IFERROR(MATCH(LEN($B263)&amp;":"&amp;$B263&amp;$G263,$AY$9:$AY$262,0),0))</f>
        <v/>
      </c>
      <c r="AG263" t="str">
        <f>IF($A263="","",IF($F263="sell_put","put",IF($F263="sell_call","call",IF($F263="roll",IF($AF263&gt;0,IF($AF263&gt;0,INDEX($AG$9:$AG$262,$AF263),""),""),IF($AF263&gt;0,IF($AF263&gt;0,INDEX($AG$9:$AG$262,$AF263),""),"")))))</f>
        <v/>
      </c>
      <c r="AH263" t="str">
        <f>IF($A263="","",IF(OR($F263="sell_put",$F263="sell_call",$F263="roll"),$I263,IF($AF263&gt;0,IF($AF263&gt;0,INDEX($AH$9:$AH$262,$AF263),0),0)))</f>
        <v/>
      </c>
      <c r="AI263" s="51" t="str">
        <f t="shared" si="60"/>
        <v/>
      </c>
      <c r="AJ263" s="51" t="str">
        <f>IF($A263="","",IFERROR(LOOKUP(2,1/($B$9:$B$262=$B263),$AM$9:$AM262),0))</f>
        <v/>
      </c>
      <c r="AK263" t="str">
        <f>IF($A263="","",IFERROR(LOOKUP(2,1/($B$9:$B$262=$B263),$AN$9:$AN262),0))</f>
        <v/>
      </c>
      <c r="AL263" s="51" t="str">
        <f t="shared" si="61"/>
        <v/>
      </c>
      <c r="AM263" s="51" t="str">
        <f t="shared" si="62"/>
        <v/>
      </c>
      <c r="AN263" t="str">
        <f t="shared" si="63"/>
        <v/>
      </c>
      <c r="AO263" s="50" t="str">
        <f>IF($A263="","",IFERROR(LOOKUP(2,1/($B$9:$B$262=$B263),$AO$9:$AO262),0)+IF($F263="sell_put",$I263*$AE263*$D263,IF($F263="roll",IF($AG263="put",($I263-IF($AF263&gt;0,INDEX($AH$9:$AH$262,$AF263),0))*$AE263*$D263,0),IF(AND(OR($F263="buy_to_close",$F263="expire",$F263="roll",$F263="assignment",$F263="called_away"),$F263&lt;&gt;"roll",$AG263="put"),-IF($AF263&gt;0,INDEX($AH$9:$AH$262,$AF263),0)*$AE263*$D263,0))))</f>
        <v/>
      </c>
      <c r="AP263" s="51" t="str">
        <f>IF($A263="","",IFERROR(LOOKUP(2,1/($B$9:$B$262=$B263),$AP$9:$AP262),0)+IF($F263="sell_put",$AE263*$D263,IF(AND(OR($F263="buy_to_close",$F263="expire",$F263="roll",$F263="assignment",$F263="called_away"),$F263&lt;&gt;"roll",$AG263="put"),-$AE263*$D263,0)))</f>
        <v/>
      </c>
      <c r="AQ263" s="51" t="str">
        <f>IF($A263="","",IFERROR(LOOKUP(2,1/($B$9:$B$262=$B263),$AQ$9:$AQ262),0)+IF(OR($F263="sell_put",$F263="sell_call"),$AE263,0)-IF(AND(OR($F263="buy_to_close",$F263="expire",$F263="roll",$F263="assignment",$F263="called_away"),$F263&lt;&gt;"roll"),$AE263,0))</f>
        <v/>
      </c>
      <c r="AR263" t="str">
        <f t="shared" si="64"/>
        <v/>
      </c>
      <c r="AS263" s="50" t="str">
        <f t="shared" si="65"/>
        <v/>
      </c>
      <c r="AT263" s="50" t="str">
        <f>IF($A263="","",MAX(IF($T263=IFERROR(LOOKUP(2,1/($B$9:$B$262=$B263),$T$9:$T262),0),IFERROR(LOOKUP(2,1/($B$9:$B$262=$B263),$AT$9:$AT262),0),0),$AS263))</f>
        <v/>
      </c>
      <c r="AU263" t="str">
        <f t="shared" si="66"/>
        <v/>
      </c>
      <c r="AV263" s="51">
        <f>IF($AU263="",0,IF(AND(IFERROR(LOOKUP(2,1/($B$9:$B$262=$B263),$AR$9:$AR262),1),NOT(AND(OR($F263="dividend",$F263="fee"),IFERROR(LOOKUP(2,1/($B$9:$B$262=$B263),$T$9:$T262),0)&gt;0))),ROW(),0))</f>
        <v>0</v>
      </c>
      <c r="AW263">
        <f>IF($A263="",0,IF($AV263&gt;0,MAX($AW$9:$AW$262)+1,MAX($AW$9:$AW$262)))</f>
        <v>0</v>
      </c>
      <c r="AX263">
        <f>IF($AU263="",0,IF(AND($AR263,OR(NOT(IFERROR(LOOKUP(2,1/($B$9:$B$262=$B263),$AR$9:$AR262),1)),IFERROR(LOOKUP(2,1/($B$9:$B$262=$B263),$T$9:$T262),0)=0)),ROW(),0))</f>
        <v>0</v>
      </c>
      <c r="AY263" t="str">
        <f t="shared" si="67"/>
        <v/>
      </c>
    </row>
    <row r="264" spans="1:51" ht="15" x14ac:dyDescent="0.25">
      <c r="A264" s="52" t="str">
        <f>IF(Trades!$A264="","",Trades!O264)</f>
        <v/>
      </c>
      <c r="B264" s="52" t="str">
        <f>IF(Trades!$A264="","",Trades!B264)</f>
        <v/>
      </c>
      <c r="C264" s="52" t="str">
        <f>IF(Trades!$A264="","",Trades!C264)</f>
        <v/>
      </c>
      <c r="D264" s="53" t="str">
        <f>IF(Trades!$A264="","",IF(Trades!$L264&gt;0,Trades!$L264,Trades!$C$6))</f>
        <v/>
      </c>
      <c r="E264" s="54" t="str">
        <f>IF(Trades!$A264="","",Trades!A264)</f>
        <v/>
      </c>
      <c r="F264" s="52" t="str">
        <f>IF(Trades!$A264="","",IFERROR(INDEX(Trades!$V$2:$V$14,MATCH(Trades!$E264,Trades!$U$2:$U$14,0)),""))</f>
        <v/>
      </c>
      <c r="G264" s="52" t="str">
        <f>IF(Trades!$A264="","",Trades!N264)</f>
        <v/>
      </c>
      <c r="H264" s="53" t="str">
        <f>IF(Trades!$A264="","",Trades!F264)</f>
        <v/>
      </c>
      <c r="I264" s="55" t="str">
        <f>IF(Trades!$A264="","",Trades!G264)</f>
        <v/>
      </c>
      <c r="J264" s="55" t="str">
        <f>IF(Trades!$A264="","",Trades!I264)</f>
        <v/>
      </c>
      <c r="K264" s="55" t="str">
        <f>IF(Trades!$A264="","",Trades!Q264)</f>
        <v/>
      </c>
      <c r="L264" s="53" t="str">
        <f>IF(Trades!$A264="","",Trades!F264)</f>
        <v/>
      </c>
      <c r="M264" s="55" t="str">
        <f>IF(Trades!$A264="","",Trades!M264)</f>
        <v/>
      </c>
      <c r="N264" s="55" t="str">
        <f>IF(Trades!$A264="","",Trades!R264)</f>
        <v/>
      </c>
      <c r="O264" s="55" t="str">
        <f>IF(Trades!$A264="","",Trades!J264)</f>
        <v/>
      </c>
      <c r="P264" s="54" t="str">
        <f>IF(Trades!$A264="","",Trades!H264)</f>
        <v/>
      </c>
      <c r="Q264" s="52" t="str">
        <f>IF(Trades!$A264="","",Trades!P264)</f>
        <v/>
      </c>
      <c r="R264" s="56" t="str">
        <f t="shared" si="51"/>
        <v/>
      </c>
      <c r="S264" s="56" t="str">
        <f t="shared" si="52"/>
        <v/>
      </c>
      <c r="T264" s="57" t="str">
        <f>IF(OR($A264="",$B264=""),"",IF(AND(IFERROR(LOOKUP(2,1/($B$9:$B$263=$B264),$AR$9:$AR263),1),NOT(AND(OR($F264="dividend",$F264="fee"),IFERROR(LOOKUP(2,1/($B$9:$B$263=$B264),$T$9:$T263),0)&gt;0))),IFERROR(LOOKUP(2,1/($B$9:$B$263=$B264),$T$9:$T263),0)+1,IFERROR(LOOKUP(2,1/($B$9:$B$263=$B264),$T$9:$T263),0)))</f>
        <v/>
      </c>
      <c r="U264" s="58" t="str">
        <f t="shared" si="53"/>
        <v/>
      </c>
      <c r="V264" s="58" t="str">
        <f>IF($A264="","",IF(OR($B264="",$C264="",$D264="",$E264="",$F264=""),"Missing required field",IF(COUNTIFS($A$9:$A264,$A264,$B$9:$B264,$B264)&gt;1,"Duplicate event ID",IF(AND($E264&lt;&gt;IFERROR(LOOKUP(2,1/($B$9:$B$263=$B264),$E$9:$E263),0),IFERROR(LOOKUP(2,1/($B$9:$B$263=$B264),$E$9:$E263),0)&gt;$E264),"Date out of order",IF(AND(OR($F264="buy_to_close",$F264="expire",$F264="roll",$F264="assignment",$F264="called_away"),$AF264=0),"Unknown lot",IF(OR(AND($F264="assignment",$AF264&gt;0,IF($AF264&gt;0,INDEX($AG$9:$AG$263,$AF264),"")&lt;&gt;"put"),AND($F264="called_away",$AF264&gt;0,IF($AF264&gt;0,INDEX($AG$9:$AG$263,$AF264),"")&lt;&gt;"call")),"Wrong option leg",IF(OR(AND(OR($F264="sell_put",$F264="sell_call"),OR($H264&lt;=0,$I264&lt;=0,$J264&lt;0)),AND(OR($F264="buy_to_close",$F264="expire",$F264="assignment",$F264="called_away"),OR($H264&lt;=0,$J264&lt;0)),AND($F264="roll",OR($H264&lt;=0,$I264&lt;=0,$J264&lt;0,$K264&lt;0)),AND(OR($F264="buy_shares",$F264="sell_shares"),OR($L264&lt;=0,$M264&lt;0)),AND(OR($F264="dividend",$F264="fee"),$N264&lt;0)),"Invalid value",IF(AND(OR($F264="sell_shares",$F264="called_away"),$AL264&lt;IF($F264="called_away",$AE264*$D264,$L264)),"Insufficient shares (capped)",IF(AND(OR($F264="buy_to_close",$F264="expire",$F264="roll",$F264="assignment",$F264="called_away"),$AF264&gt;0,$H264&gt;IF($AF264&gt;0,MAX(0,INDEX($AI$9:$AI$263,$AF264)-SUMIFS($AE$9:$AE$263,$G$9:$G$263,$G264,$B$9:$B$263,$B264)),0)),"Close quantity capped","OK")))))))))</f>
        <v/>
      </c>
      <c r="W264" s="59" t="str">
        <f t="shared" si="54"/>
        <v/>
      </c>
      <c r="X264" s="60" t="str">
        <f t="shared" si="55"/>
        <v/>
      </c>
      <c r="Y264" s="50" t="str">
        <f t="shared" si="56"/>
        <v/>
      </c>
      <c r="Z264" s="50" t="str">
        <f t="shared" si="57"/>
        <v/>
      </c>
      <c r="AA264" s="50" t="str">
        <f t="shared" si="58"/>
        <v/>
      </c>
      <c r="AB264" s="50" t="str">
        <f t="shared" si="59"/>
        <v/>
      </c>
      <c r="AC264" s="50" t="str">
        <f>IF($A264="","",IF($F264="assignment",IF($AF264&gt;0,INDEX($AH$9:$AH$263,$AF264),0)*$AE264*$D264,IF($F264="buy_shares",$M264*$AL264,0)))</f>
        <v/>
      </c>
      <c r="AD264" s="50" t="str">
        <f>IF($A264="","",IF($F264="called_away",IF($AF264&gt;0,INDEX($AH$9:$AH$263,$AF264),0)*$AL264,IF($F264="sell_shares",$M264*$AL264,0)))</f>
        <v/>
      </c>
      <c r="AE264" s="51" t="str">
        <f>IF($A264="","",IF(OR($F264="sell_put",$F264="sell_call"),IF(AND($H264&gt;0,$I264&gt;0,$J264&gt;=0),$H264,0),IF(OR($F264="buy_to_close",$F264="expire",$F264="roll",$F264="assignment",$F264="called_away"),IF(AND($AF264&gt;0,$H264&gt;0,IF($F264="assignment",IF($AF264&gt;0,INDEX($AG$9:$AG$263,$AF264),"")="put",TRUE),IF($F264="called_away",IF($AF264&gt;0,INDEX($AG$9:$AG$263,$AF264),"")="call",TRUE)),MIN($H264,IF($AF264&gt;0,MAX(0,INDEX($AI$9:$AI$263,$AF264)-SUMIFS($AE$9:$AE$263,$G$9:$G$263,$G264,$B$9:$B$263,$B264)),0)),0),0)))</f>
        <v/>
      </c>
      <c r="AF264" t="str">
        <f>IF($A264="","",IFERROR(MATCH(LEN($B264)&amp;":"&amp;$B264&amp;$G264,$AY$9:$AY$263,0),0))</f>
        <v/>
      </c>
      <c r="AG264" t="str">
        <f>IF($A264="","",IF($F264="sell_put","put",IF($F264="sell_call","call",IF($F264="roll",IF($AF264&gt;0,IF($AF264&gt;0,INDEX($AG$9:$AG$263,$AF264),""),""),IF($AF264&gt;0,IF($AF264&gt;0,INDEX($AG$9:$AG$263,$AF264),""),"")))))</f>
        <v/>
      </c>
      <c r="AH264" t="str">
        <f>IF($A264="","",IF(OR($F264="sell_put",$F264="sell_call",$F264="roll"),$I264,IF($AF264&gt;0,IF($AF264&gt;0,INDEX($AH$9:$AH$263,$AF264),0),0)))</f>
        <v/>
      </c>
      <c r="AI264" s="51" t="str">
        <f t="shared" si="60"/>
        <v/>
      </c>
      <c r="AJ264" s="51" t="str">
        <f>IF($A264="","",IFERROR(LOOKUP(2,1/($B$9:$B$263=$B264),$AM$9:$AM263),0))</f>
        <v/>
      </c>
      <c r="AK264" t="str">
        <f>IF($A264="","",IFERROR(LOOKUP(2,1/($B$9:$B$263=$B264),$AN$9:$AN263),0))</f>
        <v/>
      </c>
      <c r="AL264" s="51" t="str">
        <f t="shared" si="61"/>
        <v/>
      </c>
      <c r="AM264" s="51" t="str">
        <f t="shared" si="62"/>
        <v/>
      </c>
      <c r="AN264" t="str">
        <f t="shared" si="63"/>
        <v/>
      </c>
      <c r="AO264" s="50" t="str">
        <f>IF($A264="","",IFERROR(LOOKUP(2,1/($B$9:$B$263=$B264),$AO$9:$AO263),0)+IF($F264="sell_put",$I264*$AE264*$D264,IF($F264="roll",IF($AG264="put",($I264-IF($AF264&gt;0,INDEX($AH$9:$AH$263,$AF264),0))*$AE264*$D264,0),IF(AND(OR($F264="buy_to_close",$F264="expire",$F264="roll",$F264="assignment",$F264="called_away"),$F264&lt;&gt;"roll",$AG264="put"),-IF($AF264&gt;0,INDEX($AH$9:$AH$263,$AF264),0)*$AE264*$D264,0))))</f>
        <v/>
      </c>
      <c r="AP264" s="51" t="str">
        <f>IF($A264="","",IFERROR(LOOKUP(2,1/($B$9:$B$263=$B264),$AP$9:$AP263),0)+IF($F264="sell_put",$AE264*$D264,IF(AND(OR($F264="buy_to_close",$F264="expire",$F264="roll",$F264="assignment",$F264="called_away"),$F264&lt;&gt;"roll",$AG264="put"),-$AE264*$D264,0)))</f>
        <v/>
      </c>
      <c r="AQ264" s="51" t="str">
        <f>IF($A264="","",IFERROR(LOOKUP(2,1/($B$9:$B$263=$B264),$AQ$9:$AQ263),0)+IF(OR($F264="sell_put",$F264="sell_call"),$AE264,0)-IF(AND(OR($F264="buy_to_close",$F264="expire",$F264="roll",$F264="assignment",$F264="called_away"),$F264&lt;&gt;"roll"),$AE264,0))</f>
        <v/>
      </c>
      <c r="AR264" t="str">
        <f t="shared" si="64"/>
        <v/>
      </c>
      <c r="AS264" s="50" t="str">
        <f t="shared" si="65"/>
        <v/>
      </c>
      <c r="AT264" s="50" t="str">
        <f>IF($A264="","",MAX(IF($T264=IFERROR(LOOKUP(2,1/($B$9:$B$263=$B264),$T$9:$T263),0),IFERROR(LOOKUP(2,1/($B$9:$B$263=$B264),$AT$9:$AT263),0),0),$AS264))</f>
        <v/>
      </c>
      <c r="AU264" t="str">
        <f t="shared" si="66"/>
        <v/>
      </c>
      <c r="AV264" s="51">
        <f>IF($AU264="",0,IF(AND(IFERROR(LOOKUP(2,1/($B$9:$B$263=$B264),$AR$9:$AR263),1),NOT(AND(OR($F264="dividend",$F264="fee"),IFERROR(LOOKUP(2,1/($B$9:$B$263=$B264),$T$9:$T263),0)&gt;0))),ROW(),0))</f>
        <v>0</v>
      </c>
      <c r="AW264">
        <f>IF($A264="",0,IF($AV264&gt;0,MAX($AW$9:$AW$263)+1,MAX($AW$9:$AW$263)))</f>
        <v>0</v>
      </c>
      <c r="AX264">
        <f>IF($AU264="",0,IF(AND($AR264,OR(NOT(IFERROR(LOOKUP(2,1/($B$9:$B$263=$B264),$AR$9:$AR263),1)),IFERROR(LOOKUP(2,1/($B$9:$B$263=$B264),$T$9:$T263),0)=0)),ROW(),0))</f>
        <v>0</v>
      </c>
      <c r="AY264" t="str">
        <f t="shared" si="67"/>
        <v/>
      </c>
    </row>
    <row r="265" spans="1:51" ht="15" x14ac:dyDescent="0.25">
      <c r="A265" s="41" t="str">
        <f>IF(Trades!$A265="","",Trades!O265)</f>
        <v/>
      </c>
      <c r="B265" s="41" t="str">
        <f>IF(Trades!$A265="","",Trades!B265)</f>
        <v/>
      </c>
      <c r="C265" s="41" t="str">
        <f>IF(Trades!$A265="","",Trades!C265)</f>
        <v/>
      </c>
      <c r="D265" s="42" t="str">
        <f>IF(Trades!$A265="","",IF(Trades!$L265&gt;0,Trades!$L265,Trades!$C$6))</f>
        <v/>
      </c>
      <c r="E265" s="43" t="str">
        <f>IF(Trades!$A265="","",Trades!A265)</f>
        <v/>
      </c>
      <c r="F265" s="41" t="str">
        <f>IF(Trades!$A265="","",IFERROR(INDEX(Trades!$V$2:$V$14,MATCH(Trades!$E265,Trades!$U$2:$U$14,0)),""))</f>
        <v/>
      </c>
      <c r="G265" s="41" t="str">
        <f>IF(Trades!$A265="","",Trades!N265)</f>
        <v/>
      </c>
      <c r="H265" s="42" t="str">
        <f>IF(Trades!$A265="","",Trades!F265)</f>
        <v/>
      </c>
      <c r="I265" s="44" t="str">
        <f>IF(Trades!$A265="","",Trades!G265)</f>
        <v/>
      </c>
      <c r="J265" s="44" t="str">
        <f>IF(Trades!$A265="","",Trades!I265)</f>
        <v/>
      </c>
      <c r="K265" s="44" t="str">
        <f>IF(Trades!$A265="","",Trades!Q265)</f>
        <v/>
      </c>
      <c r="L265" s="42" t="str">
        <f>IF(Trades!$A265="","",Trades!F265)</f>
        <v/>
      </c>
      <c r="M265" s="44" t="str">
        <f>IF(Trades!$A265="","",Trades!M265)</f>
        <v/>
      </c>
      <c r="N265" s="44" t="str">
        <f>IF(Trades!$A265="","",Trades!R265)</f>
        <v/>
      </c>
      <c r="O265" s="44" t="str">
        <f>IF(Trades!$A265="","",Trades!J265)</f>
        <v/>
      </c>
      <c r="P265" s="43" t="str">
        <f>IF(Trades!$A265="","",Trades!H265)</f>
        <v/>
      </c>
      <c r="Q265" s="41" t="str">
        <f>IF(Trades!$A265="","",Trades!P265)</f>
        <v/>
      </c>
      <c r="R265" s="45" t="str">
        <f t="shared" ref="R265:R328" si="68">IF($A265="","",$Y265-$Z265)</f>
        <v/>
      </c>
      <c r="S265" s="45" t="str">
        <f t="shared" ref="S265:S328" si="69">IF($A265="","",$R265+$AA265-$AB265-$AC265+$AD265)</f>
        <v/>
      </c>
      <c r="T265" s="46" t="str">
        <f>IF(OR($A265="",$B265=""),"",IF(AND(IFERROR(LOOKUP(2,1/($B$9:$B$264=$B265),$AR$9:$AR264),1),NOT(AND(OR($F265="dividend",$F265="fee"),IFERROR(LOOKUP(2,1/($B$9:$B$264=$B265),$T$9:$T264),0)&gt;0))),IFERROR(LOOKUP(2,1/($B$9:$B$264=$B265),$T$9:$T264),0)+1,IFERROR(LOOKUP(2,1/($B$9:$B$264=$B265),$T$9:$T264),0)))</f>
        <v/>
      </c>
      <c r="U265" s="47" t="str">
        <f t="shared" ref="U265:U328" si="70">IF($A265="","",IF($AR265,"Flat / cycle closed",IF($AM265&gt;0,"Shares held","Short option open")))</f>
        <v/>
      </c>
      <c r="V265" s="47" t="str">
        <f>IF($A265="","",IF(OR($B265="",$C265="",$D265="",$E265="",$F265=""),"Missing required field",IF(COUNTIFS($A$9:$A265,$A265,$B$9:$B265,$B265)&gt;1,"Duplicate event ID",IF(AND($E265&lt;&gt;IFERROR(LOOKUP(2,1/($B$9:$B$264=$B265),$E$9:$E264),0),IFERROR(LOOKUP(2,1/($B$9:$B$264=$B265),$E$9:$E264),0)&gt;$E265),"Date out of order",IF(AND(OR($F265="buy_to_close",$F265="expire",$F265="roll",$F265="assignment",$F265="called_away"),$AF265=0),"Unknown lot",IF(OR(AND($F265="assignment",$AF265&gt;0,IF($AF265&gt;0,INDEX($AG$9:$AG$264,$AF265),"")&lt;&gt;"put"),AND($F265="called_away",$AF265&gt;0,IF($AF265&gt;0,INDEX($AG$9:$AG$264,$AF265),"")&lt;&gt;"call")),"Wrong option leg",IF(OR(AND(OR($F265="sell_put",$F265="sell_call"),OR($H265&lt;=0,$I265&lt;=0,$J265&lt;0)),AND(OR($F265="buy_to_close",$F265="expire",$F265="assignment",$F265="called_away"),OR($H265&lt;=0,$J265&lt;0)),AND($F265="roll",OR($H265&lt;=0,$I265&lt;=0,$J265&lt;0,$K265&lt;0)),AND(OR($F265="buy_shares",$F265="sell_shares"),OR($L265&lt;=0,$M265&lt;0)),AND(OR($F265="dividend",$F265="fee"),$N265&lt;0)),"Invalid value",IF(AND(OR($F265="sell_shares",$F265="called_away"),$AL265&lt;IF($F265="called_away",$AE265*$D265,$L265)),"Insufficient shares (capped)",IF(AND(OR($F265="buy_to_close",$F265="expire",$F265="roll",$F265="assignment",$F265="called_away"),$AF265&gt;0,$H265&gt;IF($AF265&gt;0,MAX(0,INDEX($AI$9:$AI$264,$AF265)-SUMIFS($AE$9:$AE$264,$G$9:$G$264,$G265,$B$9:$B$264,$B265)),0)),"Close quantity capped","OK")))))))))</f>
        <v/>
      </c>
      <c r="W265" s="48" t="str">
        <f t="shared" ref="W265:W328" si="71">IF($A265="","",$AM265)</f>
        <v/>
      </c>
      <c r="X265" s="49" t="str">
        <f t="shared" ref="X265:X328" si="72">IF($A265="","",$AS265)</f>
        <v/>
      </c>
      <c r="Y265" s="50" t="str">
        <f t="shared" ref="Y265:Y328" si="73">IF($A265="","",IF(OR($F265="sell_put",$F265="sell_call"),$J265*$AE265*$D265,IF($F265="roll",$J265*$AE265*$D265,0)))</f>
        <v/>
      </c>
      <c r="Z265" s="50" t="str">
        <f t="shared" ref="Z265:Z328" si="74">IF($A265="","",IF($F265="buy_to_close",$J265*$AE265*$D265,IF($F265="roll",$K265*$AE265*$D265,0)))</f>
        <v/>
      </c>
      <c r="AA265" s="50" t="str">
        <f t="shared" ref="AA265:AA328" si="75">IF($A265="","",IF(AND($F265="dividend",$N265&gt;=0),$N265,0))</f>
        <v/>
      </c>
      <c r="AB265" s="50" t="str">
        <f t="shared" ref="AB265:AB328" si="76">IF($A265="","",IF($O265&gt;=0,$O265,0)+IF(AND($F265="fee",$N265&gt;=0),$N265,0))</f>
        <v/>
      </c>
      <c r="AC265" s="50" t="str">
        <f>IF($A265="","",IF($F265="assignment",IF($AF265&gt;0,INDEX($AH$9:$AH$264,$AF265),0)*$AE265*$D265,IF($F265="buy_shares",$M265*$AL265,0)))</f>
        <v/>
      </c>
      <c r="AD265" s="50" t="str">
        <f>IF($A265="","",IF($F265="called_away",IF($AF265&gt;0,INDEX($AH$9:$AH$264,$AF265),0)*$AL265,IF($F265="sell_shares",$M265*$AL265,0)))</f>
        <v/>
      </c>
      <c r="AE265" s="51" t="str">
        <f>IF($A265="","",IF(OR($F265="sell_put",$F265="sell_call"),IF(AND($H265&gt;0,$I265&gt;0,$J265&gt;=0),$H265,0),IF(OR($F265="buy_to_close",$F265="expire",$F265="roll",$F265="assignment",$F265="called_away"),IF(AND($AF265&gt;0,$H265&gt;0,IF($F265="assignment",IF($AF265&gt;0,INDEX($AG$9:$AG$264,$AF265),"")="put",TRUE),IF($F265="called_away",IF($AF265&gt;0,INDEX($AG$9:$AG$264,$AF265),"")="call",TRUE)),MIN($H265,IF($AF265&gt;0,MAX(0,INDEX($AI$9:$AI$264,$AF265)-SUMIFS($AE$9:$AE$264,$G$9:$G$264,$G265,$B$9:$B$264,$B265)),0)),0),0)))</f>
        <v/>
      </c>
      <c r="AF265" t="str">
        <f>IF($A265="","",IFERROR(MATCH(LEN($B265)&amp;":"&amp;$B265&amp;$G265,$AY$9:$AY$264,0),0))</f>
        <v/>
      </c>
      <c r="AG265" t="str">
        <f>IF($A265="","",IF($F265="sell_put","put",IF($F265="sell_call","call",IF($F265="roll",IF($AF265&gt;0,IF($AF265&gt;0,INDEX($AG$9:$AG$264,$AF265),""),""),IF($AF265&gt;0,IF($AF265&gt;0,INDEX($AG$9:$AG$264,$AF265),""),"")))))</f>
        <v/>
      </c>
      <c r="AH265" t="str">
        <f>IF($A265="","",IF(OR($F265="sell_put",$F265="sell_call",$F265="roll"),$I265,IF($AF265&gt;0,IF($AF265&gt;0,INDEX($AH$9:$AH$264,$AF265),0),0)))</f>
        <v/>
      </c>
      <c r="AI265" s="51" t="str">
        <f t="shared" ref="AI265:AI328" si="77">IF($A265="","",IF(OR($F265="sell_put",$F265="sell_call"),IF(AND($H265&gt;0,$I265&gt;0,$J265&gt;=0),$H265,0),IF($F265="roll",$AE265,0)))</f>
        <v/>
      </c>
      <c r="AJ265" s="51" t="str">
        <f>IF($A265="","",IFERROR(LOOKUP(2,1/($B$9:$B$264=$B265),$AM$9:$AM264),0))</f>
        <v/>
      </c>
      <c r="AK265" t="str">
        <f>IF($A265="","",IFERROR(LOOKUP(2,1/($B$9:$B$264=$B265),$AN$9:$AN264),0))</f>
        <v/>
      </c>
      <c r="AL265" s="51" t="str">
        <f t="shared" ref="AL265:AL328" si="78">IF($A265="","",IF($F265="assignment",$AE265*$D265,IF($F265="called_away",MIN(MAX(0,$AE265*$D265),MAX(0,$AJ265)),IF($F265="buy_shares",IF(AND($L265&gt;0,$M265&gt;=0),$L265,0),IF($F265="sell_shares",IF(AND($L265&gt;0,$M265&gt;=0),MIN($L265,MAX(0,$AJ265)),0),0)))))</f>
        <v/>
      </c>
      <c r="AM265" s="51" t="str">
        <f t="shared" ref="AM265:AM328" si="79">IF($A265="","",MAX(0,$AJ265+IF(OR($F265="assignment",$F265="buy_shares"),$AL265,-$AL265)))</f>
        <v/>
      </c>
      <c r="AN265" t="str">
        <f t="shared" ref="AN265:AN328" si="80">IF($A265="","",IF($AM265&lt;=0.000000001,0,MAX(0,$AK265+$AC265-IF(OR($F265="called_away",$F265="sell_shares"),IF($AJ265&gt;0,$AK265/$AJ265*$AL265,0),0))))</f>
        <v/>
      </c>
      <c r="AO265" s="50" t="str">
        <f>IF($A265="","",IFERROR(LOOKUP(2,1/($B$9:$B$264=$B265),$AO$9:$AO264),0)+IF($F265="sell_put",$I265*$AE265*$D265,IF($F265="roll",IF($AG265="put",($I265-IF($AF265&gt;0,INDEX($AH$9:$AH$264,$AF265),0))*$AE265*$D265,0),IF(AND(OR($F265="buy_to_close",$F265="expire",$F265="roll",$F265="assignment",$F265="called_away"),$F265&lt;&gt;"roll",$AG265="put"),-IF($AF265&gt;0,INDEX($AH$9:$AH$264,$AF265),0)*$AE265*$D265,0))))</f>
        <v/>
      </c>
      <c r="AP265" s="51" t="str">
        <f>IF($A265="","",IFERROR(LOOKUP(2,1/($B$9:$B$264=$B265),$AP$9:$AP264),0)+IF($F265="sell_put",$AE265*$D265,IF(AND(OR($F265="buy_to_close",$F265="expire",$F265="roll",$F265="assignment",$F265="called_away"),$F265&lt;&gt;"roll",$AG265="put"),-$AE265*$D265,0)))</f>
        <v/>
      </c>
      <c r="AQ265" s="51" t="str">
        <f>IF($A265="","",IFERROR(LOOKUP(2,1/($B$9:$B$264=$B265),$AQ$9:$AQ264),0)+IF(OR($F265="sell_put",$F265="sell_call"),$AE265,0)-IF(AND(OR($F265="buy_to_close",$F265="expire",$F265="roll",$F265="assignment",$F265="called_away"),$F265&lt;&gt;"roll"),$AE265,0))</f>
        <v/>
      </c>
      <c r="AR265" t="str">
        <f t="shared" ref="AR265:AR328" si="81">IF($A265="","",AND($AM265&lt;=0.000000001,$AQ265&lt;=0.000000001))</f>
        <v/>
      </c>
      <c r="AS265" s="50" t="str">
        <f t="shared" ref="AS265:AS328" si="82">IF($A265="","",$AO265+$AN265)</f>
        <v/>
      </c>
      <c r="AT265" s="50" t="str">
        <f>IF($A265="","",MAX(IF($T265=IFERROR(LOOKUP(2,1/($B$9:$B$264=$B265),$T$9:$T264),0),IFERROR(LOOKUP(2,1/($B$9:$B$264=$B265),$AT$9:$AT264),0),0),$AS265))</f>
        <v/>
      </c>
      <c r="AU265" t="str">
        <f t="shared" ref="AU265:AU328" si="83">IF(OR($A265="",$B265="",$T265=""),"",$B265&amp;"¦"&amp;$T265)</f>
        <v/>
      </c>
      <c r="AV265" s="51">
        <f>IF($AU265="",0,IF(AND(IFERROR(LOOKUP(2,1/($B$9:$B$264=$B265),$AR$9:$AR264),1),NOT(AND(OR($F265="dividend",$F265="fee"),IFERROR(LOOKUP(2,1/($B$9:$B$264=$B265),$T$9:$T264),0)&gt;0))),ROW(),0))</f>
        <v>0</v>
      </c>
      <c r="AW265">
        <f>IF($A265="",0,IF($AV265&gt;0,MAX($AW$9:$AW$264)+1,MAX($AW$9:$AW$264)))</f>
        <v>0</v>
      </c>
      <c r="AX265">
        <f>IF($AU265="",0,IF(AND($AR265,OR(NOT(IFERROR(LOOKUP(2,1/($B$9:$B$264=$B265),$AR$9:$AR264),1)),IFERROR(LOOKUP(2,1/($B$9:$B$264=$B265),$T$9:$T264),0)=0)),ROW(),0))</f>
        <v>0</v>
      </c>
      <c r="AY265" t="str">
        <f t="shared" ref="AY265:AY328" si="84">IF(OR($A265="",$B265=""),"",LEN($B265)&amp;":"&amp;$B265&amp;$A265)</f>
        <v/>
      </c>
    </row>
    <row r="266" spans="1:51" ht="15" x14ac:dyDescent="0.25">
      <c r="A266" s="52" t="str">
        <f>IF(Trades!$A266="","",Trades!O266)</f>
        <v/>
      </c>
      <c r="B266" s="52" t="str">
        <f>IF(Trades!$A266="","",Trades!B266)</f>
        <v/>
      </c>
      <c r="C266" s="52" t="str">
        <f>IF(Trades!$A266="","",Trades!C266)</f>
        <v/>
      </c>
      <c r="D266" s="53" t="str">
        <f>IF(Trades!$A266="","",IF(Trades!$L266&gt;0,Trades!$L266,Trades!$C$6))</f>
        <v/>
      </c>
      <c r="E266" s="54" t="str">
        <f>IF(Trades!$A266="","",Trades!A266)</f>
        <v/>
      </c>
      <c r="F266" s="52" t="str">
        <f>IF(Trades!$A266="","",IFERROR(INDEX(Trades!$V$2:$V$14,MATCH(Trades!$E266,Trades!$U$2:$U$14,0)),""))</f>
        <v/>
      </c>
      <c r="G266" s="52" t="str">
        <f>IF(Trades!$A266="","",Trades!N266)</f>
        <v/>
      </c>
      <c r="H266" s="53" t="str">
        <f>IF(Trades!$A266="","",Trades!F266)</f>
        <v/>
      </c>
      <c r="I266" s="55" t="str">
        <f>IF(Trades!$A266="","",Trades!G266)</f>
        <v/>
      </c>
      <c r="J266" s="55" t="str">
        <f>IF(Trades!$A266="","",Trades!I266)</f>
        <v/>
      </c>
      <c r="K266" s="55" t="str">
        <f>IF(Trades!$A266="","",Trades!Q266)</f>
        <v/>
      </c>
      <c r="L266" s="53" t="str">
        <f>IF(Trades!$A266="","",Trades!F266)</f>
        <v/>
      </c>
      <c r="M266" s="55" t="str">
        <f>IF(Trades!$A266="","",Trades!M266)</f>
        <v/>
      </c>
      <c r="N266" s="55" t="str">
        <f>IF(Trades!$A266="","",Trades!R266)</f>
        <v/>
      </c>
      <c r="O266" s="55" t="str">
        <f>IF(Trades!$A266="","",Trades!J266)</f>
        <v/>
      </c>
      <c r="P266" s="54" t="str">
        <f>IF(Trades!$A266="","",Trades!H266)</f>
        <v/>
      </c>
      <c r="Q266" s="52" t="str">
        <f>IF(Trades!$A266="","",Trades!P266)</f>
        <v/>
      </c>
      <c r="R266" s="56" t="str">
        <f t="shared" si="68"/>
        <v/>
      </c>
      <c r="S266" s="56" t="str">
        <f t="shared" si="69"/>
        <v/>
      </c>
      <c r="T266" s="57" t="str">
        <f>IF(OR($A266="",$B266=""),"",IF(AND(IFERROR(LOOKUP(2,1/($B$9:$B$265=$B266),$AR$9:$AR265),1),NOT(AND(OR($F266="dividend",$F266="fee"),IFERROR(LOOKUP(2,1/($B$9:$B$265=$B266),$T$9:$T265),0)&gt;0))),IFERROR(LOOKUP(2,1/($B$9:$B$265=$B266),$T$9:$T265),0)+1,IFERROR(LOOKUP(2,1/($B$9:$B$265=$B266),$T$9:$T265),0)))</f>
        <v/>
      </c>
      <c r="U266" s="58" t="str">
        <f t="shared" si="70"/>
        <v/>
      </c>
      <c r="V266" s="58" t="str">
        <f>IF($A266="","",IF(OR($B266="",$C266="",$D266="",$E266="",$F266=""),"Missing required field",IF(COUNTIFS($A$9:$A266,$A266,$B$9:$B266,$B266)&gt;1,"Duplicate event ID",IF(AND($E266&lt;&gt;IFERROR(LOOKUP(2,1/($B$9:$B$265=$B266),$E$9:$E265),0),IFERROR(LOOKUP(2,1/($B$9:$B$265=$B266),$E$9:$E265),0)&gt;$E266),"Date out of order",IF(AND(OR($F266="buy_to_close",$F266="expire",$F266="roll",$F266="assignment",$F266="called_away"),$AF266=0),"Unknown lot",IF(OR(AND($F266="assignment",$AF266&gt;0,IF($AF266&gt;0,INDEX($AG$9:$AG$265,$AF266),"")&lt;&gt;"put"),AND($F266="called_away",$AF266&gt;0,IF($AF266&gt;0,INDEX($AG$9:$AG$265,$AF266),"")&lt;&gt;"call")),"Wrong option leg",IF(OR(AND(OR($F266="sell_put",$F266="sell_call"),OR($H266&lt;=0,$I266&lt;=0,$J266&lt;0)),AND(OR($F266="buy_to_close",$F266="expire",$F266="assignment",$F266="called_away"),OR($H266&lt;=0,$J266&lt;0)),AND($F266="roll",OR($H266&lt;=0,$I266&lt;=0,$J266&lt;0,$K266&lt;0)),AND(OR($F266="buy_shares",$F266="sell_shares"),OR($L266&lt;=0,$M266&lt;0)),AND(OR($F266="dividend",$F266="fee"),$N266&lt;0)),"Invalid value",IF(AND(OR($F266="sell_shares",$F266="called_away"),$AL266&lt;IF($F266="called_away",$AE266*$D266,$L266)),"Insufficient shares (capped)",IF(AND(OR($F266="buy_to_close",$F266="expire",$F266="roll",$F266="assignment",$F266="called_away"),$AF266&gt;0,$H266&gt;IF($AF266&gt;0,MAX(0,INDEX($AI$9:$AI$265,$AF266)-SUMIFS($AE$9:$AE$265,$G$9:$G$265,$G266,$B$9:$B$265,$B266)),0)),"Close quantity capped","OK")))))))))</f>
        <v/>
      </c>
      <c r="W266" s="59" t="str">
        <f t="shared" si="71"/>
        <v/>
      </c>
      <c r="X266" s="60" t="str">
        <f t="shared" si="72"/>
        <v/>
      </c>
      <c r="Y266" s="50" t="str">
        <f t="shared" si="73"/>
        <v/>
      </c>
      <c r="Z266" s="50" t="str">
        <f t="shared" si="74"/>
        <v/>
      </c>
      <c r="AA266" s="50" t="str">
        <f t="shared" si="75"/>
        <v/>
      </c>
      <c r="AB266" s="50" t="str">
        <f t="shared" si="76"/>
        <v/>
      </c>
      <c r="AC266" s="50" t="str">
        <f>IF($A266="","",IF($F266="assignment",IF($AF266&gt;0,INDEX($AH$9:$AH$265,$AF266),0)*$AE266*$D266,IF($F266="buy_shares",$M266*$AL266,0)))</f>
        <v/>
      </c>
      <c r="AD266" s="50" t="str">
        <f>IF($A266="","",IF($F266="called_away",IF($AF266&gt;0,INDEX($AH$9:$AH$265,$AF266),0)*$AL266,IF($F266="sell_shares",$M266*$AL266,0)))</f>
        <v/>
      </c>
      <c r="AE266" s="51" t="str">
        <f>IF($A266="","",IF(OR($F266="sell_put",$F266="sell_call"),IF(AND($H266&gt;0,$I266&gt;0,$J266&gt;=0),$H266,0),IF(OR($F266="buy_to_close",$F266="expire",$F266="roll",$F266="assignment",$F266="called_away"),IF(AND($AF266&gt;0,$H266&gt;0,IF($F266="assignment",IF($AF266&gt;0,INDEX($AG$9:$AG$265,$AF266),"")="put",TRUE),IF($F266="called_away",IF($AF266&gt;0,INDEX($AG$9:$AG$265,$AF266),"")="call",TRUE)),MIN($H266,IF($AF266&gt;0,MAX(0,INDEX($AI$9:$AI$265,$AF266)-SUMIFS($AE$9:$AE$265,$G$9:$G$265,$G266,$B$9:$B$265,$B266)),0)),0),0)))</f>
        <v/>
      </c>
      <c r="AF266" t="str">
        <f>IF($A266="","",IFERROR(MATCH(LEN($B266)&amp;":"&amp;$B266&amp;$G266,$AY$9:$AY$265,0),0))</f>
        <v/>
      </c>
      <c r="AG266" t="str">
        <f>IF($A266="","",IF($F266="sell_put","put",IF($F266="sell_call","call",IF($F266="roll",IF($AF266&gt;0,IF($AF266&gt;0,INDEX($AG$9:$AG$265,$AF266),""),""),IF($AF266&gt;0,IF($AF266&gt;0,INDEX($AG$9:$AG$265,$AF266),""),"")))))</f>
        <v/>
      </c>
      <c r="AH266" t="str">
        <f>IF($A266="","",IF(OR($F266="sell_put",$F266="sell_call",$F266="roll"),$I266,IF($AF266&gt;0,IF($AF266&gt;0,INDEX($AH$9:$AH$265,$AF266),0),0)))</f>
        <v/>
      </c>
      <c r="AI266" s="51" t="str">
        <f t="shared" si="77"/>
        <v/>
      </c>
      <c r="AJ266" s="51" t="str">
        <f>IF($A266="","",IFERROR(LOOKUP(2,1/($B$9:$B$265=$B266),$AM$9:$AM265),0))</f>
        <v/>
      </c>
      <c r="AK266" t="str">
        <f>IF($A266="","",IFERROR(LOOKUP(2,1/($B$9:$B$265=$B266),$AN$9:$AN265),0))</f>
        <v/>
      </c>
      <c r="AL266" s="51" t="str">
        <f t="shared" si="78"/>
        <v/>
      </c>
      <c r="AM266" s="51" t="str">
        <f t="shared" si="79"/>
        <v/>
      </c>
      <c r="AN266" t="str">
        <f t="shared" si="80"/>
        <v/>
      </c>
      <c r="AO266" s="50" t="str">
        <f>IF($A266="","",IFERROR(LOOKUP(2,1/($B$9:$B$265=$B266),$AO$9:$AO265),0)+IF($F266="sell_put",$I266*$AE266*$D266,IF($F266="roll",IF($AG266="put",($I266-IF($AF266&gt;0,INDEX($AH$9:$AH$265,$AF266),0))*$AE266*$D266,0),IF(AND(OR($F266="buy_to_close",$F266="expire",$F266="roll",$F266="assignment",$F266="called_away"),$F266&lt;&gt;"roll",$AG266="put"),-IF($AF266&gt;0,INDEX($AH$9:$AH$265,$AF266),0)*$AE266*$D266,0))))</f>
        <v/>
      </c>
      <c r="AP266" s="51" t="str">
        <f>IF($A266="","",IFERROR(LOOKUP(2,1/($B$9:$B$265=$B266),$AP$9:$AP265),0)+IF($F266="sell_put",$AE266*$D266,IF(AND(OR($F266="buy_to_close",$F266="expire",$F266="roll",$F266="assignment",$F266="called_away"),$F266&lt;&gt;"roll",$AG266="put"),-$AE266*$D266,0)))</f>
        <v/>
      </c>
      <c r="AQ266" s="51" t="str">
        <f>IF($A266="","",IFERROR(LOOKUP(2,1/($B$9:$B$265=$B266),$AQ$9:$AQ265),0)+IF(OR($F266="sell_put",$F266="sell_call"),$AE266,0)-IF(AND(OR($F266="buy_to_close",$F266="expire",$F266="roll",$F266="assignment",$F266="called_away"),$F266&lt;&gt;"roll"),$AE266,0))</f>
        <v/>
      </c>
      <c r="AR266" t="str">
        <f t="shared" si="81"/>
        <v/>
      </c>
      <c r="AS266" s="50" t="str">
        <f t="shared" si="82"/>
        <v/>
      </c>
      <c r="AT266" s="50" t="str">
        <f>IF($A266="","",MAX(IF($T266=IFERROR(LOOKUP(2,1/($B$9:$B$265=$B266),$T$9:$T265),0),IFERROR(LOOKUP(2,1/($B$9:$B$265=$B266),$AT$9:$AT265),0),0),$AS266))</f>
        <v/>
      </c>
      <c r="AU266" t="str">
        <f t="shared" si="83"/>
        <v/>
      </c>
      <c r="AV266" s="51">
        <f>IF($AU266="",0,IF(AND(IFERROR(LOOKUP(2,1/($B$9:$B$265=$B266),$AR$9:$AR265),1),NOT(AND(OR($F266="dividend",$F266="fee"),IFERROR(LOOKUP(2,1/($B$9:$B$265=$B266),$T$9:$T265),0)&gt;0))),ROW(),0))</f>
        <v>0</v>
      </c>
      <c r="AW266">
        <f>IF($A266="",0,IF($AV266&gt;0,MAX($AW$9:$AW$265)+1,MAX($AW$9:$AW$265)))</f>
        <v>0</v>
      </c>
      <c r="AX266">
        <f>IF($AU266="",0,IF(AND($AR266,OR(NOT(IFERROR(LOOKUP(2,1/($B$9:$B$265=$B266),$AR$9:$AR265),1)),IFERROR(LOOKUP(2,1/($B$9:$B$265=$B266),$T$9:$T265),0)=0)),ROW(),0))</f>
        <v>0</v>
      </c>
      <c r="AY266" t="str">
        <f t="shared" si="84"/>
        <v/>
      </c>
    </row>
    <row r="267" spans="1:51" ht="15" x14ac:dyDescent="0.25">
      <c r="A267" s="41" t="str">
        <f>IF(Trades!$A267="","",Trades!O267)</f>
        <v/>
      </c>
      <c r="B267" s="41" t="str">
        <f>IF(Trades!$A267="","",Trades!B267)</f>
        <v/>
      </c>
      <c r="C267" s="41" t="str">
        <f>IF(Trades!$A267="","",Trades!C267)</f>
        <v/>
      </c>
      <c r="D267" s="42" t="str">
        <f>IF(Trades!$A267="","",IF(Trades!$L267&gt;0,Trades!$L267,Trades!$C$6))</f>
        <v/>
      </c>
      <c r="E267" s="43" t="str">
        <f>IF(Trades!$A267="","",Trades!A267)</f>
        <v/>
      </c>
      <c r="F267" s="41" t="str">
        <f>IF(Trades!$A267="","",IFERROR(INDEX(Trades!$V$2:$V$14,MATCH(Trades!$E267,Trades!$U$2:$U$14,0)),""))</f>
        <v/>
      </c>
      <c r="G267" s="41" t="str">
        <f>IF(Trades!$A267="","",Trades!N267)</f>
        <v/>
      </c>
      <c r="H267" s="42" t="str">
        <f>IF(Trades!$A267="","",Trades!F267)</f>
        <v/>
      </c>
      <c r="I267" s="44" t="str">
        <f>IF(Trades!$A267="","",Trades!G267)</f>
        <v/>
      </c>
      <c r="J267" s="44" t="str">
        <f>IF(Trades!$A267="","",Trades!I267)</f>
        <v/>
      </c>
      <c r="K267" s="44" t="str">
        <f>IF(Trades!$A267="","",Trades!Q267)</f>
        <v/>
      </c>
      <c r="L267" s="42" t="str">
        <f>IF(Trades!$A267="","",Trades!F267)</f>
        <v/>
      </c>
      <c r="M267" s="44" t="str">
        <f>IF(Trades!$A267="","",Trades!M267)</f>
        <v/>
      </c>
      <c r="N267" s="44" t="str">
        <f>IF(Trades!$A267="","",Trades!R267)</f>
        <v/>
      </c>
      <c r="O267" s="44" t="str">
        <f>IF(Trades!$A267="","",Trades!J267)</f>
        <v/>
      </c>
      <c r="P267" s="43" t="str">
        <f>IF(Trades!$A267="","",Trades!H267)</f>
        <v/>
      </c>
      <c r="Q267" s="41" t="str">
        <f>IF(Trades!$A267="","",Trades!P267)</f>
        <v/>
      </c>
      <c r="R267" s="45" t="str">
        <f t="shared" si="68"/>
        <v/>
      </c>
      <c r="S267" s="45" t="str">
        <f t="shared" si="69"/>
        <v/>
      </c>
      <c r="T267" s="46" t="str">
        <f>IF(OR($A267="",$B267=""),"",IF(AND(IFERROR(LOOKUP(2,1/($B$9:$B$266=$B267),$AR$9:$AR266),1),NOT(AND(OR($F267="dividend",$F267="fee"),IFERROR(LOOKUP(2,1/($B$9:$B$266=$B267),$T$9:$T266),0)&gt;0))),IFERROR(LOOKUP(2,1/($B$9:$B$266=$B267),$T$9:$T266),0)+1,IFERROR(LOOKUP(2,1/($B$9:$B$266=$B267),$T$9:$T266),0)))</f>
        <v/>
      </c>
      <c r="U267" s="47" t="str">
        <f t="shared" si="70"/>
        <v/>
      </c>
      <c r="V267" s="47" t="str">
        <f>IF($A267="","",IF(OR($B267="",$C267="",$D267="",$E267="",$F267=""),"Missing required field",IF(COUNTIFS($A$9:$A267,$A267,$B$9:$B267,$B267)&gt;1,"Duplicate event ID",IF(AND($E267&lt;&gt;IFERROR(LOOKUP(2,1/($B$9:$B$266=$B267),$E$9:$E266),0),IFERROR(LOOKUP(2,1/($B$9:$B$266=$B267),$E$9:$E266),0)&gt;$E267),"Date out of order",IF(AND(OR($F267="buy_to_close",$F267="expire",$F267="roll",$F267="assignment",$F267="called_away"),$AF267=0),"Unknown lot",IF(OR(AND($F267="assignment",$AF267&gt;0,IF($AF267&gt;0,INDEX($AG$9:$AG$266,$AF267),"")&lt;&gt;"put"),AND($F267="called_away",$AF267&gt;0,IF($AF267&gt;0,INDEX($AG$9:$AG$266,$AF267),"")&lt;&gt;"call")),"Wrong option leg",IF(OR(AND(OR($F267="sell_put",$F267="sell_call"),OR($H267&lt;=0,$I267&lt;=0,$J267&lt;0)),AND(OR($F267="buy_to_close",$F267="expire",$F267="assignment",$F267="called_away"),OR($H267&lt;=0,$J267&lt;0)),AND($F267="roll",OR($H267&lt;=0,$I267&lt;=0,$J267&lt;0,$K267&lt;0)),AND(OR($F267="buy_shares",$F267="sell_shares"),OR($L267&lt;=0,$M267&lt;0)),AND(OR($F267="dividend",$F267="fee"),$N267&lt;0)),"Invalid value",IF(AND(OR($F267="sell_shares",$F267="called_away"),$AL267&lt;IF($F267="called_away",$AE267*$D267,$L267)),"Insufficient shares (capped)",IF(AND(OR($F267="buy_to_close",$F267="expire",$F267="roll",$F267="assignment",$F267="called_away"),$AF267&gt;0,$H267&gt;IF($AF267&gt;0,MAX(0,INDEX($AI$9:$AI$266,$AF267)-SUMIFS($AE$9:$AE$266,$G$9:$G$266,$G267,$B$9:$B$266,$B267)),0)),"Close quantity capped","OK")))))))))</f>
        <v/>
      </c>
      <c r="W267" s="48" t="str">
        <f t="shared" si="71"/>
        <v/>
      </c>
      <c r="X267" s="49" t="str">
        <f t="shared" si="72"/>
        <v/>
      </c>
      <c r="Y267" s="50" t="str">
        <f t="shared" si="73"/>
        <v/>
      </c>
      <c r="Z267" s="50" t="str">
        <f t="shared" si="74"/>
        <v/>
      </c>
      <c r="AA267" s="50" t="str">
        <f t="shared" si="75"/>
        <v/>
      </c>
      <c r="AB267" s="50" t="str">
        <f t="shared" si="76"/>
        <v/>
      </c>
      <c r="AC267" s="50" t="str">
        <f>IF($A267="","",IF($F267="assignment",IF($AF267&gt;0,INDEX($AH$9:$AH$266,$AF267),0)*$AE267*$D267,IF($F267="buy_shares",$M267*$AL267,0)))</f>
        <v/>
      </c>
      <c r="AD267" s="50" t="str">
        <f>IF($A267="","",IF($F267="called_away",IF($AF267&gt;0,INDEX($AH$9:$AH$266,$AF267),0)*$AL267,IF($F267="sell_shares",$M267*$AL267,0)))</f>
        <v/>
      </c>
      <c r="AE267" s="51" t="str">
        <f>IF($A267="","",IF(OR($F267="sell_put",$F267="sell_call"),IF(AND($H267&gt;0,$I267&gt;0,$J267&gt;=0),$H267,0),IF(OR($F267="buy_to_close",$F267="expire",$F267="roll",$F267="assignment",$F267="called_away"),IF(AND($AF267&gt;0,$H267&gt;0,IF($F267="assignment",IF($AF267&gt;0,INDEX($AG$9:$AG$266,$AF267),"")="put",TRUE),IF($F267="called_away",IF($AF267&gt;0,INDEX($AG$9:$AG$266,$AF267),"")="call",TRUE)),MIN($H267,IF($AF267&gt;0,MAX(0,INDEX($AI$9:$AI$266,$AF267)-SUMIFS($AE$9:$AE$266,$G$9:$G$266,$G267,$B$9:$B$266,$B267)),0)),0),0)))</f>
        <v/>
      </c>
      <c r="AF267" t="str">
        <f>IF($A267="","",IFERROR(MATCH(LEN($B267)&amp;":"&amp;$B267&amp;$G267,$AY$9:$AY$266,0),0))</f>
        <v/>
      </c>
      <c r="AG267" t="str">
        <f>IF($A267="","",IF($F267="sell_put","put",IF($F267="sell_call","call",IF($F267="roll",IF($AF267&gt;0,IF($AF267&gt;0,INDEX($AG$9:$AG$266,$AF267),""),""),IF($AF267&gt;0,IF($AF267&gt;0,INDEX($AG$9:$AG$266,$AF267),""),"")))))</f>
        <v/>
      </c>
      <c r="AH267" t="str">
        <f>IF($A267="","",IF(OR($F267="sell_put",$F267="sell_call",$F267="roll"),$I267,IF($AF267&gt;0,IF($AF267&gt;0,INDEX($AH$9:$AH$266,$AF267),0),0)))</f>
        <v/>
      </c>
      <c r="AI267" s="51" t="str">
        <f t="shared" si="77"/>
        <v/>
      </c>
      <c r="AJ267" s="51" t="str">
        <f>IF($A267="","",IFERROR(LOOKUP(2,1/($B$9:$B$266=$B267),$AM$9:$AM266),0))</f>
        <v/>
      </c>
      <c r="AK267" t="str">
        <f>IF($A267="","",IFERROR(LOOKUP(2,1/($B$9:$B$266=$B267),$AN$9:$AN266),0))</f>
        <v/>
      </c>
      <c r="AL267" s="51" t="str">
        <f t="shared" si="78"/>
        <v/>
      </c>
      <c r="AM267" s="51" t="str">
        <f t="shared" si="79"/>
        <v/>
      </c>
      <c r="AN267" t="str">
        <f t="shared" si="80"/>
        <v/>
      </c>
      <c r="AO267" s="50" t="str">
        <f>IF($A267="","",IFERROR(LOOKUP(2,1/($B$9:$B$266=$B267),$AO$9:$AO266),0)+IF($F267="sell_put",$I267*$AE267*$D267,IF($F267="roll",IF($AG267="put",($I267-IF($AF267&gt;0,INDEX($AH$9:$AH$266,$AF267),0))*$AE267*$D267,0),IF(AND(OR($F267="buy_to_close",$F267="expire",$F267="roll",$F267="assignment",$F267="called_away"),$F267&lt;&gt;"roll",$AG267="put"),-IF($AF267&gt;0,INDEX($AH$9:$AH$266,$AF267),0)*$AE267*$D267,0))))</f>
        <v/>
      </c>
      <c r="AP267" s="51" t="str">
        <f>IF($A267="","",IFERROR(LOOKUP(2,1/($B$9:$B$266=$B267),$AP$9:$AP266),0)+IF($F267="sell_put",$AE267*$D267,IF(AND(OR($F267="buy_to_close",$F267="expire",$F267="roll",$F267="assignment",$F267="called_away"),$F267&lt;&gt;"roll",$AG267="put"),-$AE267*$D267,0)))</f>
        <v/>
      </c>
      <c r="AQ267" s="51" t="str">
        <f>IF($A267="","",IFERROR(LOOKUP(2,1/($B$9:$B$266=$B267),$AQ$9:$AQ266),0)+IF(OR($F267="sell_put",$F267="sell_call"),$AE267,0)-IF(AND(OR($F267="buy_to_close",$F267="expire",$F267="roll",$F267="assignment",$F267="called_away"),$F267&lt;&gt;"roll"),$AE267,0))</f>
        <v/>
      </c>
      <c r="AR267" t="str">
        <f t="shared" si="81"/>
        <v/>
      </c>
      <c r="AS267" s="50" t="str">
        <f t="shared" si="82"/>
        <v/>
      </c>
      <c r="AT267" s="50" t="str">
        <f>IF($A267="","",MAX(IF($T267=IFERROR(LOOKUP(2,1/($B$9:$B$266=$B267),$T$9:$T266),0),IFERROR(LOOKUP(2,1/($B$9:$B$266=$B267),$AT$9:$AT266),0),0),$AS267))</f>
        <v/>
      </c>
      <c r="AU267" t="str">
        <f t="shared" si="83"/>
        <v/>
      </c>
      <c r="AV267" s="51">
        <f>IF($AU267="",0,IF(AND(IFERROR(LOOKUP(2,1/($B$9:$B$266=$B267),$AR$9:$AR266),1),NOT(AND(OR($F267="dividend",$F267="fee"),IFERROR(LOOKUP(2,1/($B$9:$B$266=$B267),$T$9:$T266),0)&gt;0))),ROW(),0))</f>
        <v>0</v>
      </c>
      <c r="AW267">
        <f>IF($A267="",0,IF($AV267&gt;0,MAX($AW$9:$AW$266)+1,MAX($AW$9:$AW$266)))</f>
        <v>0</v>
      </c>
      <c r="AX267">
        <f>IF($AU267="",0,IF(AND($AR267,OR(NOT(IFERROR(LOOKUP(2,1/($B$9:$B$266=$B267),$AR$9:$AR266),1)),IFERROR(LOOKUP(2,1/($B$9:$B$266=$B267),$T$9:$T266),0)=0)),ROW(),0))</f>
        <v>0</v>
      </c>
      <c r="AY267" t="str">
        <f t="shared" si="84"/>
        <v/>
      </c>
    </row>
    <row r="268" spans="1:51" ht="15" x14ac:dyDescent="0.25">
      <c r="A268" s="52" t="str">
        <f>IF(Trades!$A268="","",Trades!O268)</f>
        <v/>
      </c>
      <c r="B268" s="52" t="str">
        <f>IF(Trades!$A268="","",Trades!B268)</f>
        <v/>
      </c>
      <c r="C268" s="52" t="str">
        <f>IF(Trades!$A268="","",Trades!C268)</f>
        <v/>
      </c>
      <c r="D268" s="53" t="str">
        <f>IF(Trades!$A268="","",IF(Trades!$L268&gt;0,Trades!$L268,Trades!$C$6))</f>
        <v/>
      </c>
      <c r="E268" s="54" t="str">
        <f>IF(Trades!$A268="","",Trades!A268)</f>
        <v/>
      </c>
      <c r="F268" s="52" t="str">
        <f>IF(Trades!$A268="","",IFERROR(INDEX(Trades!$V$2:$V$14,MATCH(Trades!$E268,Trades!$U$2:$U$14,0)),""))</f>
        <v/>
      </c>
      <c r="G268" s="52" t="str">
        <f>IF(Trades!$A268="","",Trades!N268)</f>
        <v/>
      </c>
      <c r="H268" s="53" t="str">
        <f>IF(Trades!$A268="","",Trades!F268)</f>
        <v/>
      </c>
      <c r="I268" s="55" t="str">
        <f>IF(Trades!$A268="","",Trades!G268)</f>
        <v/>
      </c>
      <c r="J268" s="55" t="str">
        <f>IF(Trades!$A268="","",Trades!I268)</f>
        <v/>
      </c>
      <c r="K268" s="55" t="str">
        <f>IF(Trades!$A268="","",Trades!Q268)</f>
        <v/>
      </c>
      <c r="L268" s="53" t="str">
        <f>IF(Trades!$A268="","",Trades!F268)</f>
        <v/>
      </c>
      <c r="M268" s="55" t="str">
        <f>IF(Trades!$A268="","",Trades!M268)</f>
        <v/>
      </c>
      <c r="N268" s="55" t="str">
        <f>IF(Trades!$A268="","",Trades!R268)</f>
        <v/>
      </c>
      <c r="O268" s="55" t="str">
        <f>IF(Trades!$A268="","",Trades!J268)</f>
        <v/>
      </c>
      <c r="P268" s="54" t="str">
        <f>IF(Trades!$A268="","",Trades!H268)</f>
        <v/>
      </c>
      <c r="Q268" s="52" t="str">
        <f>IF(Trades!$A268="","",Trades!P268)</f>
        <v/>
      </c>
      <c r="R268" s="56" t="str">
        <f t="shared" si="68"/>
        <v/>
      </c>
      <c r="S268" s="56" t="str">
        <f t="shared" si="69"/>
        <v/>
      </c>
      <c r="T268" s="57" t="str">
        <f>IF(OR($A268="",$B268=""),"",IF(AND(IFERROR(LOOKUP(2,1/($B$9:$B$267=$B268),$AR$9:$AR267),1),NOT(AND(OR($F268="dividend",$F268="fee"),IFERROR(LOOKUP(2,1/($B$9:$B$267=$B268),$T$9:$T267),0)&gt;0))),IFERROR(LOOKUP(2,1/($B$9:$B$267=$B268),$T$9:$T267),0)+1,IFERROR(LOOKUP(2,1/($B$9:$B$267=$B268),$T$9:$T267),0)))</f>
        <v/>
      </c>
      <c r="U268" s="58" t="str">
        <f t="shared" si="70"/>
        <v/>
      </c>
      <c r="V268" s="58" t="str">
        <f>IF($A268="","",IF(OR($B268="",$C268="",$D268="",$E268="",$F268=""),"Missing required field",IF(COUNTIFS($A$9:$A268,$A268,$B$9:$B268,$B268)&gt;1,"Duplicate event ID",IF(AND($E268&lt;&gt;IFERROR(LOOKUP(2,1/($B$9:$B$267=$B268),$E$9:$E267),0),IFERROR(LOOKUP(2,1/($B$9:$B$267=$B268),$E$9:$E267),0)&gt;$E268),"Date out of order",IF(AND(OR($F268="buy_to_close",$F268="expire",$F268="roll",$F268="assignment",$F268="called_away"),$AF268=0),"Unknown lot",IF(OR(AND($F268="assignment",$AF268&gt;0,IF($AF268&gt;0,INDEX($AG$9:$AG$267,$AF268),"")&lt;&gt;"put"),AND($F268="called_away",$AF268&gt;0,IF($AF268&gt;0,INDEX($AG$9:$AG$267,$AF268),"")&lt;&gt;"call")),"Wrong option leg",IF(OR(AND(OR($F268="sell_put",$F268="sell_call"),OR($H268&lt;=0,$I268&lt;=0,$J268&lt;0)),AND(OR($F268="buy_to_close",$F268="expire",$F268="assignment",$F268="called_away"),OR($H268&lt;=0,$J268&lt;0)),AND($F268="roll",OR($H268&lt;=0,$I268&lt;=0,$J268&lt;0,$K268&lt;0)),AND(OR($F268="buy_shares",$F268="sell_shares"),OR($L268&lt;=0,$M268&lt;0)),AND(OR($F268="dividend",$F268="fee"),$N268&lt;0)),"Invalid value",IF(AND(OR($F268="sell_shares",$F268="called_away"),$AL268&lt;IF($F268="called_away",$AE268*$D268,$L268)),"Insufficient shares (capped)",IF(AND(OR($F268="buy_to_close",$F268="expire",$F268="roll",$F268="assignment",$F268="called_away"),$AF268&gt;0,$H268&gt;IF($AF268&gt;0,MAX(0,INDEX($AI$9:$AI$267,$AF268)-SUMIFS($AE$9:$AE$267,$G$9:$G$267,$G268,$B$9:$B$267,$B268)),0)),"Close quantity capped","OK")))))))))</f>
        <v/>
      </c>
      <c r="W268" s="59" t="str">
        <f t="shared" si="71"/>
        <v/>
      </c>
      <c r="X268" s="60" t="str">
        <f t="shared" si="72"/>
        <v/>
      </c>
      <c r="Y268" s="50" t="str">
        <f t="shared" si="73"/>
        <v/>
      </c>
      <c r="Z268" s="50" t="str">
        <f t="shared" si="74"/>
        <v/>
      </c>
      <c r="AA268" s="50" t="str">
        <f t="shared" si="75"/>
        <v/>
      </c>
      <c r="AB268" s="50" t="str">
        <f t="shared" si="76"/>
        <v/>
      </c>
      <c r="AC268" s="50" t="str">
        <f>IF($A268="","",IF($F268="assignment",IF($AF268&gt;0,INDEX($AH$9:$AH$267,$AF268),0)*$AE268*$D268,IF($F268="buy_shares",$M268*$AL268,0)))</f>
        <v/>
      </c>
      <c r="AD268" s="50" t="str">
        <f>IF($A268="","",IF($F268="called_away",IF($AF268&gt;0,INDEX($AH$9:$AH$267,$AF268),0)*$AL268,IF($F268="sell_shares",$M268*$AL268,0)))</f>
        <v/>
      </c>
      <c r="AE268" s="51" t="str">
        <f>IF($A268="","",IF(OR($F268="sell_put",$F268="sell_call"),IF(AND($H268&gt;0,$I268&gt;0,$J268&gt;=0),$H268,0),IF(OR($F268="buy_to_close",$F268="expire",$F268="roll",$F268="assignment",$F268="called_away"),IF(AND($AF268&gt;0,$H268&gt;0,IF($F268="assignment",IF($AF268&gt;0,INDEX($AG$9:$AG$267,$AF268),"")="put",TRUE),IF($F268="called_away",IF($AF268&gt;0,INDEX($AG$9:$AG$267,$AF268),"")="call",TRUE)),MIN($H268,IF($AF268&gt;0,MAX(0,INDEX($AI$9:$AI$267,$AF268)-SUMIFS($AE$9:$AE$267,$G$9:$G$267,$G268,$B$9:$B$267,$B268)),0)),0),0)))</f>
        <v/>
      </c>
      <c r="AF268" t="str">
        <f>IF($A268="","",IFERROR(MATCH(LEN($B268)&amp;":"&amp;$B268&amp;$G268,$AY$9:$AY$267,0),0))</f>
        <v/>
      </c>
      <c r="AG268" t="str">
        <f>IF($A268="","",IF($F268="sell_put","put",IF($F268="sell_call","call",IF($F268="roll",IF($AF268&gt;0,IF($AF268&gt;0,INDEX($AG$9:$AG$267,$AF268),""),""),IF($AF268&gt;0,IF($AF268&gt;0,INDEX($AG$9:$AG$267,$AF268),""),"")))))</f>
        <v/>
      </c>
      <c r="AH268" t="str">
        <f>IF($A268="","",IF(OR($F268="sell_put",$F268="sell_call",$F268="roll"),$I268,IF($AF268&gt;0,IF($AF268&gt;0,INDEX($AH$9:$AH$267,$AF268),0),0)))</f>
        <v/>
      </c>
      <c r="AI268" s="51" t="str">
        <f t="shared" si="77"/>
        <v/>
      </c>
      <c r="AJ268" s="51" t="str">
        <f>IF($A268="","",IFERROR(LOOKUP(2,1/($B$9:$B$267=$B268),$AM$9:$AM267),0))</f>
        <v/>
      </c>
      <c r="AK268" t="str">
        <f>IF($A268="","",IFERROR(LOOKUP(2,1/($B$9:$B$267=$B268),$AN$9:$AN267),0))</f>
        <v/>
      </c>
      <c r="AL268" s="51" t="str">
        <f t="shared" si="78"/>
        <v/>
      </c>
      <c r="AM268" s="51" t="str">
        <f t="shared" si="79"/>
        <v/>
      </c>
      <c r="AN268" t="str">
        <f t="shared" si="80"/>
        <v/>
      </c>
      <c r="AO268" s="50" t="str">
        <f>IF($A268="","",IFERROR(LOOKUP(2,1/($B$9:$B$267=$B268),$AO$9:$AO267),0)+IF($F268="sell_put",$I268*$AE268*$D268,IF($F268="roll",IF($AG268="put",($I268-IF($AF268&gt;0,INDEX($AH$9:$AH$267,$AF268),0))*$AE268*$D268,0),IF(AND(OR($F268="buy_to_close",$F268="expire",$F268="roll",$F268="assignment",$F268="called_away"),$F268&lt;&gt;"roll",$AG268="put"),-IF($AF268&gt;0,INDEX($AH$9:$AH$267,$AF268),0)*$AE268*$D268,0))))</f>
        <v/>
      </c>
      <c r="AP268" s="51" t="str">
        <f>IF($A268="","",IFERROR(LOOKUP(2,1/($B$9:$B$267=$B268),$AP$9:$AP267),0)+IF($F268="sell_put",$AE268*$D268,IF(AND(OR($F268="buy_to_close",$F268="expire",$F268="roll",$F268="assignment",$F268="called_away"),$F268&lt;&gt;"roll",$AG268="put"),-$AE268*$D268,0)))</f>
        <v/>
      </c>
      <c r="AQ268" s="51" t="str">
        <f>IF($A268="","",IFERROR(LOOKUP(2,1/($B$9:$B$267=$B268),$AQ$9:$AQ267),0)+IF(OR($F268="sell_put",$F268="sell_call"),$AE268,0)-IF(AND(OR($F268="buy_to_close",$F268="expire",$F268="roll",$F268="assignment",$F268="called_away"),$F268&lt;&gt;"roll"),$AE268,0))</f>
        <v/>
      </c>
      <c r="AR268" t="str">
        <f t="shared" si="81"/>
        <v/>
      </c>
      <c r="AS268" s="50" t="str">
        <f t="shared" si="82"/>
        <v/>
      </c>
      <c r="AT268" s="50" t="str">
        <f>IF($A268="","",MAX(IF($T268=IFERROR(LOOKUP(2,1/($B$9:$B$267=$B268),$T$9:$T267),0),IFERROR(LOOKUP(2,1/($B$9:$B$267=$B268),$AT$9:$AT267),0),0),$AS268))</f>
        <v/>
      </c>
      <c r="AU268" t="str">
        <f t="shared" si="83"/>
        <v/>
      </c>
      <c r="AV268" s="51">
        <f>IF($AU268="",0,IF(AND(IFERROR(LOOKUP(2,1/($B$9:$B$267=$B268),$AR$9:$AR267),1),NOT(AND(OR($F268="dividend",$F268="fee"),IFERROR(LOOKUP(2,1/($B$9:$B$267=$B268),$T$9:$T267),0)&gt;0))),ROW(),0))</f>
        <v>0</v>
      </c>
      <c r="AW268">
        <f>IF($A268="",0,IF($AV268&gt;0,MAX($AW$9:$AW$267)+1,MAX($AW$9:$AW$267)))</f>
        <v>0</v>
      </c>
      <c r="AX268">
        <f>IF($AU268="",0,IF(AND($AR268,OR(NOT(IFERROR(LOOKUP(2,1/($B$9:$B$267=$B268),$AR$9:$AR267),1)),IFERROR(LOOKUP(2,1/($B$9:$B$267=$B268),$T$9:$T267),0)=0)),ROW(),0))</f>
        <v>0</v>
      </c>
      <c r="AY268" t="str">
        <f t="shared" si="84"/>
        <v/>
      </c>
    </row>
    <row r="269" spans="1:51" ht="15" x14ac:dyDescent="0.25">
      <c r="A269" s="41" t="str">
        <f>IF(Trades!$A269="","",Trades!O269)</f>
        <v/>
      </c>
      <c r="B269" s="41" t="str">
        <f>IF(Trades!$A269="","",Trades!B269)</f>
        <v/>
      </c>
      <c r="C269" s="41" t="str">
        <f>IF(Trades!$A269="","",Trades!C269)</f>
        <v/>
      </c>
      <c r="D269" s="42" t="str">
        <f>IF(Trades!$A269="","",IF(Trades!$L269&gt;0,Trades!$L269,Trades!$C$6))</f>
        <v/>
      </c>
      <c r="E269" s="43" t="str">
        <f>IF(Trades!$A269="","",Trades!A269)</f>
        <v/>
      </c>
      <c r="F269" s="41" t="str">
        <f>IF(Trades!$A269="","",IFERROR(INDEX(Trades!$V$2:$V$14,MATCH(Trades!$E269,Trades!$U$2:$U$14,0)),""))</f>
        <v/>
      </c>
      <c r="G269" s="41" t="str">
        <f>IF(Trades!$A269="","",Trades!N269)</f>
        <v/>
      </c>
      <c r="H269" s="42" t="str">
        <f>IF(Trades!$A269="","",Trades!F269)</f>
        <v/>
      </c>
      <c r="I269" s="44" t="str">
        <f>IF(Trades!$A269="","",Trades!G269)</f>
        <v/>
      </c>
      <c r="J269" s="44" t="str">
        <f>IF(Trades!$A269="","",Trades!I269)</f>
        <v/>
      </c>
      <c r="K269" s="44" t="str">
        <f>IF(Trades!$A269="","",Trades!Q269)</f>
        <v/>
      </c>
      <c r="L269" s="42" t="str">
        <f>IF(Trades!$A269="","",Trades!F269)</f>
        <v/>
      </c>
      <c r="M269" s="44" t="str">
        <f>IF(Trades!$A269="","",Trades!M269)</f>
        <v/>
      </c>
      <c r="N269" s="44" t="str">
        <f>IF(Trades!$A269="","",Trades!R269)</f>
        <v/>
      </c>
      <c r="O269" s="44" t="str">
        <f>IF(Trades!$A269="","",Trades!J269)</f>
        <v/>
      </c>
      <c r="P269" s="43" t="str">
        <f>IF(Trades!$A269="","",Trades!H269)</f>
        <v/>
      </c>
      <c r="Q269" s="41" t="str">
        <f>IF(Trades!$A269="","",Trades!P269)</f>
        <v/>
      </c>
      <c r="R269" s="45" t="str">
        <f t="shared" si="68"/>
        <v/>
      </c>
      <c r="S269" s="45" t="str">
        <f t="shared" si="69"/>
        <v/>
      </c>
      <c r="T269" s="46" t="str">
        <f>IF(OR($A269="",$B269=""),"",IF(AND(IFERROR(LOOKUP(2,1/($B$9:$B$268=$B269),$AR$9:$AR268),1),NOT(AND(OR($F269="dividend",$F269="fee"),IFERROR(LOOKUP(2,1/($B$9:$B$268=$B269),$T$9:$T268),0)&gt;0))),IFERROR(LOOKUP(2,1/($B$9:$B$268=$B269),$T$9:$T268),0)+1,IFERROR(LOOKUP(2,1/($B$9:$B$268=$B269),$T$9:$T268),0)))</f>
        <v/>
      </c>
      <c r="U269" s="47" t="str">
        <f t="shared" si="70"/>
        <v/>
      </c>
      <c r="V269" s="47" t="str">
        <f>IF($A269="","",IF(OR($B269="",$C269="",$D269="",$E269="",$F269=""),"Missing required field",IF(COUNTIFS($A$9:$A269,$A269,$B$9:$B269,$B269)&gt;1,"Duplicate event ID",IF(AND($E269&lt;&gt;IFERROR(LOOKUP(2,1/($B$9:$B$268=$B269),$E$9:$E268),0),IFERROR(LOOKUP(2,1/($B$9:$B$268=$B269),$E$9:$E268),0)&gt;$E269),"Date out of order",IF(AND(OR($F269="buy_to_close",$F269="expire",$F269="roll",$F269="assignment",$F269="called_away"),$AF269=0),"Unknown lot",IF(OR(AND($F269="assignment",$AF269&gt;0,IF($AF269&gt;0,INDEX($AG$9:$AG$268,$AF269),"")&lt;&gt;"put"),AND($F269="called_away",$AF269&gt;0,IF($AF269&gt;0,INDEX($AG$9:$AG$268,$AF269),"")&lt;&gt;"call")),"Wrong option leg",IF(OR(AND(OR($F269="sell_put",$F269="sell_call"),OR($H269&lt;=0,$I269&lt;=0,$J269&lt;0)),AND(OR($F269="buy_to_close",$F269="expire",$F269="assignment",$F269="called_away"),OR($H269&lt;=0,$J269&lt;0)),AND($F269="roll",OR($H269&lt;=0,$I269&lt;=0,$J269&lt;0,$K269&lt;0)),AND(OR($F269="buy_shares",$F269="sell_shares"),OR($L269&lt;=0,$M269&lt;0)),AND(OR($F269="dividend",$F269="fee"),$N269&lt;0)),"Invalid value",IF(AND(OR($F269="sell_shares",$F269="called_away"),$AL269&lt;IF($F269="called_away",$AE269*$D269,$L269)),"Insufficient shares (capped)",IF(AND(OR($F269="buy_to_close",$F269="expire",$F269="roll",$F269="assignment",$F269="called_away"),$AF269&gt;0,$H269&gt;IF($AF269&gt;0,MAX(0,INDEX($AI$9:$AI$268,$AF269)-SUMIFS($AE$9:$AE$268,$G$9:$G$268,$G269,$B$9:$B$268,$B269)),0)),"Close quantity capped","OK")))))))))</f>
        <v/>
      </c>
      <c r="W269" s="48" t="str">
        <f t="shared" si="71"/>
        <v/>
      </c>
      <c r="X269" s="49" t="str">
        <f t="shared" si="72"/>
        <v/>
      </c>
      <c r="Y269" s="50" t="str">
        <f t="shared" si="73"/>
        <v/>
      </c>
      <c r="Z269" s="50" t="str">
        <f t="shared" si="74"/>
        <v/>
      </c>
      <c r="AA269" s="50" t="str">
        <f t="shared" si="75"/>
        <v/>
      </c>
      <c r="AB269" s="50" t="str">
        <f t="shared" si="76"/>
        <v/>
      </c>
      <c r="AC269" s="50" t="str">
        <f>IF($A269="","",IF($F269="assignment",IF($AF269&gt;0,INDEX($AH$9:$AH$268,$AF269),0)*$AE269*$D269,IF($F269="buy_shares",$M269*$AL269,0)))</f>
        <v/>
      </c>
      <c r="AD269" s="50" t="str">
        <f>IF($A269="","",IF($F269="called_away",IF($AF269&gt;0,INDEX($AH$9:$AH$268,$AF269),0)*$AL269,IF($F269="sell_shares",$M269*$AL269,0)))</f>
        <v/>
      </c>
      <c r="AE269" s="51" t="str">
        <f>IF($A269="","",IF(OR($F269="sell_put",$F269="sell_call"),IF(AND($H269&gt;0,$I269&gt;0,$J269&gt;=0),$H269,0),IF(OR($F269="buy_to_close",$F269="expire",$F269="roll",$F269="assignment",$F269="called_away"),IF(AND($AF269&gt;0,$H269&gt;0,IF($F269="assignment",IF($AF269&gt;0,INDEX($AG$9:$AG$268,$AF269),"")="put",TRUE),IF($F269="called_away",IF($AF269&gt;0,INDEX($AG$9:$AG$268,$AF269),"")="call",TRUE)),MIN($H269,IF($AF269&gt;0,MAX(0,INDEX($AI$9:$AI$268,$AF269)-SUMIFS($AE$9:$AE$268,$G$9:$G$268,$G269,$B$9:$B$268,$B269)),0)),0),0)))</f>
        <v/>
      </c>
      <c r="AF269" t="str">
        <f>IF($A269="","",IFERROR(MATCH(LEN($B269)&amp;":"&amp;$B269&amp;$G269,$AY$9:$AY$268,0),0))</f>
        <v/>
      </c>
      <c r="AG269" t="str">
        <f>IF($A269="","",IF($F269="sell_put","put",IF($F269="sell_call","call",IF($F269="roll",IF($AF269&gt;0,IF($AF269&gt;0,INDEX($AG$9:$AG$268,$AF269),""),""),IF($AF269&gt;0,IF($AF269&gt;0,INDEX($AG$9:$AG$268,$AF269),""),"")))))</f>
        <v/>
      </c>
      <c r="AH269" t="str">
        <f>IF($A269="","",IF(OR($F269="sell_put",$F269="sell_call",$F269="roll"),$I269,IF($AF269&gt;0,IF($AF269&gt;0,INDEX($AH$9:$AH$268,$AF269),0),0)))</f>
        <v/>
      </c>
      <c r="AI269" s="51" t="str">
        <f t="shared" si="77"/>
        <v/>
      </c>
      <c r="AJ269" s="51" t="str">
        <f>IF($A269="","",IFERROR(LOOKUP(2,1/($B$9:$B$268=$B269),$AM$9:$AM268),0))</f>
        <v/>
      </c>
      <c r="AK269" t="str">
        <f>IF($A269="","",IFERROR(LOOKUP(2,1/($B$9:$B$268=$B269),$AN$9:$AN268),0))</f>
        <v/>
      </c>
      <c r="AL269" s="51" t="str">
        <f t="shared" si="78"/>
        <v/>
      </c>
      <c r="AM269" s="51" t="str">
        <f t="shared" si="79"/>
        <v/>
      </c>
      <c r="AN269" t="str">
        <f t="shared" si="80"/>
        <v/>
      </c>
      <c r="AO269" s="50" t="str">
        <f>IF($A269="","",IFERROR(LOOKUP(2,1/($B$9:$B$268=$B269),$AO$9:$AO268),0)+IF($F269="sell_put",$I269*$AE269*$D269,IF($F269="roll",IF($AG269="put",($I269-IF($AF269&gt;0,INDEX($AH$9:$AH$268,$AF269),0))*$AE269*$D269,0),IF(AND(OR($F269="buy_to_close",$F269="expire",$F269="roll",$F269="assignment",$F269="called_away"),$F269&lt;&gt;"roll",$AG269="put"),-IF($AF269&gt;0,INDEX($AH$9:$AH$268,$AF269),0)*$AE269*$D269,0))))</f>
        <v/>
      </c>
      <c r="AP269" s="51" t="str">
        <f>IF($A269="","",IFERROR(LOOKUP(2,1/($B$9:$B$268=$B269),$AP$9:$AP268),0)+IF($F269="sell_put",$AE269*$D269,IF(AND(OR($F269="buy_to_close",$F269="expire",$F269="roll",$F269="assignment",$F269="called_away"),$F269&lt;&gt;"roll",$AG269="put"),-$AE269*$D269,0)))</f>
        <v/>
      </c>
      <c r="AQ269" s="51" t="str">
        <f>IF($A269="","",IFERROR(LOOKUP(2,1/($B$9:$B$268=$B269),$AQ$9:$AQ268),0)+IF(OR($F269="sell_put",$F269="sell_call"),$AE269,0)-IF(AND(OR($F269="buy_to_close",$F269="expire",$F269="roll",$F269="assignment",$F269="called_away"),$F269&lt;&gt;"roll"),$AE269,0))</f>
        <v/>
      </c>
      <c r="AR269" t="str">
        <f t="shared" si="81"/>
        <v/>
      </c>
      <c r="AS269" s="50" t="str">
        <f t="shared" si="82"/>
        <v/>
      </c>
      <c r="AT269" s="50" t="str">
        <f>IF($A269="","",MAX(IF($T269=IFERROR(LOOKUP(2,1/($B$9:$B$268=$B269),$T$9:$T268),0),IFERROR(LOOKUP(2,1/($B$9:$B$268=$B269),$AT$9:$AT268),0),0),$AS269))</f>
        <v/>
      </c>
      <c r="AU269" t="str">
        <f t="shared" si="83"/>
        <v/>
      </c>
      <c r="AV269" s="51">
        <f>IF($AU269="",0,IF(AND(IFERROR(LOOKUP(2,1/($B$9:$B$268=$B269),$AR$9:$AR268),1),NOT(AND(OR($F269="dividend",$F269="fee"),IFERROR(LOOKUP(2,1/($B$9:$B$268=$B269),$T$9:$T268),0)&gt;0))),ROW(),0))</f>
        <v>0</v>
      </c>
      <c r="AW269">
        <f>IF($A269="",0,IF($AV269&gt;0,MAX($AW$9:$AW$268)+1,MAX($AW$9:$AW$268)))</f>
        <v>0</v>
      </c>
      <c r="AX269">
        <f>IF($AU269="",0,IF(AND($AR269,OR(NOT(IFERROR(LOOKUP(2,1/($B$9:$B$268=$B269),$AR$9:$AR268),1)),IFERROR(LOOKUP(2,1/($B$9:$B$268=$B269),$T$9:$T268),0)=0)),ROW(),0))</f>
        <v>0</v>
      </c>
      <c r="AY269" t="str">
        <f t="shared" si="84"/>
        <v/>
      </c>
    </row>
    <row r="270" spans="1:51" ht="15" x14ac:dyDescent="0.25">
      <c r="A270" s="52" t="str">
        <f>IF(Trades!$A270="","",Trades!O270)</f>
        <v/>
      </c>
      <c r="B270" s="52" t="str">
        <f>IF(Trades!$A270="","",Trades!B270)</f>
        <v/>
      </c>
      <c r="C270" s="52" t="str">
        <f>IF(Trades!$A270="","",Trades!C270)</f>
        <v/>
      </c>
      <c r="D270" s="53" t="str">
        <f>IF(Trades!$A270="","",IF(Trades!$L270&gt;0,Trades!$L270,Trades!$C$6))</f>
        <v/>
      </c>
      <c r="E270" s="54" t="str">
        <f>IF(Trades!$A270="","",Trades!A270)</f>
        <v/>
      </c>
      <c r="F270" s="52" t="str">
        <f>IF(Trades!$A270="","",IFERROR(INDEX(Trades!$V$2:$V$14,MATCH(Trades!$E270,Trades!$U$2:$U$14,0)),""))</f>
        <v/>
      </c>
      <c r="G270" s="52" t="str">
        <f>IF(Trades!$A270="","",Trades!N270)</f>
        <v/>
      </c>
      <c r="H270" s="53" t="str">
        <f>IF(Trades!$A270="","",Trades!F270)</f>
        <v/>
      </c>
      <c r="I270" s="55" t="str">
        <f>IF(Trades!$A270="","",Trades!G270)</f>
        <v/>
      </c>
      <c r="J270" s="55" t="str">
        <f>IF(Trades!$A270="","",Trades!I270)</f>
        <v/>
      </c>
      <c r="K270" s="55" t="str">
        <f>IF(Trades!$A270="","",Trades!Q270)</f>
        <v/>
      </c>
      <c r="L270" s="53" t="str">
        <f>IF(Trades!$A270="","",Trades!F270)</f>
        <v/>
      </c>
      <c r="M270" s="55" t="str">
        <f>IF(Trades!$A270="","",Trades!M270)</f>
        <v/>
      </c>
      <c r="N270" s="55" t="str">
        <f>IF(Trades!$A270="","",Trades!R270)</f>
        <v/>
      </c>
      <c r="O270" s="55" t="str">
        <f>IF(Trades!$A270="","",Trades!J270)</f>
        <v/>
      </c>
      <c r="P270" s="54" t="str">
        <f>IF(Trades!$A270="","",Trades!H270)</f>
        <v/>
      </c>
      <c r="Q270" s="52" t="str">
        <f>IF(Trades!$A270="","",Trades!P270)</f>
        <v/>
      </c>
      <c r="R270" s="56" t="str">
        <f t="shared" si="68"/>
        <v/>
      </c>
      <c r="S270" s="56" t="str">
        <f t="shared" si="69"/>
        <v/>
      </c>
      <c r="T270" s="57" t="str">
        <f>IF(OR($A270="",$B270=""),"",IF(AND(IFERROR(LOOKUP(2,1/($B$9:$B$269=$B270),$AR$9:$AR269),1),NOT(AND(OR($F270="dividend",$F270="fee"),IFERROR(LOOKUP(2,1/($B$9:$B$269=$B270),$T$9:$T269),0)&gt;0))),IFERROR(LOOKUP(2,1/($B$9:$B$269=$B270),$T$9:$T269),0)+1,IFERROR(LOOKUP(2,1/($B$9:$B$269=$B270),$T$9:$T269),0)))</f>
        <v/>
      </c>
      <c r="U270" s="58" t="str">
        <f t="shared" si="70"/>
        <v/>
      </c>
      <c r="V270" s="58" t="str">
        <f>IF($A270="","",IF(OR($B270="",$C270="",$D270="",$E270="",$F270=""),"Missing required field",IF(COUNTIFS($A$9:$A270,$A270,$B$9:$B270,$B270)&gt;1,"Duplicate event ID",IF(AND($E270&lt;&gt;IFERROR(LOOKUP(2,1/($B$9:$B$269=$B270),$E$9:$E269),0),IFERROR(LOOKUP(2,1/($B$9:$B$269=$B270),$E$9:$E269),0)&gt;$E270),"Date out of order",IF(AND(OR($F270="buy_to_close",$F270="expire",$F270="roll",$F270="assignment",$F270="called_away"),$AF270=0),"Unknown lot",IF(OR(AND($F270="assignment",$AF270&gt;0,IF($AF270&gt;0,INDEX($AG$9:$AG$269,$AF270),"")&lt;&gt;"put"),AND($F270="called_away",$AF270&gt;0,IF($AF270&gt;0,INDEX($AG$9:$AG$269,$AF270),"")&lt;&gt;"call")),"Wrong option leg",IF(OR(AND(OR($F270="sell_put",$F270="sell_call"),OR($H270&lt;=0,$I270&lt;=0,$J270&lt;0)),AND(OR($F270="buy_to_close",$F270="expire",$F270="assignment",$F270="called_away"),OR($H270&lt;=0,$J270&lt;0)),AND($F270="roll",OR($H270&lt;=0,$I270&lt;=0,$J270&lt;0,$K270&lt;0)),AND(OR($F270="buy_shares",$F270="sell_shares"),OR($L270&lt;=0,$M270&lt;0)),AND(OR($F270="dividend",$F270="fee"),$N270&lt;0)),"Invalid value",IF(AND(OR($F270="sell_shares",$F270="called_away"),$AL270&lt;IF($F270="called_away",$AE270*$D270,$L270)),"Insufficient shares (capped)",IF(AND(OR($F270="buy_to_close",$F270="expire",$F270="roll",$F270="assignment",$F270="called_away"),$AF270&gt;0,$H270&gt;IF($AF270&gt;0,MAX(0,INDEX($AI$9:$AI$269,$AF270)-SUMIFS($AE$9:$AE$269,$G$9:$G$269,$G270,$B$9:$B$269,$B270)),0)),"Close quantity capped","OK")))))))))</f>
        <v/>
      </c>
      <c r="W270" s="59" t="str">
        <f t="shared" si="71"/>
        <v/>
      </c>
      <c r="X270" s="60" t="str">
        <f t="shared" si="72"/>
        <v/>
      </c>
      <c r="Y270" s="50" t="str">
        <f t="shared" si="73"/>
        <v/>
      </c>
      <c r="Z270" s="50" t="str">
        <f t="shared" si="74"/>
        <v/>
      </c>
      <c r="AA270" s="50" t="str">
        <f t="shared" si="75"/>
        <v/>
      </c>
      <c r="AB270" s="50" t="str">
        <f t="shared" si="76"/>
        <v/>
      </c>
      <c r="AC270" s="50" t="str">
        <f>IF($A270="","",IF($F270="assignment",IF($AF270&gt;0,INDEX($AH$9:$AH$269,$AF270),0)*$AE270*$D270,IF($F270="buy_shares",$M270*$AL270,0)))</f>
        <v/>
      </c>
      <c r="AD270" s="50" t="str">
        <f>IF($A270="","",IF($F270="called_away",IF($AF270&gt;0,INDEX($AH$9:$AH$269,$AF270),0)*$AL270,IF($F270="sell_shares",$M270*$AL270,0)))</f>
        <v/>
      </c>
      <c r="AE270" s="51" t="str">
        <f>IF($A270="","",IF(OR($F270="sell_put",$F270="sell_call"),IF(AND($H270&gt;0,$I270&gt;0,$J270&gt;=0),$H270,0),IF(OR($F270="buy_to_close",$F270="expire",$F270="roll",$F270="assignment",$F270="called_away"),IF(AND($AF270&gt;0,$H270&gt;0,IF($F270="assignment",IF($AF270&gt;0,INDEX($AG$9:$AG$269,$AF270),"")="put",TRUE),IF($F270="called_away",IF($AF270&gt;0,INDEX($AG$9:$AG$269,$AF270),"")="call",TRUE)),MIN($H270,IF($AF270&gt;0,MAX(0,INDEX($AI$9:$AI$269,$AF270)-SUMIFS($AE$9:$AE$269,$G$9:$G$269,$G270,$B$9:$B$269,$B270)),0)),0),0)))</f>
        <v/>
      </c>
      <c r="AF270" t="str">
        <f>IF($A270="","",IFERROR(MATCH(LEN($B270)&amp;":"&amp;$B270&amp;$G270,$AY$9:$AY$269,0),0))</f>
        <v/>
      </c>
      <c r="AG270" t="str">
        <f>IF($A270="","",IF($F270="sell_put","put",IF($F270="sell_call","call",IF($F270="roll",IF($AF270&gt;0,IF($AF270&gt;0,INDEX($AG$9:$AG$269,$AF270),""),""),IF($AF270&gt;0,IF($AF270&gt;0,INDEX($AG$9:$AG$269,$AF270),""),"")))))</f>
        <v/>
      </c>
      <c r="AH270" t="str">
        <f>IF($A270="","",IF(OR($F270="sell_put",$F270="sell_call",$F270="roll"),$I270,IF($AF270&gt;0,IF($AF270&gt;0,INDEX($AH$9:$AH$269,$AF270),0),0)))</f>
        <v/>
      </c>
      <c r="AI270" s="51" t="str">
        <f t="shared" si="77"/>
        <v/>
      </c>
      <c r="AJ270" s="51" t="str">
        <f>IF($A270="","",IFERROR(LOOKUP(2,1/($B$9:$B$269=$B270),$AM$9:$AM269),0))</f>
        <v/>
      </c>
      <c r="AK270" t="str">
        <f>IF($A270="","",IFERROR(LOOKUP(2,1/($B$9:$B$269=$B270),$AN$9:$AN269),0))</f>
        <v/>
      </c>
      <c r="AL270" s="51" t="str">
        <f t="shared" si="78"/>
        <v/>
      </c>
      <c r="AM270" s="51" t="str">
        <f t="shared" si="79"/>
        <v/>
      </c>
      <c r="AN270" t="str">
        <f t="shared" si="80"/>
        <v/>
      </c>
      <c r="AO270" s="50" t="str">
        <f>IF($A270="","",IFERROR(LOOKUP(2,1/($B$9:$B$269=$B270),$AO$9:$AO269),0)+IF($F270="sell_put",$I270*$AE270*$D270,IF($F270="roll",IF($AG270="put",($I270-IF($AF270&gt;0,INDEX($AH$9:$AH$269,$AF270),0))*$AE270*$D270,0),IF(AND(OR($F270="buy_to_close",$F270="expire",$F270="roll",$F270="assignment",$F270="called_away"),$F270&lt;&gt;"roll",$AG270="put"),-IF($AF270&gt;0,INDEX($AH$9:$AH$269,$AF270),0)*$AE270*$D270,0))))</f>
        <v/>
      </c>
      <c r="AP270" s="51" t="str">
        <f>IF($A270="","",IFERROR(LOOKUP(2,1/($B$9:$B$269=$B270),$AP$9:$AP269),0)+IF($F270="sell_put",$AE270*$D270,IF(AND(OR($F270="buy_to_close",$F270="expire",$F270="roll",$F270="assignment",$F270="called_away"),$F270&lt;&gt;"roll",$AG270="put"),-$AE270*$D270,0)))</f>
        <v/>
      </c>
      <c r="AQ270" s="51" t="str">
        <f>IF($A270="","",IFERROR(LOOKUP(2,1/($B$9:$B$269=$B270),$AQ$9:$AQ269),0)+IF(OR($F270="sell_put",$F270="sell_call"),$AE270,0)-IF(AND(OR($F270="buy_to_close",$F270="expire",$F270="roll",$F270="assignment",$F270="called_away"),$F270&lt;&gt;"roll"),$AE270,0))</f>
        <v/>
      </c>
      <c r="AR270" t="str">
        <f t="shared" si="81"/>
        <v/>
      </c>
      <c r="AS270" s="50" t="str">
        <f t="shared" si="82"/>
        <v/>
      </c>
      <c r="AT270" s="50" t="str">
        <f>IF($A270="","",MAX(IF($T270=IFERROR(LOOKUP(2,1/($B$9:$B$269=$B270),$T$9:$T269),0),IFERROR(LOOKUP(2,1/($B$9:$B$269=$B270),$AT$9:$AT269),0),0),$AS270))</f>
        <v/>
      </c>
      <c r="AU270" t="str">
        <f t="shared" si="83"/>
        <v/>
      </c>
      <c r="AV270" s="51">
        <f>IF($AU270="",0,IF(AND(IFERROR(LOOKUP(2,1/($B$9:$B$269=$B270),$AR$9:$AR269),1),NOT(AND(OR($F270="dividend",$F270="fee"),IFERROR(LOOKUP(2,1/($B$9:$B$269=$B270),$T$9:$T269),0)&gt;0))),ROW(),0))</f>
        <v>0</v>
      </c>
      <c r="AW270">
        <f>IF($A270="",0,IF($AV270&gt;0,MAX($AW$9:$AW$269)+1,MAX($AW$9:$AW$269)))</f>
        <v>0</v>
      </c>
      <c r="AX270">
        <f>IF($AU270="",0,IF(AND($AR270,OR(NOT(IFERROR(LOOKUP(2,1/($B$9:$B$269=$B270),$AR$9:$AR269),1)),IFERROR(LOOKUP(2,1/($B$9:$B$269=$B270),$T$9:$T269),0)=0)),ROW(),0))</f>
        <v>0</v>
      </c>
      <c r="AY270" t="str">
        <f t="shared" si="84"/>
        <v/>
      </c>
    </row>
    <row r="271" spans="1:51" ht="15" x14ac:dyDescent="0.25">
      <c r="A271" s="41" t="str">
        <f>IF(Trades!$A271="","",Trades!O271)</f>
        <v/>
      </c>
      <c r="B271" s="41" t="str">
        <f>IF(Trades!$A271="","",Trades!B271)</f>
        <v/>
      </c>
      <c r="C271" s="41" t="str">
        <f>IF(Trades!$A271="","",Trades!C271)</f>
        <v/>
      </c>
      <c r="D271" s="42" t="str">
        <f>IF(Trades!$A271="","",IF(Trades!$L271&gt;0,Trades!$L271,Trades!$C$6))</f>
        <v/>
      </c>
      <c r="E271" s="43" t="str">
        <f>IF(Trades!$A271="","",Trades!A271)</f>
        <v/>
      </c>
      <c r="F271" s="41" t="str">
        <f>IF(Trades!$A271="","",IFERROR(INDEX(Trades!$V$2:$V$14,MATCH(Trades!$E271,Trades!$U$2:$U$14,0)),""))</f>
        <v/>
      </c>
      <c r="G271" s="41" t="str">
        <f>IF(Trades!$A271="","",Trades!N271)</f>
        <v/>
      </c>
      <c r="H271" s="42" t="str">
        <f>IF(Trades!$A271="","",Trades!F271)</f>
        <v/>
      </c>
      <c r="I271" s="44" t="str">
        <f>IF(Trades!$A271="","",Trades!G271)</f>
        <v/>
      </c>
      <c r="J271" s="44" t="str">
        <f>IF(Trades!$A271="","",Trades!I271)</f>
        <v/>
      </c>
      <c r="K271" s="44" t="str">
        <f>IF(Trades!$A271="","",Trades!Q271)</f>
        <v/>
      </c>
      <c r="L271" s="42" t="str">
        <f>IF(Trades!$A271="","",Trades!F271)</f>
        <v/>
      </c>
      <c r="M271" s="44" t="str">
        <f>IF(Trades!$A271="","",Trades!M271)</f>
        <v/>
      </c>
      <c r="N271" s="44" t="str">
        <f>IF(Trades!$A271="","",Trades!R271)</f>
        <v/>
      </c>
      <c r="O271" s="44" t="str">
        <f>IF(Trades!$A271="","",Trades!J271)</f>
        <v/>
      </c>
      <c r="P271" s="43" t="str">
        <f>IF(Trades!$A271="","",Trades!H271)</f>
        <v/>
      </c>
      <c r="Q271" s="41" t="str">
        <f>IF(Trades!$A271="","",Trades!P271)</f>
        <v/>
      </c>
      <c r="R271" s="45" t="str">
        <f t="shared" si="68"/>
        <v/>
      </c>
      <c r="S271" s="45" t="str">
        <f t="shared" si="69"/>
        <v/>
      </c>
      <c r="T271" s="46" t="str">
        <f>IF(OR($A271="",$B271=""),"",IF(AND(IFERROR(LOOKUP(2,1/($B$9:$B$270=$B271),$AR$9:$AR270),1),NOT(AND(OR($F271="dividend",$F271="fee"),IFERROR(LOOKUP(2,1/($B$9:$B$270=$B271),$T$9:$T270),0)&gt;0))),IFERROR(LOOKUP(2,1/($B$9:$B$270=$B271),$T$9:$T270),0)+1,IFERROR(LOOKUP(2,1/($B$9:$B$270=$B271),$T$9:$T270),0)))</f>
        <v/>
      </c>
      <c r="U271" s="47" t="str">
        <f t="shared" si="70"/>
        <v/>
      </c>
      <c r="V271" s="47" t="str">
        <f>IF($A271="","",IF(OR($B271="",$C271="",$D271="",$E271="",$F271=""),"Missing required field",IF(COUNTIFS($A$9:$A271,$A271,$B$9:$B271,$B271)&gt;1,"Duplicate event ID",IF(AND($E271&lt;&gt;IFERROR(LOOKUP(2,1/($B$9:$B$270=$B271),$E$9:$E270),0),IFERROR(LOOKUP(2,1/($B$9:$B$270=$B271),$E$9:$E270),0)&gt;$E271),"Date out of order",IF(AND(OR($F271="buy_to_close",$F271="expire",$F271="roll",$F271="assignment",$F271="called_away"),$AF271=0),"Unknown lot",IF(OR(AND($F271="assignment",$AF271&gt;0,IF($AF271&gt;0,INDEX($AG$9:$AG$270,$AF271),"")&lt;&gt;"put"),AND($F271="called_away",$AF271&gt;0,IF($AF271&gt;0,INDEX($AG$9:$AG$270,$AF271),"")&lt;&gt;"call")),"Wrong option leg",IF(OR(AND(OR($F271="sell_put",$F271="sell_call"),OR($H271&lt;=0,$I271&lt;=0,$J271&lt;0)),AND(OR($F271="buy_to_close",$F271="expire",$F271="assignment",$F271="called_away"),OR($H271&lt;=0,$J271&lt;0)),AND($F271="roll",OR($H271&lt;=0,$I271&lt;=0,$J271&lt;0,$K271&lt;0)),AND(OR($F271="buy_shares",$F271="sell_shares"),OR($L271&lt;=0,$M271&lt;0)),AND(OR($F271="dividend",$F271="fee"),$N271&lt;0)),"Invalid value",IF(AND(OR($F271="sell_shares",$F271="called_away"),$AL271&lt;IF($F271="called_away",$AE271*$D271,$L271)),"Insufficient shares (capped)",IF(AND(OR($F271="buy_to_close",$F271="expire",$F271="roll",$F271="assignment",$F271="called_away"),$AF271&gt;0,$H271&gt;IF($AF271&gt;0,MAX(0,INDEX($AI$9:$AI$270,$AF271)-SUMIFS($AE$9:$AE$270,$G$9:$G$270,$G271,$B$9:$B$270,$B271)),0)),"Close quantity capped","OK")))))))))</f>
        <v/>
      </c>
      <c r="W271" s="48" t="str">
        <f t="shared" si="71"/>
        <v/>
      </c>
      <c r="X271" s="49" t="str">
        <f t="shared" si="72"/>
        <v/>
      </c>
      <c r="Y271" s="50" t="str">
        <f t="shared" si="73"/>
        <v/>
      </c>
      <c r="Z271" s="50" t="str">
        <f t="shared" si="74"/>
        <v/>
      </c>
      <c r="AA271" s="50" t="str">
        <f t="shared" si="75"/>
        <v/>
      </c>
      <c r="AB271" s="50" t="str">
        <f t="shared" si="76"/>
        <v/>
      </c>
      <c r="AC271" s="50" t="str">
        <f>IF($A271="","",IF($F271="assignment",IF($AF271&gt;0,INDEX($AH$9:$AH$270,$AF271),0)*$AE271*$D271,IF($F271="buy_shares",$M271*$AL271,0)))</f>
        <v/>
      </c>
      <c r="AD271" s="50" t="str">
        <f>IF($A271="","",IF($F271="called_away",IF($AF271&gt;0,INDEX($AH$9:$AH$270,$AF271),0)*$AL271,IF($F271="sell_shares",$M271*$AL271,0)))</f>
        <v/>
      </c>
      <c r="AE271" s="51" t="str">
        <f>IF($A271="","",IF(OR($F271="sell_put",$F271="sell_call"),IF(AND($H271&gt;0,$I271&gt;0,$J271&gt;=0),$H271,0),IF(OR($F271="buy_to_close",$F271="expire",$F271="roll",$F271="assignment",$F271="called_away"),IF(AND($AF271&gt;0,$H271&gt;0,IF($F271="assignment",IF($AF271&gt;0,INDEX($AG$9:$AG$270,$AF271),"")="put",TRUE),IF($F271="called_away",IF($AF271&gt;0,INDEX($AG$9:$AG$270,$AF271),"")="call",TRUE)),MIN($H271,IF($AF271&gt;0,MAX(0,INDEX($AI$9:$AI$270,$AF271)-SUMIFS($AE$9:$AE$270,$G$9:$G$270,$G271,$B$9:$B$270,$B271)),0)),0),0)))</f>
        <v/>
      </c>
      <c r="AF271" t="str">
        <f>IF($A271="","",IFERROR(MATCH(LEN($B271)&amp;":"&amp;$B271&amp;$G271,$AY$9:$AY$270,0),0))</f>
        <v/>
      </c>
      <c r="AG271" t="str">
        <f>IF($A271="","",IF($F271="sell_put","put",IF($F271="sell_call","call",IF($F271="roll",IF($AF271&gt;0,IF($AF271&gt;0,INDEX($AG$9:$AG$270,$AF271),""),""),IF($AF271&gt;0,IF($AF271&gt;0,INDEX($AG$9:$AG$270,$AF271),""),"")))))</f>
        <v/>
      </c>
      <c r="AH271" t="str">
        <f>IF($A271="","",IF(OR($F271="sell_put",$F271="sell_call",$F271="roll"),$I271,IF($AF271&gt;0,IF($AF271&gt;0,INDEX($AH$9:$AH$270,$AF271),0),0)))</f>
        <v/>
      </c>
      <c r="AI271" s="51" t="str">
        <f t="shared" si="77"/>
        <v/>
      </c>
      <c r="AJ271" s="51" t="str">
        <f>IF($A271="","",IFERROR(LOOKUP(2,1/($B$9:$B$270=$B271),$AM$9:$AM270),0))</f>
        <v/>
      </c>
      <c r="AK271" t="str">
        <f>IF($A271="","",IFERROR(LOOKUP(2,1/($B$9:$B$270=$B271),$AN$9:$AN270),0))</f>
        <v/>
      </c>
      <c r="AL271" s="51" t="str">
        <f t="shared" si="78"/>
        <v/>
      </c>
      <c r="AM271" s="51" t="str">
        <f t="shared" si="79"/>
        <v/>
      </c>
      <c r="AN271" t="str">
        <f t="shared" si="80"/>
        <v/>
      </c>
      <c r="AO271" s="50" t="str">
        <f>IF($A271="","",IFERROR(LOOKUP(2,1/($B$9:$B$270=$B271),$AO$9:$AO270),0)+IF($F271="sell_put",$I271*$AE271*$D271,IF($F271="roll",IF($AG271="put",($I271-IF($AF271&gt;0,INDEX($AH$9:$AH$270,$AF271),0))*$AE271*$D271,0),IF(AND(OR($F271="buy_to_close",$F271="expire",$F271="roll",$F271="assignment",$F271="called_away"),$F271&lt;&gt;"roll",$AG271="put"),-IF($AF271&gt;0,INDEX($AH$9:$AH$270,$AF271),0)*$AE271*$D271,0))))</f>
        <v/>
      </c>
      <c r="AP271" s="51" t="str">
        <f>IF($A271="","",IFERROR(LOOKUP(2,1/($B$9:$B$270=$B271),$AP$9:$AP270),0)+IF($F271="sell_put",$AE271*$D271,IF(AND(OR($F271="buy_to_close",$F271="expire",$F271="roll",$F271="assignment",$F271="called_away"),$F271&lt;&gt;"roll",$AG271="put"),-$AE271*$D271,0)))</f>
        <v/>
      </c>
      <c r="AQ271" s="51" t="str">
        <f>IF($A271="","",IFERROR(LOOKUP(2,1/($B$9:$B$270=$B271),$AQ$9:$AQ270),0)+IF(OR($F271="sell_put",$F271="sell_call"),$AE271,0)-IF(AND(OR($F271="buy_to_close",$F271="expire",$F271="roll",$F271="assignment",$F271="called_away"),$F271&lt;&gt;"roll"),$AE271,0))</f>
        <v/>
      </c>
      <c r="AR271" t="str">
        <f t="shared" si="81"/>
        <v/>
      </c>
      <c r="AS271" s="50" t="str">
        <f t="shared" si="82"/>
        <v/>
      </c>
      <c r="AT271" s="50" t="str">
        <f>IF($A271="","",MAX(IF($T271=IFERROR(LOOKUP(2,1/($B$9:$B$270=$B271),$T$9:$T270),0),IFERROR(LOOKUP(2,1/($B$9:$B$270=$B271),$AT$9:$AT270),0),0),$AS271))</f>
        <v/>
      </c>
      <c r="AU271" t="str">
        <f t="shared" si="83"/>
        <v/>
      </c>
      <c r="AV271" s="51">
        <f>IF($AU271="",0,IF(AND(IFERROR(LOOKUP(2,1/($B$9:$B$270=$B271),$AR$9:$AR270),1),NOT(AND(OR($F271="dividend",$F271="fee"),IFERROR(LOOKUP(2,1/($B$9:$B$270=$B271),$T$9:$T270),0)&gt;0))),ROW(),0))</f>
        <v>0</v>
      </c>
      <c r="AW271">
        <f>IF($A271="",0,IF($AV271&gt;0,MAX($AW$9:$AW$270)+1,MAX($AW$9:$AW$270)))</f>
        <v>0</v>
      </c>
      <c r="AX271">
        <f>IF($AU271="",0,IF(AND($AR271,OR(NOT(IFERROR(LOOKUP(2,1/($B$9:$B$270=$B271),$AR$9:$AR270),1)),IFERROR(LOOKUP(2,1/($B$9:$B$270=$B271),$T$9:$T270),0)=0)),ROW(),0))</f>
        <v>0</v>
      </c>
      <c r="AY271" t="str">
        <f t="shared" si="84"/>
        <v/>
      </c>
    </row>
    <row r="272" spans="1:51" ht="15" x14ac:dyDescent="0.25">
      <c r="A272" s="52" t="str">
        <f>IF(Trades!$A272="","",Trades!O272)</f>
        <v/>
      </c>
      <c r="B272" s="52" t="str">
        <f>IF(Trades!$A272="","",Trades!B272)</f>
        <v/>
      </c>
      <c r="C272" s="52" t="str">
        <f>IF(Trades!$A272="","",Trades!C272)</f>
        <v/>
      </c>
      <c r="D272" s="53" t="str">
        <f>IF(Trades!$A272="","",IF(Trades!$L272&gt;0,Trades!$L272,Trades!$C$6))</f>
        <v/>
      </c>
      <c r="E272" s="54" t="str">
        <f>IF(Trades!$A272="","",Trades!A272)</f>
        <v/>
      </c>
      <c r="F272" s="52" t="str">
        <f>IF(Trades!$A272="","",IFERROR(INDEX(Trades!$V$2:$V$14,MATCH(Trades!$E272,Trades!$U$2:$U$14,0)),""))</f>
        <v/>
      </c>
      <c r="G272" s="52" t="str">
        <f>IF(Trades!$A272="","",Trades!N272)</f>
        <v/>
      </c>
      <c r="H272" s="53" t="str">
        <f>IF(Trades!$A272="","",Trades!F272)</f>
        <v/>
      </c>
      <c r="I272" s="55" t="str">
        <f>IF(Trades!$A272="","",Trades!G272)</f>
        <v/>
      </c>
      <c r="J272" s="55" t="str">
        <f>IF(Trades!$A272="","",Trades!I272)</f>
        <v/>
      </c>
      <c r="K272" s="55" t="str">
        <f>IF(Trades!$A272="","",Trades!Q272)</f>
        <v/>
      </c>
      <c r="L272" s="53" t="str">
        <f>IF(Trades!$A272="","",Trades!F272)</f>
        <v/>
      </c>
      <c r="M272" s="55" t="str">
        <f>IF(Trades!$A272="","",Trades!M272)</f>
        <v/>
      </c>
      <c r="N272" s="55" t="str">
        <f>IF(Trades!$A272="","",Trades!R272)</f>
        <v/>
      </c>
      <c r="O272" s="55" t="str">
        <f>IF(Trades!$A272="","",Trades!J272)</f>
        <v/>
      </c>
      <c r="P272" s="54" t="str">
        <f>IF(Trades!$A272="","",Trades!H272)</f>
        <v/>
      </c>
      <c r="Q272" s="52" t="str">
        <f>IF(Trades!$A272="","",Trades!P272)</f>
        <v/>
      </c>
      <c r="R272" s="56" t="str">
        <f t="shared" si="68"/>
        <v/>
      </c>
      <c r="S272" s="56" t="str">
        <f t="shared" si="69"/>
        <v/>
      </c>
      <c r="T272" s="57" t="str">
        <f>IF(OR($A272="",$B272=""),"",IF(AND(IFERROR(LOOKUP(2,1/($B$9:$B$271=$B272),$AR$9:$AR271),1),NOT(AND(OR($F272="dividend",$F272="fee"),IFERROR(LOOKUP(2,1/($B$9:$B$271=$B272),$T$9:$T271),0)&gt;0))),IFERROR(LOOKUP(2,1/($B$9:$B$271=$B272),$T$9:$T271),0)+1,IFERROR(LOOKUP(2,1/($B$9:$B$271=$B272),$T$9:$T271),0)))</f>
        <v/>
      </c>
      <c r="U272" s="58" t="str">
        <f t="shared" si="70"/>
        <v/>
      </c>
      <c r="V272" s="58" t="str">
        <f>IF($A272="","",IF(OR($B272="",$C272="",$D272="",$E272="",$F272=""),"Missing required field",IF(COUNTIFS($A$9:$A272,$A272,$B$9:$B272,$B272)&gt;1,"Duplicate event ID",IF(AND($E272&lt;&gt;IFERROR(LOOKUP(2,1/($B$9:$B$271=$B272),$E$9:$E271),0),IFERROR(LOOKUP(2,1/($B$9:$B$271=$B272),$E$9:$E271),0)&gt;$E272),"Date out of order",IF(AND(OR($F272="buy_to_close",$F272="expire",$F272="roll",$F272="assignment",$F272="called_away"),$AF272=0),"Unknown lot",IF(OR(AND($F272="assignment",$AF272&gt;0,IF($AF272&gt;0,INDEX($AG$9:$AG$271,$AF272),"")&lt;&gt;"put"),AND($F272="called_away",$AF272&gt;0,IF($AF272&gt;0,INDEX($AG$9:$AG$271,$AF272),"")&lt;&gt;"call")),"Wrong option leg",IF(OR(AND(OR($F272="sell_put",$F272="sell_call"),OR($H272&lt;=0,$I272&lt;=0,$J272&lt;0)),AND(OR($F272="buy_to_close",$F272="expire",$F272="assignment",$F272="called_away"),OR($H272&lt;=0,$J272&lt;0)),AND($F272="roll",OR($H272&lt;=0,$I272&lt;=0,$J272&lt;0,$K272&lt;0)),AND(OR($F272="buy_shares",$F272="sell_shares"),OR($L272&lt;=0,$M272&lt;0)),AND(OR($F272="dividend",$F272="fee"),$N272&lt;0)),"Invalid value",IF(AND(OR($F272="sell_shares",$F272="called_away"),$AL272&lt;IF($F272="called_away",$AE272*$D272,$L272)),"Insufficient shares (capped)",IF(AND(OR($F272="buy_to_close",$F272="expire",$F272="roll",$F272="assignment",$F272="called_away"),$AF272&gt;0,$H272&gt;IF($AF272&gt;0,MAX(0,INDEX($AI$9:$AI$271,$AF272)-SUMIFS($AE$9:$AE$271,$G$9:$G$271,$G272,$B$9:$B$271,$B272)),0)),"Close quantity capped","OK")))))))))</f>
        <v/>
      </c>
      <c r="W272" s="59" t="str">
        <f t="shared" si="71"/>
        <v/>
      </c>
      <c r="X272" s="60" t="str">
        <f t="shared" si="72"/>
        <v/>
      </c>
      <c r="Y272" s="50" t="str">
        <f t="shared" si="73"/>
        <v/>
      </c>
      <c r="Z272" s="50" t="str">
        <f t="shared" si="74"/>
        <v/>
      </c>
      <c r="AA272" s="50" t="str">
        <f t="shared" si="75"/>
        <v/>
      </c>
      <c r="AB272" s="50" t="str">
        <f t="shared" si="76"/>
        <v/>
      </c>
      <c r="AC272" s="50" t="str">
        <f>IF($A272="","",IF($F272="assignment",IF($AF272&gt;0,INDEX($AH$9:$AH$271,$AF272),0)*$AE272*$D272,IF($F272="buy_shares",$M272*$AL272,0)))</f>
        <v/>
      </c>
      <c r="AD272" s="50" t="str">
        <f>IF($A272="","",IF($F272="called_away",IF($AF272&gt;0,INDEX($AH$9:$AH$271,$AF272),0)*$AL272,IF($F272="sell_shares",$M272*$AL272,0)))</f>
        <v/>
      </c>
      <c r="AE272" s="51" t="str">
        <f>IF($A272="","",IF(OR($F272="sell_put",$F272="sell_call"),IF(AND($H272&gt;0,$I272&gt;0,$J272&gt;=0),$H272,0),IF(OR($F272="buy_to_close",$F272="expire",$F272="roll",$F272="assignment",$F272="called_away"),IF(AND($AF272&gt;0,$H272&gt;0,IF($F272="assignment",IF($AF272&gt;0,INDEX($AG$9:$AG$271,$AF272),"")="put",TRUE),IF($F272="called_away",IF($AF272&gt;0,INDEX($AG$9:$AG$271,$AF272),"")="call",TRUE)),MIN($H272,IF($AF272&gt;0,MAX(0,INDEX($AI$9:$AI$271,$AF272)-SUMIFS($AE$9:$AE$271,$G$9:$G$271,$G272,$B$9:$B$271,$B272)),0)),0),0)))</f>
        <v/>
      </c>
      <c r="AF272" t="str">
        <f>IF($A272="","",IFERROR(MATCH(LEN($B272)&amp;":"&amp;$B272&amp;$G272,$AY$9:$AY$271,0),0))</f>
        <v/>
      </c>
      <c r="AG272" t="str">
        <f>IF($A272="","",IF($F272="sell_put","put",IF($F272="sell_call","call",IF($F272="roll",IF($AF272&gt;0,IF($AF272&gt;0,INDEX($AG$9:$AG$271,$AF272),""),""),IF($AF272&gt;0,IF($AF272&gt;0,INDEX($AG$9:$AG$271,$AF272),""),"")))))</f>
        <v/>
      </c>
      <c r="AH272" t="str">
        <f>IF($A272="","",IF(OR($F272="sell_put",$F272="sell_call",$F272="roll"),$I272,IF($AF272&gt;0,IF($AF272&gt;0,INDEX($AH$9:$AH$271,$AF272),0),0)))</f>
        <v/>
      </c>
      <c r="AI272" s="51" t="str">
        <f t="shared" si="77"/>
        <v/>
      </c>
      <c r="AJ272" s="51" t="str">
        <f>IF($A272="","",IFERROR(LOOKUP(2,1/($B$9:$B$271=$B272),$AM$9:$AM271),0))</f>
        <v/>
      </c>
      <c r="AK272" t="str">
        <f>IF($A272="","",IFERROR(LOOKUP(2,1/($B$9:$B$271=$B272),$AN$9:$AN271),0))</f>
        <v/>
      </c>
      <c r="AL272" s="51" t="str">
        <f t="shared" si="78"/>
        <v/>
      </c>
      <c r="AM272" s="51" t="str">
        <f t="shared" si="79"/>
        <v/>
      </c>
      <c r="AN272" t="str">
        <f t="shared" si="80"/>
        <v/>
      </c>
      <c r="AO272" s="50" t="str">
        <f>IF($A272="","",IFERROR(LOOKUP(2,1/($B$9:$B$271=$B272),$AO$9:$AO271),0)+IF($F272="sell_put",$I272*$AE272*$D272,IF($F272="roll",IF($AG272="put",($I272-IF($AF272&gt;0,INDEX($AH$9:$AH$271,$AF272),0))*$AE272*$D272,0),IF(AND(OR($F272="buy_to_close",$F272="expire",$F272="roll",$F272="assignment",$F272="called_away"),$F272&lt;&gt;"roll",$AG272="put"),-IF($AF272&gt;0,INDEX($AH$9:$AH$271,$AF272),0)*$AE272*$D272,0))))</f>
        <v/>
      </c>
      <c r="AP272" s="51" t="str">
        <f>IF($A272="","",IFERROR(LOOKUP(2,1/($B$9:$B$271=$B272),$AP$9:$AP271),0)+IF($F272="sell_put",$AE272*$D272,IF(AND(OR($F272="buy_to_close",$F272="expire",$F272="roll",$F272="assignment",$F272="called_away"),$F272&lt;&gt;"roll",$AG272="put"),-$AE272*$D272,0)))</f>
        <v/>
      </c>
      <c r="AQ272" s="51" t="str">
        <f>IF($A272="","",IFERROR(LOOKUP(2,1/($B$9:$B$271=$B272),$AQ$9:$AQ271),0)+IF(OR($F272="sell_put",$F272="sell_call"),$AE272,0)-IF(AND(OR($F272="buy_to_close",$F272="expire",$F272="roll",$F272="assignment",$F272="called_away"),$F272&lt;&gt;"roll"),$AE272,0))</f>
        <v/>
      </c>
      <c r="AR272" t="str">
        <f t="shared" si="81"/>
        <v/>
      </c>
      <c r="AS272" s="50" t="str">
        <f t="shared" si="82"/>
        <v/>
      </c>
      <c r="AT272" s="50" t="str">
        <f>IF($A272="","",MAX(IF($T272=IFERROR(LOOKUP(2,1/($B$9:$B$271=$B272),$T$9:$T271),0),IFERROR(LOOKUP(2,1/($B$9:$B$271=$B272),$AT$9:$AT271),0),0),$AS272))</f>
        <v/>
      </c>
      <c r="AU272" t="str">
        <f t="shared" si="83"/>
        <v/>
      </c>
      <c r="AV272" s="51">
        <f>IF($AU272="",0,IF(AND(IFERROR(LOOKUP(2,1/($B$9:$B$271=$B272),$AR$9:$AR271),1),NOT(AND(OR($F272="dividend",$F272="fee"),IFERROR(LOOKUP(2,1/($B$9:$B$271=$B272),$T$9:$T271),0)&gt;0))),ROW(),0))</f>
        <v>0</v>
      </c>
      <c r="AW272">
        <f>IF($A272="",0,IF($AV272&gt;0,MAX($AW$9:$AW$271)+1,MAX($AW$9:$AW$271)))</f>
        <v>0</v>
      </c>
      <c r="AX272">
        <f>IF($AU272="",0,IF(AND($AR272,OR(NOT(IFERROR(LOOKUP(2,1/($B$9:$B$271=$B272),$AR$9:$AR271),1)),IFERROR(LOOKUP(2,1/($B$9:$B$271=$B272),$T$9:$T271),0)=0)),ROW(),0))</f>
        <v>0</v>
      </c>
      <c r="AY272" t="str">
        <f t="shared" si="84"/>
        <v/>
      </c>
    </row>
    <row r="273" spans="1:51" ht="15" x14ac:dyDescent="0.25">
      <c r="A273" s="41" t="str">
        <f>IF(Trades!$A273="","",Trades!O273)</f>
        <v/>
      </c>
      <c r="B273" s="41" t="str">
        <f>IF(Trades!$A273="","",Trades!B273)</f>
        <v/>
      </c>
      <c r="C273" s="41" t="str">
        <f>IF(Trades!$A273="","",Trades!C273)</f>
        <v/>
      </c>
      <c r="D273" s="42" t="str">
        <f>IF(Trades!$A273="","",IF(Trades!$L273&gt;0,Trades!$L273,Trades!$C$6))</f>
        <v/>
      </c>
      <c r="E273" s="43" t="str">
        <f>IF(Trades!$A273="","",Trades!A273)</f>
        <v/>
      </c>
      <c r="F273" s="41" t="str">
        <f>IF(Trades!$A273="","",IFERROR(INDEX(Trades!$V$2:$V$14,MATCH(Trades!$E273,Trades!$U$2:$U$14,0)),""))</f>
        <v/>
      </c>
      <c r="G273" s="41" t="str">
        <f>IF(Trades!$A273="","",Trades!N273)</f>
        <v/>
      </c>
      <c r="H273" s="42" t="str">
        <f>IF(Trades!$A273="","",Trades!F273)</f>
        <v/>
      </c>
      <c r="I273" s="44" t="str">
        <f>IF(Trades!$A273="","",Trades!G273)</f>
        <v/>
      </c>
      <c r="J273" s="44" t="str">
        <f>IF(Trades!$A273="","",Trades!I273)</f>
        <v/>
      </c>
      <c r="K273" s="44" t="str">
        <f>IF(Trades!$A273="","",Trades!Q273)</f>
        <v/>
      </c>
      <c r="L273" s="42" t="str">
        <f>IF(Trades!$A273="","",Trades!F273)</f>
        <v/>
      </c>
      <c r="M273" s="44" t="str">
        <f>IF(Trades!$A273="","",Trades!M273)</f>
        <v/>
      </c>
      <c r="N273" s="44" t="str">
        <f>IF(Trades!$A273="","",Trades!R273)</f>
        <v/>
      </c>
      <c r="O273" s="44" t="str">
        <f>IF(Trades!$A273="","",Trades!J273)</f>
        <v/>
      </c>
      <c r="P273" s="43" t="str">
        <f>IF(Trades!$A273="","",Trades!H273)</f>
        <v/>
      </c>
      <c r="Q273" s="41" t="str">
        <f>IF(Trades!$A273="","",Trades!P273)</f>
        <v/>
      </c>
      <c r="R273" s="45" t="str">
        <f t="shared" si="68"/>
        <v/>
      </c>
      <c r="S273" s="45" t="str">
        <f t="shared" si="69"/>
        <v/>
      </c>
      <c r="T273" s="46" t="str">
        <f>IF(OR($A273="",$B273=""),"",IF(AND(IFERROR(LOOKUP(2,1/($B$9:$B$272=$B273),$AR$9:$AR272),1),NOT(AND(OR($F273="dividend",$F273="fee"),IFERROR(LOOKUP(2,1/($B$9:$B$272=$B273),$T$9:$T272),0)&gt;0))),IFERROR(LOOKUP(2,1/($B$9:$B$272=$B273),$T$9:$T272),0)+1,IFERROR(LOOKUP(2,1/($B$9:$B$272=$B273),$T$9:$T272),0)))</f>
        <v/>
      </c>
      <c r="U273" s="47" t="str">
        <f t="shared" si="70"/>
        <v/>
      </c>
      <c r="V273" s="47" t="str">
        <f>IF($A273="","",IF(OR($B273="",$C273="",$D273="",$E273="",$F273=""),"Missing required field",IF(COUNTIFS($A$9:$A273,$A273,$B$9:$B273,$B273)&gt;1,"Duplicate event ID",IF(AND($E273&lt;&gt;IFERROR(LOOKUP(2,1/($B$9:$B$272=$B273),$E$9:$E272),0),IFERROR(LOOKUP(2,1/($B$9:$B$272=$B273),$E$9:$E272),0)&gt;$E273),"Date out of order",IF(AND(OR($F273="buy_to_close",$F273="expire",$F273="roll",$F273="assignment",$F273="called_away"),$AF273=0),"Unknown lot",IF(OR(AND($F273="assignment",$AF273&gt;0,IF($AF273&gt;0,INDEX($AG$9:$AG$272,$AF273),"")&lt;&gt;"put"),AND($F273="called_away",$AF273&gt;0,IF($AF273&gt;0,INDEX($AG$9:$AG$272,$AF273),"")&lt;&gt;"call")),"Wrong option leg",IF(OR(AND(OR($F273="sell_put",$F273="sell_call"),OR($H273&lt;=0,$I273&lt;=0,$J273&lt;0)),AND(OR($F273="buy_to_close",$F273="expire",$F273="assignment",$F273="called_away"),OR($H273&lt;=0,$J273&lt;0)),AND($F273="roll",OR($H273&lt;=0,$I273&lt;=0,$J273&lt;0,$K273&lt;0)),AND(OR($F273="buy_shares",$F273="sell_shares"),OR($L273&lt;=0,$M273&lt;0)),AND(OR($F273="dividend",$F273="fee"),$N273&lt;0)),"Invalid value",IF(AND(OR($F273="sell_shares",$F273="called_away"),$AL273&lt;IF($F273="called_away",$AE273*$D273,$L273)),"Insufficient shares (capped)",IF(AND(OR($F273="buy_to_close",$F273="expire",$F273="roll",$F273="assignment",$F273="called_away"),$AF273&gt;0,$H273&gt;IF($AF273&gt;0,MAX(0,INDEX($AI$9:$AI$272,$AF273)-SUMIFS($AE$9:$AE$272,$G$9:$G$272,$G273,$B$9:$B$272,$B273)),0)),"Close quantity capped","OK")))))))))</f>
        <v/>
      </c>
      <c r="W273" s="48" t="str">
        <f t="shared" si="71"/>
        <v/>
      </c>
      <c r="X273" s="49" t="str">
        <f t="shared" si="72"/>
        <v/>
      </c>
      <c r="Y273" s="50" t="str">
        <f t="shared" si="73"/>
        <v/>
      </c>
      <c r="Z273" s="50" t="str">
        <f t="shared" si="74"/>
        <v/>
      </c>
      <c r="AA273" s="50" t="str">
        <f t="shared" si="75"/>
        <v/>
      </c>
      <c r="AB273" s="50" t="str">
        <f t="shared" si="76"/>
        <v/>
      </c>
      <c r="AC273" s="50" t="str">
        <f>IF($A273="","",IF($F273="assignment",IF($AF273&gt;0,INDEX($AH$9:$AH$272,$AF273),0)*$AE273*$D273,IF($F273="buy_shares",$M273*$AL273,0)))</f>
        <v/>
      </c>
      <c r="AD273" s="50" t="str">
        <f>IF($A273="","",IF($F273="called_away",IF($AF273&gt;0,INDEX($AH$9:$AH$272,$AF273),0)*$AL273,IF($F273="sell_shares",$M273*$AL273,0)))</f>
        <v/>
      </c>
      <c r="AE273" s="51" t="str">
        <f>IF($A273="","",IF(OR($F273="sell_put",$F273="sell_call"),IF(AND($H273&gt;0,$I273&gt;0,$J273&gt;=0),$H273,0),IF(OR($F273="buy_to_close",$F273="expire",$F273="roll",$F273="assignment",$F273="called_away"),IF(AND($AF273&gt;0,$H273&gt;0,IF($F273="assignment",IF($AF273&gt;0,INDEX($AG$9:$AG$272,$AF273),"")="put",TRUE),IF($F273="called_away",IF($AF273&gt;0,INDEX($AG$9:$AG$272,$AF273),"")="call",TRUE)),MIN($H273,IF($AF273&gt;0,MAX(0,INDEX($AI$9:$AI$272,$AF273)-SUMIFS($AE$9:$AE$272,$G$9:$G$272,$G273,$B$9:$B$272,$B273)),0)),0),0)))</f>
        <v/>
      </c>
      <c r="AF273" t="str">
        <f>IF($A273="","",IFERROR(MATCH(LEN($B273)&amp;":"&amp;$B273&amp;$G273,$AY$9:$AY$272,0),0))</f>
        <v/>
      </c>
      <c r="AG273" t="str">
        <f>IF($A273="","",IF($F273="sell_put","put",IF($F273="sell_call","call",IF($F273="roll",IF($AF273&gt;0,IF($AF273&gt;0,INDEX($AG$9:$AG$272,$AF273),""),""),IF($AF273&gt;0,IF($AF273&gt;0,INDEX($AG$9:$AG$272,$AF273),""),"")))))</f>
        <v/>
      </c>
      <c r="AH273" t="str">
        <f>IF($A273="","",IF(OR($F273="sell_put",$F273="sell_call",$F273="roll"),$I273,IF($AF273&gt;0,IF($AF273&gt;0,INDEX($AH$9:$AH$272,$AF273),0),0)))</f>
        <v/>
      </c>
      <c r="AI273" s="51" t="str">
        <f t="shared" si="77"/>
        <v/>
      </c>
      <c r="AJ273" s="51" t="str">
        <f>IF($A273="","",IFERROR(LOOKUP(2,1/($B$9:$B$272=$B273),$AM$9:$AM272),0))</f>
        <v/>
      </c>
      <c r="AK273" t="str">
        <f>IF($A273="","",IFERROR(LOOKUP(2,1/($B$9:$B$272=$B273),$AN$9:$AN272),0))</f>
        <v/>
      </c>
      <c r="AL273" s="51" t="str">
        <f t="shared" si="78"/>
        <v/>
      </c>
      <c r="AM273" s="51" t="str">
        <f t="shared" si="79"/>
        <v/>
      </c>
      <c r="AN273" t="str">
        <f t="shared" si="80"/>
        <v/>
      </c>
      <c r="AO273" s="50" t="str">
        <f>IF($A273="","",IFERROR(LOOKUP(2,1/($B$9:$B$272=$B273),$AO$9:$AO272),0)+IF($F273="sell_put",$I273*$AE273*$D273,IF($F273="roll",IF($AG273="put",($I273-IF($AF273&gt;0,INDEX($AH$9:$AH$272,$AF273),0))*$AE273*$D273,0),IF(AND(OR($F273="buy_to_close",$F273="expire",$F273="roll",$F273="assignment",$F273="called_away"),$F273&lt;&gt;"roll",$AG273="put"),-IF($AF273&gt;0,INDEX($AH$9:$AH$272,$AF273),0)*$AE273*$D273,0))))</f>
        <v/>
      </c>
      <c r="AP273" s="51" t="str">
        <f>IF($A273="","",IFERROR(LOOKUP(2,1/($B$9:$B$272=$B273),$AP$9:$AP272),0)+IF($F273="sell_put",$AE273*$D273,IF(AND(OR($F273="buy_to_close",$F273="expire",$F273="roll",$F273="assignment",$F273="called_away"),$F273&lt;&gt;"roll",$AG273="put"),-$AE273*$D273,0)))</f>
        <v/>
      </c>
      <c r="AQ273" s="51" t="str">
        <f>IF($A273="","",IFERROR(LOOKUP(2,1/($B$9:$B$272=$B273),$AQ$9:$AQ272),0)+IF(OR($F273="sell_put",$F273="sell_call"),$AE273,0)-IF(AND(OR($F273="buy_to_close",$F273="expire",$F273="roll",$F273="assignment",$F273="called_away"),$F273&lt;&gt;"roll"),$AE273,0))</f>
        <v/>
      </c>
      <c r="AR273" t="str">
        <f t="shared" si="81"/>
        <v/>
      </c>
      <c r="AS273" s="50" t="str">
        <f t="shared" si="82"/>
        <v/>
      </c>
      <c r="AT273" s="50" t="str">
        <f>IF($A273="","",MAX(IF($T273=IFERROR(LOOKUP(2,1/($B$9:$B$272=$B273),$T$9:$T272),0),IFERROR(LOOKUP(2,1/($B$9:$B$272=$B273),$AT$9:$AT272),0),0),$AS273))</f>
        <v/>
      </c>
      <c r="AU273" t="str">
        <f t="shared" si="83"/>
        <v/>
      </c>
      <c r="AV273" s="51">
        <f>IF($AU273="",0,IF(AND(IFERROR(LOOKUP(2,1/($B$9:$B$272=$B273),$AR$9:$AR272),1),NOT(AND(OR($F273="dividend",$F273="fee"),IFERROR(LOOKUP(2,1/($B$9:$B$272=$B273),$T$9:$T272),0)&gt;0))),ROW(),0))</f>
        <v>0</v>
      </c>
      <c r="AW273">
        <f>IF($A273="",0,IF($AV273&gt;0,MAX($AW$9:$AW$272)+1,MAX($AW$9:$AW$272)))</f>
        <v>0</v>
      </c>
      <c r="AX273">
        <f>IF($AU273="",0,IF(AND($AR273,OR(NOT(IFERROR(LOOKUP(2,1/($B$9:$B$272=$B273),$AR$9:$AR272),1)),IFERROR(LOOKUP(2,1/($B$9:$B$272=$B273),$T$9:$T272),0)=0)),ROW(),0))</f>
        <v>0</v>
      </c>
      <c r="AY273" t="str">
        <f t="shared" si="84"/>
        <v/>
      </c>
    </row>
    <row r="274" spans="1:51" ht="15" x14ac:dyDescent="0.25">
      <c r="A274" s="52" t="str">
        <f>IF(Trades!$A274="","",Trades!O274)</f>
        <v/>
      </c>
      <c r="B274" s="52" t="str">
        <f>IF(Trades!$A274="","",Trades!B274)</f>
        <v/>
      </c>
      <c r="C274" s="52" t="str">
        <f>IF(Trades!$A274="","",Trades!C274)</f>
        <v/>
      </c>
      <c r="D274" s="53" t="str">
        <f>IF(Trades!$A274="","",IF(Trades!$L274&gt;0,Trades!$L274,Trades!$C$6))</f>
        <v/>
      </c>
      <c r="E274" s="54" t="str">
        <f>IF(Trades!$A274="","",Trades!A274)</f>
        <v/>
      </c>
      <c r="F274" s="52" t="str">
        <f>IF(Trades!$A274="","",IFERROR(INDEX(Trades!$V$2:$V$14,MATCH(Trades!$E274,Trades!$U$2:$U$14,0)),""))</f>
        <v/>
      </c>
      <c r="G274" s="52" t="str">
        <f>IF(Trades!$A274="","",Trades!N274)</f>
        <v/>
      </c>
      <c r="H274" s="53" t="str">
        <f>IF(Trades!$A274="","",Trades!F274)</f>
        <v/>
      </c>
      <c r="I274" s="55" t="str">
        <f>IF(Trades!$A274="","",Trades!G274)</f>
        <v/>
      </c>
      <c r="J274" s="55" t="str">
        <f>IF(Trades!$A274="","",Trades!I274)</f>
        <v/>
      </c>
      <c r="K274" s="55" t="str">
        <f>IF(Trades!$A274="","",Trades!Q274)</f>
        <v/>
      </c>
      <c r="L274" s="53" t="str">
        <f>IF(Trades!$A274="","",Trades!F274)</f>
        <v/>
      </c>
      <c r="M274" s="55" t="str">
        <f>IF(Trades!$A274="","",Trades!M274)</f>
        <v/>
      </c>
      <c r="N274" s="55" t="str">
        <f>IF(Trades!$A274="","",Trades!R274)</f>
        <v/>
      </c>
      <c r="O274" s="55" t="str">
        <f>IF(Trades!$A274="","",Trades!J274)</f>
        <v/>
      </c>
      <c r="P274" s="54" t="str">
        <f>IF(Trades!$A274="","",Trades!H274)</f>
        <v/>
      </c>
      <c r="Q274" s="52" t="str">
        <f>IF(Trades!$A274="","",Trades!P274)</f>
        <v/>
      </c>
      <c r="R274" s="56" t="str">
        <f t="shared" si="68"/>
        <v/>
      </c>
      <c r="S274" s="56" t="str">
        <f t="shared" si="69"/>
        <v/>
      </c>
      <c r="T274" s="57" t="str">
        <f>IF(OR($A274="",$B274=""),"",IF(AND(IFERROR(LOOKUP(2,1/($B$9:$B$273=$B274),$AR$9:$AR273),1),NOT(AND(OR($F274="dividend",$F274="fee"),IFERROR(LOOKUP(2,1/($B$9:$B$273=$B274),$T$9:$T273),0)&gt;0))),IFERROR(LOOKUP(2,1/($B$9:$B$273=$B274),$T$9:$T273),0)+1,IFERROR(LOOKUP(2,1/($B$9:$B$273=$B274),$T$9:$T273),0)))</f>
        <v/>
      </c>
      <c r="U274" s="58" t="str">
        <f t="shared" si="70"/>
        <v/>
      </c>
      <c r="V274" s="58" t="str">
        <f>IF($A274="","",IF(OR($B274="",$C274="",$D274="",$E274="",$F274=""),"Missing required field",IF(COUNTIFS($A$9:$A274,$A274,$B$9:$B274,$B274)&gt;1,"Duplicate event ID",IF(AND($E274&lt;&gt;IFERROR(LOOKUP(2,1/($B$9:$B$273=$B274),$E$9:$E273),0),IFERROR(LOOKUP(2,1/($B$9:$B$273=$B274),$E$9:$E273),0)&gt;$E274),"Date out of order",IF(AND(OR($F274="buy_to_close",$F274="expire",$F274="roll",$F274="assignment",$F274="called_away"),$AF274=0),"Unknown lot",IF(OR(AND($F274="assignment",$AF274&gt;0,IF($AF274&gt;0,INDEX($AG$9:$AG$273,$AF274),"")&lt;&gt;"put"),AND($F274="called_away",$AF274&gt;0,IF($AF274&gt;0,INDEX($AG$9:$AG$273,$AF274),"")&lt;&gt;"call")),"Wrong option leg",IF(OR(AND(OR($F274="sell_put",$F274="sell_call"),OR($H274&lt;=0,$I274&lt;=0,$J274&lt;0)),AND(OR($F274="buy_to_close",$F274="expire",$F274="assignment",$F274="called_away"),OR($H274&lt;=0,$J274&lt;0)),AND($F274="roll",OR($H274&lt;=0,$I274&lt;=0,$J274&lt;0,$K274&lt;0)),AND(OR($F274="buy_shares",$F274="sell_shares"),OR($L274&lt;=0,$M274&lt;0)),AND(OR($F274="dividend",$F274="fee"),$N274&lt;0)),"Invalid value",IF(AND(OR($F274="sell_shares",$F274="called_away"),$AL274&lt;IF($F274="called_away",$AE274*$D274,$L274)),"Insufficient shares (capped)",IF(AND(OR($F274="buy_to_close",$F274="expire",$F274="roll",$F274="assignment",$F274="called_away"),$AF274&gt;0,$H274&gt;IF($AF274&gt;0,MAX(0,INDEX($AI$9:$AI$273,$AF274)-SUMIFS($AE$9:$AE$273,$G$9:$G$273,$G274,$B$9:$B$273,$B274)),0)),"Close quantity capped","OK")))))))))</f>
        <v/>
      </c>
      <c r="W274" s="59" t="str">
        <f t="shared" si="71"/>
        <v/>
      </c>
      <c r="X274" s="60" t="str">
        <f t="shared" si="72"/>
        <v/>
      </c>
      <c r="Y274" s="50" t="str">
        <f t="shared" si="73"/>
        <v/>
      </c>
      <c r="Z274" s="50" t="str">
        <f t="shared" si="74"/>
        <v/>
      </c>
      <c r="AA274" s="50" t="str">
        <f t="shared" si="75"/>
        <v/>
      </c>
      <c r="AB274" s="50" t="str">
        <f t="shared" si="76"/>
        <v/>
      </c>
      <c r="AC274" s="50" t="str">
        <f>IF($A274="","",IF($F274="assignment",IF($AF274&gt;0,INDEX($AH$9:$AH$273,$AF274),0)*$AE274*$D274,IF($F274="buy_shares",$M274*$AL274,0)))</f>
        <v/>
      </c>
      <c r="AD274" s="50" t="str">
        <f>IF($A274="","",IF($F274="called_away",IF($AF274&gt;0,INDEX($AH$9:$AH$273,$AF274),0)*$AL274,IF($F274="sell_shares",$M274*$AL274,0)))</f>
        <v/>
      </c>
      <c r="AE274" s="51" t="str">
        <f>IF($A274="","",IF(OR($F274="sell_put",$F274="sell_call"),IF(AND($H274&gt;0,$I274&gt;0,$J274&gt;=0),$H274,0),IF(OR($F274="buy_to_close",$F274="expire",$F274="roll",$F274="assignment",$F274="called_away"),IF(AND($AF274&gt;0,$H274&gt;0,IF($F274="assignment",IF($AF274&gt;0,INDEX($AG$9:$AG$273,$AF274),"")="put",TRUE),IF($F274="called_away",IF($AF274&gt;0,INDEX($AG$9:$AG$273,$AF274),"")="call",TRUE)),MIN($H274,IF($AF274&gt;0,MAX(0,INDEX($AI$9:$AI$273,$AF274)-SUMIFS($AE$9:$AE$273,$G$9:$G$273,$G274,$B$9:$B$273,$B274)),0)),0),0)))</f>
        <v/>
      </c>
      <c r="AF274" t="str">
        <f>IF($A274="","",IFERROR(MATCH(LEN($B274)&amp;":"&amp;$B274&amp;$G274,$AY$9:$AY$273,0),0))</f>
        <v/>
      </c>
      <c r="AG274" t="str">
        <f>IF($A274="","",IF($F274="sell_put","put",IF($F274="sell_call","call",IF($F274="roll",IF($AF274&gt;0,IF($AF274&gt;0,INDEX($AG$9:$AG$273,$AF274),""),""),IF($AF274&gt;0,IF($AF274&gt;0,INDEX($AG$9:$AG$273,$AF274),""),"")))))</f>
        <v/>
      </c>
      <c r="AH274" t="str">
        <f>IF($A274="","",IF(OR($F274="sell_put",$F274="sell_call",$F274="roll"),$I274,IF($AF274&gt;0,IF($AF274&gt;0,INDEX($AH$9:$AH$273,$AF274),0),0)))</f>
        <v/>
      </c>
      <c r="AI274" s="51" t="str">
        <f t="shared" si="77"/>
        <v/>
      </c>
      <c r="AJ274" s="51" t="str">
        <f>IF($A274="","",IFERROR(LOOKUP(2,1/($B$9:$B$273=$B274),$AM$9:$AM273),0))</f>
        <v/>
      </c>
      <c r="AK274" t="str">
        <f>IF($A274="","",IFERROR(LOOKUP(2,1/($B$9:$B$273=$B274),$AN$9:$AN273),0))</f>
        <v/>
      </c>
      <c r="AL274" s="51" t="str">
        <f t="shared" si="78"/>
        <v/>
      </c>
      <c r="AM274" s="51" t="str">
        <f t="shared" si="79"/>
        <v/>
      </c>
      <c r="AN274" t="str">
        <f t="shared" si="80"/>
        <v/>
      </c>
      <c r="AO274" s="50" t="str">
        <f>IF($A274="","",IFERROR(LOOKUP(2,1/($B$9:$B$273=$B274),$AO$9:$AO273),0)+IF($F274="sell_put",$I274*$AE274*$D274,IF($F274="roll",IF($AG274="put",($I274-IF($AF274&gt;0,INDEX($AH$9:$AH$273,$AF274),0))*$AE274*$D274,0),IF(AND(OR($F274="buy_to_close",$F274="expire",$F274="roll",$F274="assignment",$F274="called_away"),$F274&lt;&gt;"roll",$AG274="put"),-IF($AF274&gt;0,INDEX($AH$9:$AH$273,$AF274),0)*$AE274*$D274,0))))</f>
        <v/>
      </c>
      <c r="AP274" s="51" t="str">
        <f>IF($A274="","",IFERROR(LOOKUP(2,1/($B$9:$B$273=$B274),$AP$9:$AP273),0)+IF($F274="sell_put",$AE274*$D274,IF(AND(OR($F274="buy_to_close",$F274="expire",$F274="roll",$F274="assignment",$F274="called_away"),$F274&lt;&gt;"roll",$AG274="put"),-$AE274*$D274,0)))</f>
        <v/>
      </c>
      <c r="AQ274" s="51" t="str">
        <f>IF($A274="","",IFERROR(LOOKUP(2,1/($B$9:$B$273=$B274),$AQ$9:$AQ273),0)+IF(OR($F274="sell_put",$F274="sell_call"),$AE274,0)-IF(AND(OR($F274="buy_to_close",$F274="expire",$F274="roll",$F274="assignment",$F274="called_away"),$F274&lt;&gt;"roll"),$AE274,0))</f>
        <v/>
      </c>
      <c r="AR274" t="str">
        <f t="shared" si="81"/>
        <v/>
      </c>
      <c r="AS274" s="50" t="str">
        <f t="shared" si="82"/>
        <v/>
      </c>
      <c r="AT274" s="50" t="str">
        <f>IF($A274="","",MAX(IF($T274=IFERROR(LOOKUP(2,1/($B$9:$B$273=$B274),$T$9:$T273),0),IFERROR(LOOKUP(2,1/($B$9:$B$273=$B274),$AT$9:$AT273),0),0),$AS274))</f>
        <v/>
      </c>
      <c r="AU274" t="str">
        <f t="shared" si="83"/>
        <v/>
      </c>
      <c r="AV274" s="51">
        <f>IF($AU274="",0,IF(AND(IFERROR(LOOKUP(2,1/($B$9:$B$273=$B274),$AR$9:$AR273),1),NOT(AND(OR($F274="dividend",$F274="fee"),IFERROR(LOOKUP(2,1/($B$9:$B$273=$B274),$T$9:$T273),0)&gt;0))),ROW(),0))</f>
        <v>0</v>
      </c>
      <c r="AW274">
        <f>IF($A274="",0,IF($AV274&gt;0,MAX($AW$9:$AW$273)+1,MAX($AW$9:$AW$273)))</f>
        <v>0</v>
      </c>
      <c r="AX274">
        <f>IF($AU274="",0,IF(AND($AR274,OR(NOT(IFERROR(LOOKUP(2,1/($B$9:$B$273=$B274),$AR$9:$AR273),1)),IFERROR(LOOKUP(2,1/($B$9:$B$273=$B274),$T$9:$T273),0)=0)),ROW(),0))</f>
        <v>0</v>
      </c>
      <c r="AY274" t="str">
        <f t="shared" si="84"/>
        <v/>
      </c>
    </row>
    <row r="275" spans="1:51" ht="15" x14ac:dyDescent="0.25">
      <c r="A275" s="41" t="str">
        <f>IF(Trades!$A275="","",Trades!O275)</f>
        <v/>
      </c>
      <c r="B275" s="41" t="str">
        <f>IF(Trades!$A275="","",Trades!B275)</f>
        <v/>
      </c>
      <c r="C275" s="41" t="str">
        <f>IF(Trades!$A275="","",Trades!C275)</f>
        <v/>
      </c>
      <c r="D275" s="42" t="str">
        <f>IF(Trades!$A275="","",IF(Trades!$L275&gt;0,Trades!$L275,Trades!$C$6))</f>
        <v/>
      </c>
      <c r="E275" s="43" t="str">
        <f>IF(Trades!$A275="","",Trades!A275)</f>
        <v/>
      </c>
      <c r="F275" s="41" t="str">
        <f>IF(Trades!$A275="","",IFERROR(INDEX(Trades!$V$2:$V$14,MATCH(Trades!$E275,Trades!$U$2:$U$14,0)),""))</f>
        <v/>
      </c>
      <c r="G275" s="41" t="str">
        <f>IF(Trades!$A275="","",Trades!N275)</f>
        <v/>
      </c>
      <c r="H275" s="42" t="str">
        <f>IF(Trades!$A275="","",Trades!F275)</f>
        <v/>
      </c>
      <c r="I275" s="44" t="str">
        <f>IF(Trades!$A275="","",Trades!G275)</f>
        <v/>
      </c>
      <c r="J275" s="44" t="str">
        <f>IF(Trades!$A275="","",Trades!I275)</f>
        <v/>
      </c>
      <c r="K275" s="44" t="str">
        <f>IF(Trades!$A275="","",Trades!Q275)</f>
        <v/>
      </c>
      <c r="L275" s="42" t="str">
        <f>IF(Trades!$A275="","",Trades!F275)</f>
        <v/>
      </c>
      <c r="M275" s="44" t="str">
        <f>IF(Trades!$A275="","",Trades!M275)</f>
        <v/>
      </c>
      <c r="N275" s="44" t="str">
        <f>IF(Trades!$A275="","",Trades!R275)</f>
        <v/>
      </c>
      <c r="O275" s="44" t="str">
        <f>IF(Trades!$A275="","",Trades!J275)</f>
        <v/>
      </c>
      <c r="P275" s="43" t="str">
        <f>IF(Trades!$A275="","",Trades!H275)</f>
        <v/>
      </c>
      <c r="Q275" s="41" t="str">
        <f>IF(Trades!$A275="","",Trades!P275)</f>
        <v/>
      </c>
      <c r="R275" s="45" t="str">
        <f t="shared" si="68"/>
        <v/>
      </c>
      <c r="S275" s="45" t="str">
        <f t="shared" si="69"/>
        <v/>
      </c>
      <c r="T275" s="46" t="str">
        <f>IF(OR($A275="",$B275=""),"",IF(AND(IFERROR(LOOKUP(2,1/($B$9:$B$274=$B275),$AR$9:$AR274),1),NOT(AND(OR($F275="dividend",$F275="fee"),IFERROR(LOOKUP(2,1/($B$9:$B$274=$B275),$T$9:$T274),0)&gt;0))),IFERROR(LOOKUP(2,1/($B$9:$B$274=$B275),$T$9:$T274),0)+1,IFERROR(LOOKUP(2,1/($B$9:$B$274=$B275),$T$9:$T274),0)))</f>
        <v/>
      </c>
      <c r="U275" s="47" t="str">
        <f t="shared" si="70"/>
        <v/>
      </c>
      <c r="V275" s="47" t="str">
        <f>IF($A275="","",IF(OR($B275="",$C275="",$D275="",$E275="",$F275=""),"Missing required field",IF(COUNTIFS($A$9:$A275,$A275,$B$9:$B275,$B275)&gt;1,"Duplicate event ID",IF(AND($E275&lt;&gt;IFERROR(LOOKUP(2,1/($B$9:$B$274=$B275),$E$9:$E274),0),IFERROR(LOOKUP(2,1/($B$9:$B$274=$B275),$E$9:$E274),0)&gt;$E275),"Date out of order",IF(AND(OR($F275="buy_to_close",$F275="expire",$F275="roll",$F275="assignment",$F275="called_away"),$AF275=0),"Unknown lot",IF(OR(AND($F275="assignment",$AF275&gt;0,IF($AF275&gt;0,INDEX($AG$9:$AG$274,$AF275),"")&lt;&gt;"put"),AND($F275="called_away",$AF275&gt;0,IF($AF275&gt;0,INDEX($AG$9:$AG$274,$AF275),"")&lt;&gt;"call")),"Wrong option leg",IF(OR(AND(OR($F275="sell_put",$F275="sell_call"),OR($H275&lt;=0,$I275&lt;=0,$J275&lt;0)),AND(OR($F275="buy_to_close",$F275="expire",$F275="assignment",$F275="called_away"),OR($H275&lt;=0,$J275&lt;0)),AND($F275="roll",OR($H275&lt;=0,$I275&lt;=0,$J275&lt;0,$K275&lt;0)),AND(OR($F275="buy_shares",$F275="sell_shares"),OR($L275&lt;=0,$M275&lt;0)),AND(OR($F275="dividend",$F275="fee"),$N275&lt;0)),"Invalid value",IF(AND(OR($F275="sell_shares",$F275="called_away"),$AL275&lt;IF($F275="called_away",$AE275*$D275,$L275)),"Insufficient shares (capped)",IF(AND(OR($F275="buy_to_close",$F275="expire",$F275="roll",$F275="assignment",$F275="called_away"),$AF275&gt;0,$H275&gt;IF($AF275&gt;0,MAX(0,INDEX($AI$9:$AI$274,$AF275)-SUMIFS($AE$9:$AE$274,$G$9:$G$274,$G275,$B$9:$B$274,$B275)),0)),"Close quantity capped","OK")))))))))</f>
        <v/>
      </c>
      <c r="W275" s="48" t="str">
        <f t="shared" si="71"/>
        <v/>
      </c>
      <c r="X275" s="49" t="str">
        <f t="shared" si="72"/>
        <v/>
      </c>
      <c r="Y275" s="50" t="str">
        <f t="shared" si="73"/>
        <v/>
      </c>
      <c r="Z275" s="50" t="str">
        <f t="shared" si="74"/>
        <v/>
      </c>
      <c r="AA275" s="50" t="str">
        <f t="shared" si="75"/>
        <v/>
      </c>
      <c r="AB275" s="50" t="str">
        <f t="shared" si="76"/>
        <v/>
      </c>
      <c r="AC275" s="50" t="str">
        <f>IF($A275="","",IF($F275="assignment",IF($AF275&gt;0,INDEX($AH$9:$AH$274,$AF275),0)*$AE275*$D275,IF($F275="buy_shares",$M275*$AL275,0)))</f>
        <v/>
      </c>
      <c r="AD275" s="50" t="str">
        <f>IF($A275="","",IF($F275="called_away",IF($AF275&gt;0,INDEX($AH$9:$AH$274,$AF275),0)*$AL275,IF($F275="sell_shares",$M275*$AL275,0)))</f>
        <v/>
      </c>
      <c r="AE275" s="51" t="str">
        <f>IF($A275="","",IF(OR($F275="sell_put",$F275="sell_call"),IF(AND($H275&gt;0,$I275&gt;0,$J275&gt;=0),$H275,0),IF(OR($F275="buy_to_close",$F275="expire",$F275="roll",$F275="assignment",$F275="called_away"),IF(AND($AF275&gt;0,$H275&gt;0,IF($F275="assignment",IF($AF275&gt;0,INDEX($AG$9:$AG$274,$AF275),"")="put",TRUE),IF($F275="called_away",IF($AF275&gt;0,INDEX($AG$9:$AG$274,$AF275),"")="call",TRUE)),MIN($H275,IF($AF275&gt;0,MAX(0,INDEX($AI$9:$AI$274,$AF275)-SUMIFS($AE$9:$AE$274,$G$9:$G$274,$G275,$B$9:$B$274,$B275)),0)),0),0)))</f>
        <v/>
      </c>
      <c r="AF275" t="str">
        <f>IF($A275="","",IFERROR(MATCH(LEN($B275)&amp;":"&amp;$B275&amp;$G275,$AY$9:$AY$274,0),0))</f>
        <v/>
      </c>
      <c r="AG275" t="str">
        <f>IF($A275="","",IF($F275="sell_put","put",IF($F275="sell_call","call",IF($F275="roll",IF($AF275&gt;0,IF($AF275&gt;0,INDEX($AG$9:$AG$274,$AF275),""),""),IF($AF275&gt;0,IF($AF275&gt;0,INDEX($AG$9:$AG$274,$AF275),""),"")))))</f>
        <v/>
      </c>
      <c r="AH275" t="str">
        <f>IF($A275="","",IF(OR($F275="sell_put",$F275="sell_call",$F275="roll"),$I275,IF($AF275&gt;0,IF($AF275&gt;0,INDEX($AH$9:$AH$274,$AF275),0),0)))</f>
        <v/>
      </c>
      <c r="AI275" s="51" t="str">
        <f t="shared" si="77"/>
        <v/>
      </c>
      <c r="AJ275" s="51" t="str">
        <f>IF($A275="","",IFERROR(LOOKUP(2,1/($B$9:$B$274=$B275),$AM$9:$AM274),0))</f>
        <v/>
      </c>
      <c r="AK275" t="str">
        <f>IF($A275="","",IFERROR(LOOKUP(2,1/($B$9:$B$274=$B275),$AN$9:$AN274),0))</f>
        <v/>
      </c>
      <c r="AL275" s="51" t="str">
        <f t="shared" si="78"/>
        <v/>
      </c>
      <c r="AM275" s="51" t="str">
        <f t="shared" si="79"/>
        <v/>
      </c>
      <c r="AN275" t="str">
        <f t="shared" si="80"/>
        <v/>
      </c>
      <c r="AO275" s="50" t="str">
        <f>IF($A275="","",IFERROR(LOOKUP(2,1/($B$9:$B$274=$B275),$AO$9:$AO274),0)+IF($F275="sell_put",$I275*$AE275*$D275,IF($F275="roll",IF($AG275="put",($I275-IF($AF275&gt;0,INDEX($AH$9:$AH$274,$AF275),0))*$AE275*$D275,0),IF(AND(OR($F275="buy_to_close",$F275="expire",$F275="roll",$F275="assignment",$F275="called_away"),$F275&lt;&gt;"roll",$AG275="put"),-IF($AF275&gt;0,INDEX($AH$9:$AH$274,$AF275),0)*$AE275*$D275,0))))</f>
        <v/>
      </c>
      <c r="AP275" s="51" t="str">
        <f>IF($A275="","",IFERROR(LOOKUP(2,1/($B$9:$B$274=$B275),$AP$9:$AP274),0)+IF($F275="sell_put",$AE275*$D275,IF(AND(OR($F275="buy_to_close",$F275="expire",$F275="roll",$F275="assignment",$F275="called_away"),$F275&lt;&gt;"roll",$AG275="put"),-$AE275*$D275,0)))</f>
        <v/>
      </c>
      <c r="AQ275" s="51" t="str">
        <f>IF($A275="","",IFERROR(LOOKUP(2,1/($B$9:$B$274=$B275),$AQ$9:$AQ274),0)+IF(OR($F275="sell_put",$F275="sell_call"),$AE275,0)-IF(AND(OR($F275="buy_to_close",$F275="expire",$F275="roll",$F275="assignment",$F275="called_away"),$F275&lt;&gt;"roll"),$AE275,0))</f>
        <v/>
      </c>
      <c r="AR275" t="str">
        <f t="shared" si="81"/>
        <v/>
      </c>
      <c r="AS275" s="50" t="str">
        <f t="shared" si="82"/>
        <v/>
      </c>
      <c r="AT275" s="50" t="str">
        <f>IF($A275="","",MAX(IF($T275=IFERROR(LOOKUP(2,1/($B$9:$B$274=$B275),$T$9:$T274),0),IFERROR(LOOKUP(2,1/($B$9:$B$274=$B275),$AT$9:$AT274),0),0),$AS275))</f>
        <v/>
      </c>
      <c r="AU275" t="str">
        <f t="shared" si="83"/>
        <v/>
      </c>
      <c r="AV275" s="51">
        <f>IF($AU275="",0,IF(AND(IFERROR(LOOKUP(2,1/($B$9:$B$274=$B275),$AR$9:$AR274),1),NOT(AND(OR($F275="dividend",$F275="fee"),IFERROR(LOOKUP(2,1/($B$9:$B$274=$B275),$T$9:$T274),0)&gt;0))),ROW(),0))</f>
        <v>0</v>
      </c>
      <c r="AW275">
        <f>IF($A275="",0,IF($AV275&gt;0,MAX($AW$9:$AW$274)+1,MAX($AW$9:$AW$274)))</f>
        <v>0</v>
      </c>
      <c r="AX275">
        <f>IF($AU275="",0,IF(AND($AR275,OR(NOT(IFERROR(LOOKUP(2,1/($B$9:$B$274=$B275),$AR$9:$AR274),1)),IFERROR(LOOKUP(2,1/($B$9:$B$274=$B275),$T$9:$T274),0)=0)),ROW(),0))</f>
        <v>0</v>
      </c>
      <c r="AY275" t="str">
        <f t="shared" si="84"/>
        <v/>
      </c>
    </row>
    <row r="276" spans="1:51" ht="15" x14ac:dyDescent="0.25">
      <c r="A276" s="52" t="str">
        <f>IF(Trades!$A276="","",Trades!O276)</f>
        <v/>
      </c>
      <c r="B276" s="52" t="str">
        <f>IF(Trades!$A276="","",Trades!B276)</f>
        <v/>
      </c>
      <c r="C276" s="52" t="str">
        <f>IF(Trades!$A276="","",Trades!C276)</f>
        <v/>
      </c>
      <c r="D276" s="53" t="str">
        <f>IF(Trades!$A276="","",IF(Trades!$L276&gt;0,Trades!$L276,Trades!$C$6))</f>
        <v/>
      </c>
      <c r="E276" s="54" t="str">
        <f>IF(Trades!$A276="","",Trades!A276)</f>
        <v/>
      </c>
      <c r="F276" s="52" t="str">
        <f>IF(Trades!$A276="","",IFERROR(INDEX(Trades!$V$2:$V$14,MATCH(Trades!$E276,Trades!$U$2:$U$14,0)),""))</f>
        <v/>
      </c>
      <c r="G276" s="52" t="str">
        <f>IF(Trades!$A276="","",Trades!N276)</f>
        <v/>
      </c>
      <c r="H276" s="53" t="str">
        <f>IF(Trades!$A276="","",Trades!F276)</f>
        <v/>
      </c>
      <c r="I276" s="55" t="str">
        <f>IF(Trades!$A276="","",Trades!G276)</f>
        <v/>
      </c>
      <c r="J276" s="55" t="str">
        <f>IF(Trades!$A276="","",Trades!I276)</f>
        <v/>
      </c>
      <c r="K276" s="55" t="str">
        <f>IF(Trades!$A276="","",Trades!Q276)</f>
        <v/>
      </c>
      <c r="L276" s="53" t="str">
        <f>IF(Trades!$A276="","",Trades!F276)</f>
        <v/>
      </c>
      <c r="M276" s="55" t="str">
        <f>IF(Trades!$A276="","",Trades!M276)</f>
        <v/>
      </c>
      <c r="N276" s="55" t="str">
        <f>IF(Trades!$A276="","",Trades!R276)</f>
        <v/>
      </c>
      <c r="O276" s="55" t="str">
        <f>IF(Trades!$A276="","",Trades!J276)</f>
        <v/>
      </c>
      <c r="P276" s="54" t="str">
        <f>IF(Trades!$A276="","",Trades!H276)</f>
        <v/>
      </c>
      <c r="Q276" s="52" t="str">
        <f>IF(Trades!$A276="","",Trades!P276)</f>
        <v/>
      </c>
      <c r="R276" s="56" t="str">
        <f t="shared" si="68"/>
        <v/>
      </c>
      <c r="S276" s="56" t="str">
        <f t="shared" si="69"/>
        <v/>
      </c>
      <c r="T276" s="57" t="str">
        <f>IF(OR($A276="",$B276=""),"",IF(AND(IFERROR(LOOKUP(2,1/($B$9:$B$275=$B276),$AR$9:$AR275),1),NOT(AND(OR($F276="dividend",$F276="fee"),IFERROR(LOOKUP(2,1/($B$9:$B$275=$B276),$T$9:$T275),0)&gt;0))),IFERROR(LOOKUP(2,1/($B$9:$B$275=$B276),$T$9:$T275),0)+1,IFERROR(LOOKUP(2,1/($B$9:$B$275=$B276),$T$9:$T275),0)))</f>
        <v/>
      </c>
      <c r="U276" s="58" t="str">
        <f t="shared" si="70"/>
        <v/>
      </c>
      <c r="V276" s="58" t="str">
        <f>IF($A276="","",IF(OR($B276="",$C276="",$D276="",$E276="",$F276=""),"Missing required field",IF(COUNTIFS($A$9:$A276,$A276,$B$9:$B276,$B276)&gt;1,"Duplicate event ID",IF(AND($E276&lt;&gt;IFERROR(LOOKUP(2,1/($B$9:$B$275=$B276),$E$9:$E275),0),IFERROR(LOOKUP(2,1/($B$9:$B$275=$B276),$E$9:$E275),0)&gt;$E276),"Date out of order",IF(AND(OR($F276="buy_to_close",$F276="expire",$F276="roll",$F276="assignment",$F276="called_away"),$AF276=0),"Unknown lot",IF(OR(AND($F276="assignment",$AF276&gt;0,IF($AF276&gt;0,INDEX($AG$9:$AG$275,$AF276),"")&lt;&gt;"put"),AND($F276="called_away",$AF276&gt;0,IF($AF276&gt;0,INDEX($AG$9:$AG$275,$AF276),"")&lt;&gt;"call")),"Wrong option leg",IF(OR(AND(OR($F276="sell_put",$F276="sell_call"),OR($H276&lt;=0,$I276&lt;=0,$J276&lt;0)),AND(OR($F276="buy_to_close",$F276="expire",$F276="assignment",$F276="called_away"),OR($H276&lt;=0,$J276&lt;0)),AND($F276="roll",OR($H276&lt;=0,$I276&lt;=0,$J276&lt;0,$K276&lt;0)),AND(OR($F276="buy_shares",$F276="sell_shares"),OR($L276&lt;=0,$M276&lt;0)),AND(OR($F276="dividend",$F276="fee"),$N276&lt;0)),"Invalid value",IF(AND(OR($F276="sell_shares",$F276="called_away"),$AL276&lt;IF($F276="called_away",$AE276*$D276,$L276)),"Insufficient shares (capped)",IF(AND(OR($F276="buy_to_close",$F276="expire",$F276="roll",$F276="assignment",$F276="called_away"),$AF276&gt;0,$H276&gt;IF($AF276&gt;0,MAX(0,INDEX($AI$9:$AI$275,$AF276)-SUMIFS($AE$9:$AE$275,$G$9:$G$275,$G276,$B$9:$B$275,$B276)),0)),"Close quantity capped","OK")))))))))</f>
        <v/>
      </c>
      <c r="W276" s="59" t="str">
        <f t="shared" si="71"/>
        <v/>
      </c>
      <c r="X276" s="60" t="str">
        <f t="shared" si="72"/>
        <v/>
      </c>
      <c r="Y276" s="50" t="str">
        <f t="shared" si="73"/>
        <v/>
      </c>
      <c r="Z276" s="50" t="str">
        <f t="shared" si="74"/>
        <v/>
      </c>
      <c r="AA276" s="50" t="str">
        <f t="shared" si="75"/>
        <v/>
      </c>
      <c r="AB276" s="50" t="str">
        <f t="shared" si="76"/>
        <v/>
      </c>
      <c r="AC276" s="50" t="str">
        <f>IF($A276="","",IF($F276="assignment",IF($AF276&gt;0,INDEX($AH$9:$AH$275,$AF276),0)*$AE276*$D276,IF($F276="buy_shares",$M276*$AL276,0)))</f>
        <v/>
      </c>
      <c r="AD276" s="50" t="str">
        <f>IF($A276="","",IF($F276="called_away",IF($AF276&gt;0,INDEX($AH$9:$AH$275,$AF276),0)*$AL276,IF($F276="sell_shares",$M276*$AL276,0)))</f>
        <v/>
      </c>
      <c r="AE276" s="51" t="str">
        <f>IF($A276="","",IF(OR($F276="sell_put",$F276="sell_call"),IF(AND($H276&gt;0,$I276&gt;0,$J276&gt;=0),$H276,0),IF(OR($F276="buy_to_close",$F276="expire",$F276="roll",$F276="assignment",$F276="called_away"),IF(AND($AF276&gt;0,$H276&gt;0,IF($F276="assignment",IF($AF276&gt;0,INDEX($AG$9:$AG$275,$AF276),"")="put",TRUE),IF($F276="called_away",IF($AF276&gt;0,INDEX($AG$9:$AG$275,$AF276),"")="call",TRUE)),MIN($H276,IF($AF276&gt;0,MAX(0,INDEX($AI$9:$AI$275,$AF276)-SUMIFS($AE$9:$AE$275,$G$9:$G$275,$G276,$B$9:$B$275,$B276)),0)),0),0)))</f>
        <v/>
      </c>
      <c r="AF276" t="str">
        <f>IF($A276="","",IFERROR(MATCH(LEN($B276)&amp;":"&amp;$B276&amp;$G276,$AY$9:$AY$275,0),0))</f>
        <v/>
      </c>
      <c r="AG276" t="str">
        <f>IF($A276="","",IF($F276="sell_put","put",IF($F276="sell_call","call",IF($F276="roll",IF($AF276&gt;0,IF($AF276&gt;0,INDEX($AG$9:$AG$275,$AF276),""),""),IF($AF276&gt;0,IF($AF276&gt;0,INDEX($AG$9:$AG$275,$AF276),""),"")))))</f>
        <v/>
      </c>
      <c r="AH276" t="str">
        <f>IF($A276="","",IF(OR($F276="sell_put",$F276="sell_call",$F276="roll"),$I276,IF($AF276&gt;0,IF($AF276&gt;0,INDEX($AH$9:$AH$275,$AF276),0),0)))</f>
        <v/>
      </c>
      <c r="AI276" s="51" t="str">
        <f t="shared" si="77"/>
        <v/>
      </c>
      <c r="AJ276" s="51" t="str">
        <f>IF($A276="","",IFERROR(LOOKUP(2,1/($B$9:$B$275=$B276),$AM$9:$AM275),0))</f>
        <v/>
      </c>
      <c r="AK276" t="str">
        <f>IF($A276="","",IFERROR(LOOKUP(2,1/($B$9:$B$275=$B276),$AN$9:$AN275),0))</f>
        <v/>
      </c>
      <c r="AL276" s="51" t="str">
        <f t="shared" si="78"/>
        <v/>
      </c>
      <c r="AM276" s="51" t="str">
        <f t="shared" si="79"/>
        <v/>
      </c>
      <c r="AN276" t="str">
        <f t="shared" si="80"/>
        <v/>
      </c>
      <c r="AO276" s="50" t="str">
        <f>IF($A276="","",IFERROR(LOOKUP(2,1/($B$9:$B$275=$B276),$AO$9:$AO275),0)+IF($F276="sell_put",$I276*$AE276*$D276,IF($F276="roll",IF($AG276="put",($I276-IF($AF276&gt;0,INDEX($AH$9:$AH$275,$AF276),0))*$AE276*$D276,0),IF(AND(OR($F276="buy_to_close",$F276="expire",$F276="roll",$F276="assignment",$F276="called_away"),$F276&lt;&gt;"roll",$AG276="put"),-IF($AF276&gt;0,INDEX($AH$9:$AH$275,$AF276),0)*$AE276*$D276,0))))</f>
        <v/>
      </c>
      <c r="AP276" s="51" t="str">
        <f>IF($A276="","",IFERROR(LOOKUP(2,1/($B$9:$B$275=$B276),$AP$9:$AP275),0)+IF($F276="sell_put",$AE276*$D276,IF(AND(OR($F276="buy_to_close",$F276="expire",$F276="roll",$F276="assignment",$F276="called_away"),$F276&lt;&gt;"roll",$AG276="put"),-$AE276*$D276,0)))</f>
        <v/>
      </c>
      <c r="AQ276" s="51" t="str">
        <f>IF($A276="","",IFERROR(LOOKUP(2,1/($B$9:$B$275=$B276),$AQ$9:$AQ275),0)+IF(OR($F276="sell_put",$F276="sell_call"),$AE276,0)-IF(AND(OR($F276="buy_to_close",$F276="expire",$F276="roll",$F276="assignment",$F276="called_away"),$F276&lt;&gt;"roll"),$AE276,0))</f>
        <v/>
      </c>
      <c r="AR276" t="str">
        <f t="shared" si="81"/>
        <v/>
      </c>
      <c r="AS276" s="50" t="str">
        <f t="shared" si="82"/>
        <v/>
      </c>
      <c r="AT276" s="50" t="str">
        <f>IF($A276="","",MAX(IF($T276=IFERROR(LOOKUP(2,1/($B$9:$B$275=$B276),$T$9:$T275),0),IFERROR(LOOKUP(2,1/($B$9:$B$275=$B276),$AT$9:$AT275),0),0),$AS276))</f>
        <v/>
      </c>
      <c r="AU276" t="str">
        <f t="shared" si="83"/>
        <v/>
      </c>
      <c r="AV276" s="51">
        <f>IF($AU276="",0,IF(AND(IFERROR(LOOKUP(2,1/($B$9:$B$275=$B276),$AR$9:$AR275),1),NOT(AND(OR($F276="dividend",$F276="fee"),IFERROR(LOOKUP(2,1/($B$9:$B$275=$B276),$T$9:$T275),0)&gt;0))),ROW(),0))</f>
        <v>0</v>
      </c>
      <c r="AW276">
        <f>IF($A276="",0,IF($AV276&gt;0,MAX($AW$9:$AW$275)+1,MAX($AW$9:$AW$275)))</f>
        <v>0</v>
      </c>
      <c r="AX276">
        <f>IF($AU276="",0,IF(AND($AR276,OR(NOT(IFERROR(LOOKUP(2,1/($B$9:$B$275=$B276),$AR$9:$AR275),1)),IFERROR(LOOKUP(2,1/($B$9:$B$275=$B276),$T$9:$T275),0)=0)),ROW(),0))</f>
        <v>0</v>
      </c>
      <c r="AY276" t="str">
        <f t="shared" si="84"/>
        <v/>
      </c>
    </row>
    <row r="277" spans="1:51" ht="15" x14ac:dyDescent="0.25">
      <c r="A277" s="41" t="str">
        <f>IF(Trades!$A277="","",Trades!O277)</f>
        <v/>
      </c>
      <c r="B277" s="41" t="str">
        <f>IF(Trades!$A277="","",Trades!B277)</f>
        <v/>
      </c>
      <c r="C277" s="41" t="str">
        <f>IF(Trades!$A277="","",Trades!C277)</f>
        <v/>
      </c>
      <c r="D277" s="42" t="str">
        <f>IF(Trades!$A277="","",IF(Trades!$L277&gt;0,Trades!$L277,Trades!$C$6))</f>
        <v/>
      </c>
      <c r="E277" s="43" t="str">
        <f>IF(Trades!$A277="","",Trades!A277)</f>
        <v/>
      </c>
      <c r="F277" s="41" t="str">
        <f>IF(Trades!$A277="","",IFERROR(INDEX(Trades!$V$2:$V$14,MATCH(Trades!$E277,Trades!$U$2:$U$14,0)),""))</f>
        <v/>
      </c>
      <c r="G277" s="41" t="str">
        <f>IF(Trades!$A277="","",Trades!N277)</f>
        <v/>
      </c>
      <c r="H277" s="42" t="str">
        <f>IF(Trades!$A277="","",Trades!F277)</f>
        <v/>
      </c>
      <c r="I277" s="44" t="str">
        <f>IF(Trades!$A277="","",Trades!G277)</f>
        <v/>
      </c>
      <c r="J277" s="44" t="str">
        <f>IF(Trades!$A277="","",Trades!I277)</f>
        <v/>
      </c>
      <c r="K277" s="44" t="str">
        <f>IF(Trades!$A277="","",Trades!Q277)</f>
        <v/>
      </c>
      <c r="L277" s="42" t="str">
        <f>IF(Trades!$A277="","",Trades!F277)</f>
        <v/>
      </c>
      <c r="M277" s="44" t="str">
        <f>IF(Trades!$A277="","",Trades!M277)</f>
        <v/>
      </c>
      <c r="N277" s="44" t="str">
        <f>IF(Trades!$A277="","",Trades!R277)</f>
        <v/>
      </c>
      <c r="O277" s="44" t="str">
        <f>IF(Trades!$A277="","",Trades!J277)</f>
        <v/>
      </c>
      <c r="P277" s="43" t="str">
        <f>IF(Trades!$A277="","",Trades!H277)</f>
        <v/>
      </c>
      <c r="Q277" s="41" t="str">
        <f>IF(Trades!$A277="","",Trades!P277)</f>
        <v/>
      </c>
      <c r="R277" s="45" t="str">
        <f t="shared" si="68"/>
        <v/>
      </c>
      <c r="S277" s="45" t="str">
        <f t="shared" si="69"/>
        <v/>
      </c>
      <c r="T277" s="46" t="str">
        <f>IF(OR($A277="",$B277=""),"",IF(AND(IFERROR(LOOKUP(2,1/($B$9:$B$276=$B277),$AR$9:$AR276),1),NOT(AND(OR($F277="dividend",$F277="fee"),IFERROR(LOOKUP(2,1/($B$9:$B$276=$B277),$T$9:$T276),0)&gt;0))),IFERROR(LOOKUP(2,1/($B$9:$B$276=$B277),$T$9:$T276),0)+1,IFERROR(LOOKUP(2,1/($B$9:$B$276=$B277),$T$9:$T276),0)))</f>
        <v/>
      </c>
      <c r="U277" s="47" t="str">
        <f t="shared" si="70"/>
        <v/>
      </c>
      <c r="V277" s="47" t="str">
        <f>IF($A277="","",IF(OR($B277="",$C277="",$D277="",$E277="",$F277=""),"Missing required field",IF(COUNTIFS($A$9:$A277,$A277,$B$9:$B277,$B277)&gt;1,"Duplicate event ID",IF(AND($E277&lt;&gt;IFERROR(LOOKUP(2,1/($B$9:$B$276=$B277),$E$9:$E276),0),IFERROR(LOOKUP(2,1/($B$9:$B$276=$B277),$E$9:$E276),0)&gt;$E277),"Date out of order",IF(AND(OR($F277="buy_to_close",$F277="expire",$F277="roll",$F277="assignment",$F277="called_away"),$AF277=0),"Unknown lot",IF(OR(AND($F277="assignment",$AF277&gt;0,IF($AF277&gt;0,INDEX($AG$9:$AG$276,$AF277),"")&lt;&gt;"put"),AND($F277="called_away",$AF277&gt;0,IF($AF277&gt;0,INDEX($AG$9:$AG$276,$AF277),"")&lt;&gt;"call")),"Wrong option leg",IF(OR(AND(OR($F277="sell_put",$F277="sell_call"),OR($H277&lt;=0,$I277&lt;=0,$J277&lt;0)),AND(OR($F277="buy_to_close",$F277="expire",$F277="assignment",$F277="called_away"),OR($H277&lt;=0,$J277&lt;0)),AND($F277="roll",OR($H277&lt;=0,$I277&lt;=0,$J277&lt;0,$K277&lt;0)),AND(OR($F277="buy_shares",$F277="sell_shares"),OR($L277&lt;=0,$M277&lt;0)),AND(OR($F277="dividend",$F277="fee"),$N277&lt;0)),"Invalid value",IF(AND(OR($F277="sell_shares",$F277="called_away"),$AL277&lt;IF($F277="called_away",$AE277*$D277,$L277)),"Insufficient shares (capped)",IF(AND(OR($F277="buy_to_close",$F277="expire",$F277="roll",$F277="assignment",$F277="called_away"),$AF277&gt;0,$H277&gt;IF($AF277&gt;0,MAX(0,INDEX($AI$9:$AI$276,$AF277)-SUMIFS($AE$9:$AE$276,$G$9:$G$276,$G277,$B$9:$B$276,$B277)),0)),"Close quantity capped","OK")))))))))</f>
        <v/>
      </c>
      <c r="W277" s="48" t="str">
        <f t="shared" si="71"/>
        <v/>
      </c>
      <c r="X277" s="49" t="str">
        <f t="shared" si="72"/>
        <v/>
      </c>
      <c r="Y277" s="50" t="str">
        <f t="shared" si="73"/>
        <v/>
      </c>
      <c r="Z277" s="50" t="str">
        <f t="shared" si="74"/>
        <v/>
      </c>
      <c r="AA277" s="50" t="str">
        <f t="shared" si="75"/>
        <v/>
      </c>
      <c r="AB277" s="50" t="str">
        <f t="shared" si="76"/>
        <v/>
      </c>
      <c r="AC277" s="50" t="str">
        <f>IF($A277="","",IF($F277="assignment",IF($AF277&gt;0,INDEX($AH$9:$AH$276,$AF277),0)*$AE277*$D277,IF($F277="buy_shares",$M277*$AL277,0)))</f>
        <v/>
      </c>
      <c r="AD277" s="50" t="str">
        <f>IF($A277="","",IF($F277="called_away",IF($AF277&gt;0,INDEX($AH$9:$AH$276,$AF277),0)*$AL277,IF($F277="sell_shares",$M277*$AL277,0)))</f>
        <v/>
      </c>
      <c r="AE277" s="51" t="str">
        <f>IF($A277="","",IF(OR($F277="sell_put",$F277="sell_call"),IF(AND($H277&gt;0,$I277&gt;0,$J277&gt;=0),$H277,0),IF(OR($F277="buy_to_close",$F277="expire",$F277="roll",$F277="assignment",$F277="called_away"),IF(AND($AF277&gt;0,$H277&gt;0,IF($F277="assignment",IF($AF277&gt;0,INDEX($AG$9:$AG$276,$AF277),"")="put",TRUE),IF($F277="called_away",IF($AF277&gt;0,INDEX($AG$9:$AG$276,$AF277),"")="call",TRUE)),MIN($H277,IF($AF277&gt;0,MAX(0,INDEX($AI$9:$AI$276,$AF277)-SUMIFS($AE$9:$AE$276,$G$9:$G$276,$G277,$B$9:$B$276,$B277)),0)),0),0)))</f>
        <v/>
      </c>
      <c r="AF277" t="str">
        <f>IF($A277="","",IFERROR(MATCH(LEN($B277)&amp;":"&amp;$B277&amp;$G277,$AY$9:$AY$276,0),0))</f>
        <v/>
      </c>
      <c r="AG277" t="str">
        <f>IF($A277="","",IF($F277="sell_put","put",IF($F277="sell_call","call",IF($F277="roll",IF($AF277&gt;0,IF($AF277&gt;0,INDEX($AG$9:$AG$276,$AF277),""),""),IF($AF277&gt;0,IF($AF277&gt;0,INDEX($AG$9:$AG$276,$AF277),""),"")))))</f>
        <v/>
      </c>
      <c r="AH277" t="str">
        <f>IF($A277="","",IF(OR($F277="sell_put",$F277="sell_call",$F277="roll"),$I277,IF($AF277&gt;0,IF($AF277&gt;0,INDEX($AH$9:$AH$276,$AF277),0),0)))</f>
        <v/>
      </c>
      <c r="AI277" s="51" t="str">
        <f t="shared" si="77"/>
        <v/>
      </c>
      <c r="AJ277" s="51" t="str">
        <f>IF($A277="","",IFERROR(LOOKUP(2,1/($B$9:$B$276=$B277),$AM$9:$AM276),0))</f>
        <v/>
      </c>
      <c r="AK277" t="str">
        <f>IF($A277="","",IFERROR(LOOKUP(2,1/($B$9:$B$276=$B277),$AN$9:$AN276),0))</f>
        <v/>
      </c>
      <c r="AL277" s="51" t="str">
        <f t="shared" si="78"/>
        <v/>
      </c>
      <c r="AM277" s="51" t="str">
        <f t="shared" si="79"/>
        <v/>
      </c>
      <c r="AN277" t="str">
        <f t="shared" si="80"/>
        <v/>
      </c>
      <c r="AO277" s="50" t="str">
        <f>IF($A277="","",IFERROR(LOOKUP(2,1/($B$9:$B$276=$B277),$AO$9:$AO276),0)+IF($F277="sell_put",$I277*$AE277*$D277,IF($F277="roll",IF($AG277="put",($I277-IF($AF277&gt;0,INDEX($AH$9:$AH$276,$AF277),0))*$AE277*$D277,0),IF(AND(OR($F277="buy_to_close",$F277="expire",$F277="roll",$F277="assignment",$F277="called_away"),$F277&lt;&gt;"roll",$AG277="put"),-IF($AF277&gt;0,INDEX($AH$9:$AH$276,$AF277),0)*$AE277*$D277,0))))</f>
        <v/>
      </c>
      <c r="AP277" s="51" t="str">
        <f>IF($A277="","",IFERROR(LOOKUP(2,1/($B$9:$B$276=$B277),$AP$9:$AP276),0)+IF($F277="sell_put",$AE277*$D277,IF(AND(OR($F277="buy_to_close",$F277="expire",$F277="roll",$F277="assignment",$F277="called_away"),$F277&lt;&gt;"roll",$AG277="put"),-$AE277*$D277,0)))</f>
        <v/>
      </c>
      <c r="AQ277" s="51" t="str">
        <f>IF($A277="","",IFERROR(LOOKUP(2,1/($B$9:$B$276=$B277),$AQ$9:$AQ276),0)+IF(OR($F277="sell_put",$F277="sell_call"),$AE277,0)-IF(AND(OR($F277="buy_to_close",$F277="expire",$F277="roll",$F277="assignment",$F277="called_away"),$F277&lt;&gt;"roll"),$AE277,0))</f>
        <v/>
      </c>
      <c r="AR277" t="str">
        <f t="shared" si="81"/>
        <v/>
      </c>
      <c r="AS277" s="50" t="str">
        <f t="shared" si="82"/>
        <v/>
      </c>
      <c r="AT277" s="50" t="str">
        <f>IF($A277="","",MAX(IF($T277=IFERROR(LOOKUP(2,1/($B$9:$B$276=$B277),$T$9:$T276),0),IFERROR(LOOKUP(2,1/($B$9:$B$276=$B277),$AT$9:$AT276),0),0),$AS277))</f>
        <v/>
      </c>
      <c r="AU277" t="str">
        <f t="shared" si="83"/>
        <v/>
      </c>
      <c r="AV277" s="51">
        <f>IF($AU277="",0,IF(AND(IFERROR(LOOKUP(2,1/($B$9:$B$276=$B277),$AR$9:$AR276),1),NOT(AND(OR($F277="dividend",$F277="fee"),IFERROR(LOOKUP(2,1/($B$9:$B$276=$B277),$T$9:$T276),0)&gt;0))),ROW(),0))</f>
        <v>0</v>
      </c>
      <c r="AW277">
        <f>IF($A277="",0,IF($AV277&gt;0,MAX($AW$9:$AW$276)+1,MAX($AW$9:$AW$276)))</f>
        <v>0</v>
      </c>
      <c r="AX277">
        <f>IF($AU277="",0,IF(AND($AR277,OR(NOT(IFERROR(LOOKUP(2,1/($B$9:$B$276=$B277),$AR$9:$AR276),1)),IFERROR(LOOKUP(2,1/($B$9:$B$276=$B277),$T$9:$T276),0)=0)),ROW(),0))</f>
        <v>0</v>
      </c>
      <c r="AY277" t="str">
        <f t="shared" si="84"/>
        <v/>
      </c>
    </row>
    <row r="278" spans="1:51" ht="15" x14ac:dyDescent="0.25">
      <c r="A278" s="52" t="str">
        <f>IF(Trades!$A278="","",Trades!O278)</f>
        <v/>
      </c>
      <c r="B278" s="52" t="str">
        <f>IF(Trades!$A278="","",Trades!B278)</f>
        <v/>
      </c>
      <c r="C278" s="52" t="str">
        <f>IF(Trades!$A278="","",Trades!C278)</f>
        <v/>
      </c>
      <c r="D278" s="53" t="str">
        <f>IF(Trades!$A278="","",IF(Trades!$L278&gt;0,Trades!$L278,Trades!$C$6))</f>
        <v/>
      </c>
      <c r="E278" s="54" t="str">
        <f>IF(Trades!$A278="","",Trades!A278)</f>
        <v/>
      </c>
      <c r="F278" s="52" t="str">
        <f>IF(Trades!$A278="","",IFERROR(INDEX(Trades!$V$2:$V$14,MATCH(Trades!$E278,Trades!$U$2:$U$14,0)),""))</f>
        <v/>
      </c>
      <c r="G278" s="52" t="str">
        <f>IF(Trades!$A278="","",Trades!N278)</f>
        <v/>
      </c>
      <c r="H278" s="53" t="str">
        <f>IF(Trades!$A278="","",Trades!F278)</f>
        <v/>
      </c>
      <c r="I278" s="55" t="str">
        <f>IF(Trades!$A278="","",Trades!G278)</f>
        <v/>
      </c>
      <c r="J278" s="55" t="str">
        <f>IF(Trades!$A278="","",Trades!I278)</f>
        <v/>
      </c>
      <c r="K278" s="55" t="str">
        <f>IF(Trades!$A278="","",Trades!Q278)</f>
        <v/>
      </c>
      <c r="L278" s="53" t="str">
        <f>IF(Trades!$A278="","",Trades!F278)</f>
        <v/>
      </c>
      <c r="M278" s="55" t="str">
        <f>IF(Trades!$A278="","",Trades!M278)</f>
        <v/>
      </c>
      <c r="N278" s="55" t="str">
        <f>IF(Trades!$A278="","",Trades!R278)</f>
        <v/>
      </c>
      <c r="O278" s="55" t="str">
        <f>IF(Trades!$A278="","",Trades!J278)</f>
        <v/>
      </c>
      <c r="P278" s="54" t="str">
        <f>IF(Trades!$A278="","",Trades!H278)</f>
        <v/>
      </c>
      <c r="Q278" s="52" t="str">
        <f>IF(Trades!$A278="","",Trades!P278)</f>
        <v/>
      </c>
      <c r="R278" s="56" t="str">
        <f t="shared" si="68"/>
        <v/>
      </c>
      <c r="S278" s="56" t="str">
        <f t="shared" si="69"/>
        <v/>
      </c>
      <c r="T278" s="57" t="str">
        <f>IF(OR($A278="",$B278=""),"",IF(AND(IFERROR(LOOKUP(2,1/($B$9:$B$277=$B278),$AR$9:$AR277),1),NOT(AND(OR($F278="dividend",$F278="fee"),IFERROR(LOOKUP(2,1/($B$9:$B$277=$B278),$T$9:$T277),0)&gt;0))),IFERROR(LOOKUP(2,1/($B$9:$B$277=$B278),$T$9:$T277),0)+1,IFERROR(LOOKUP(2,1/($B$9:$B$277=$B278),$T$9:$T277),0)))</f>
        <v/>
      </c>
      <c r="U278" s="58" t="str">
        <f t="shared" si="70"/>
        <v/>
      </c>
      <c r="V278" s="58" t="str">
        <f>IF($A278="","",IF(OR($B278="",$C278="",$D278="",$E278="",$F278=""),"Missing required field",IF(COUNTIFS($A$9:$A278,$A278,$B$9:$B278,$B278)&gt;1,"Duplicate event ID",IF(AND($E278&lt;&gt;IFERROR(LOOKUP(2,1/($B$9:$B$277=$B278),$E$9:$E277),0),IFERROR(LOOKUP(2,1/($B$9:$B$277=$B278),$E$9:$E277),0)&gt;$E278),"Date out of order",IF(AND(OR($F278="buy_to_close",$F278="expire",$F278="roll",$F278="assignment",$F278="called_away"),$AF278=0),"Unknown lot",IF(OR(AND($F278="assignment",$AF278&gt;0,IF($AF278&gt;0,INDEX($AG$9:$AG$277,$AF278),"")&lt;&gt;"put"),AND($F278="called_away",$AF278&gt;0,IF($AF278&gt;0,INDEX($AG$9:$AG$277,$AF278),"")&lt;&gt;"call")),"Wrong option leg",IF(OR(AND(OR($F278="sell_put",$F278="sell_call"),OR($H278&lt;=0,$I278&lt;=0,$J278&lt;0)),AND(OR($F278="buy_to_close",$F278="expire",$F278="assignment",$F278="called_away"),OR($H278&lt;=0,$J278&lt;0)),AND($F278="roll",OR($H278&lt;=0,$I278&lt;=0,$J278&lt;0,$K278&lt;0)),AND(OR($F278="buy_shares",$F278="sell_shares"),OR($L278&lt;=0,$M278&lt;0)),AND(OR($F278="dividend",$F278="fee"),$N278&lt;0)),"Invalid value",IF(AND(OR($F278="sell_shares",$F278="called_away"),$AL278&lt;IF($F278="called_away",$AE278*$D278,$L278)),"Insufficient shares (capped)",IF(AND(OR($F278="buy_to_close",$F278="expire",$F278="roll",$F278="assignment",$F278="called_away"),$AF278&gt;0,$H278&gt;IF($AF278&gt;0,MAX(0,INDEX($AI$9:$AI$277,$AF278)-SUMIFS($AE$9:$AE$277,$G$9:$G$277,$G278,$B$9:$B$277,$B278)),0)),"Close quantity capped","OK")))))))))</f>
        <v/>
      </c>
      <c r="W278" s="59" t="str">
        <f t="shared" si="71"/>
        <v/>
      </c>
      <c r="X278" s="60" t="str">
        <f t="shared" si="72"/>
        <v/>
      </c>
      <c r="Y278" s="50" t="str">
        <f t="shared" si="73"/>
        <v/>
      </c>
      <c r="Z278" s="50" t="str">
        <f t="shared" si="74"/>
        <v/>
      </c>
      <c r="AA278" s="50" t="str">
        <f t="shared" si="75"/>
        <v/>
      </c>
      <c r="AB278" s="50" t="str">
        <f t="shared" si="76"/>
        <v/>
      </c>
      <c r="AC278" s="50" t="str">
        <f>IF($A278="","",IF($F278="assignment",IF($AF278&gt;0,INDEX($AH$9:$AH$277,$AF278),0)*$AE278*$D278,IF($F278="buy_shares",$M278*$AL278,0)))</f>
        <v/>
      </c>
      <c r="AD278" s="50" t="str">
        <f>IF($A278="","",IF($F278="called_away",IF($AF278&gt;0,INDEX($AH$9:$AH$277,$AF278),0)*$AL278,IF($F278="sell_shares",$M278*$AL278,0)))</f>
        <v/>
      </c>
      <c r="AE278" s="51" t="str">
        <f>IF($A278="","",IF(OR($F278="sell_put",$F278="sell_call"),IF(AND($H278&gt;0,$I278&gt;0,$J278&gt;=0),$H278,0),IF(OR($F278="buy_to_close",$F278="expire",$F278="roll",$F278="assignment",$F278="called_away"),IF(AND($AF278&gt;0,$H278&gt;0,IF($F278="assignment",IF($AF278&gt;0,INDEX($AG$9:$AG$277,$AF278),"")="put",TRUE),IF($F278="called_away",IF($AF278&gt;0,INDEX($AG$9:$AG$277,$AF278),"")="call",TRUE)),MIN($H278,IF($AF278&gt;0,MAX(0,INDEX($AI$9:$AI$277,$AF278)-SUMIFS($AE$9:$AE$277,$G$9:$G$277,$G278,$B$9:$B$277,$B278)),0)),0),0)))</f>
        <v/>
      </c>
      <c r="AF278" t="str">
        <f>IF($A278="","",IFERROR(MATCH(LEN($B278)&amp;":"&amp;$B278&amp;$G278,$AY$9:$AY$277,0),0))</f>
        <v/>
      </c>
      <c r="AG278" t="str">
        <f>IF($A278="","",IF($F278="sell_put","put",IF($F278="sell_call","call",IF($F278="roll",IF($AF278&gt;0,IF($AF278&gt;0,INDEX($AG$9:$AG$277,$AF278),""),""),IF($AF278&gt;0,IF($AF278&gt;0,INDEX($AG$9:$AG$277,$AF278),""),"")))))</f>
        <v/>
      </c>
      <c r="AH278" t="str">
        <f>IF($A278="","",IF(OR($F278="sell_put",$F278="sell_call",$F278="roll"),$I278,IF($AF278&gt;0,IF($AF278&gt;0,INDEX($AH$9:$AH$277,$AF278),0),0)))</f>
        <v/>
      </c>
      <c r="AI278" s="51" t="str">
        <f t="shared" si="77"/>
        <v/>
      </c>
      <c r="AJ278" s="51" t="str">
        <f>IF($A278="","",IFERROR(LOOKUP(2,1/($B$9:$B$277=$B278),$AM$9:$AM277),0))</f>
        <v/>
      </c>
      <c r="AK278" t="str">
        <f>IF($A278="","",IFERROR(LOOKUP(2,1/($B$9:$B$277=$B278),$AN$9:$AN277),0))</f>
        <v/>
      </c>
      <c r="AL278" s="51" t="str">
        <f t="shared" si="78"/>
        <v/>
      </c>
      <c r="AM278" s="51" t="str">
        <f t="shared" si="79"/>
        <v/>
      </c>
      <c r="AN278" t="str">
        <f t="shared" si="80"/>
        <v/>
      </c>
      <c r="AO278" s="50" t="str">
        <f>IF($A278="","",IFERROR(LOOKUP(2,1/($B$9:$B$277=$B278),$AO$9:$AO277),0)+IF($F278="sell_put",$I278*$AE278*$D278,IF($F278="roll",IF($AG278="put",($I278-IF($AF278&gt;0,INDEX($AH$9:$AH$277,$AF278),0))*$AE278*$D278,0),IF(AND(OR($F278="buy_to_close",$F278="expire",$F278="roll",$F278="assignment",$F278="called_away"),$F278&lt;&gt;"roll",$AG278="put"),-IF($AF278&gt;0,INDEX($AH$9:$AH$277,$AF278),0)*$AE278*$D278,0))))</f>
        <v/>
      </c>
      <c r="AP278" s="51" t="str">
        <f>IF($A278="","",IFERROR(LOOKUP(2,1/($B$9:$B$277=$B278),$AP$9:$AP277),0)+IF($F278="sell_put",$AE278*$D278,IF(AND(OR($F278="buy_to_close",$F278="expire",$F278="roll",$F278="assignment",$F278="called_away"),$F278&lt;&gt;"roll",$AG278="put"),-$AE278*$D278,0)))</f>
        <v/>
      </c>
      <c r="AQ278" s="51" t="str">
        <f>IF($A278="","",IFERROR(LOOKUP(2,1/($B$9:$B$277=$B278),$AQ$9:$AQ277),0)+IF(OR($F278="sell_put",$F278="sell_call"),$AE278,0)-IF(AND(OR($F278="buy_to_close",$F278="expire",$F278="roll",$F278="assignment",$F278="called_away"),$F278&lt;&gt;"roll"),$AE278,0))</f>
        <v/>
      </c>
      <c r="AR278" t="str">
        <f t="shared" si="81"/>
        <v/>
      </c>
      <c r="AS278" s="50" t="str">
        <f t="shared" si="82"/>
        <v/>
      </c>
      <c r="AT278" s="50" t="str">
        <f>IF($A278="","",MAX(IF($T278=IFERROR(LOOKUP(2,1/($B$9:$B$277=$B278),$T$9:$T277),0),IFERROR(LOOKUP(2,1/($B$9:$B$277=$B278),$AT$9:$AT277),0),0),$AS278))</f>
        <v/>
      </c>
      <c r="AU278" t="str">
        <f t="shared" si="83"/>
        <v/>
      </c>
      <c r="AV278" s="51">
        <f>IF($AU278="",0,IF(AND(IFERROR(LOOKUP(2,1/($B$9:$B$277=$B278),$AR$9:$AR277),1),NOT(AND(OR($F278="dividend",$F278="fee"),IFERROR(LOOKUP(2,1/($B$9:$B$277=$B278),$T$9:$T277),0)&gt;0))),ROW(),0))</f>
        <v>0</v>
      </c>
      <c r="AW278">
        <f>IF($A278="",0,IF($AV278&gt;0,MAX($AW$9:$AW$277)+1,MAX($AW$9:$AW$277)))</f>
        <v>0</v>
      </c>
      <c r="AX278">
        <f>IF($AU278="",0,IF(AND($AR278,OR(NOT(IFERROR(LOOKUP(2,1/($B$9:$B$277=$B278),$AR$9:$AR277),1)),IFERROR(LOOKUP(2,1/($B$9:$B$277=$B278),$T$9:$T277),0)=0)),ROW(),0))</f>
        <v>0</v>
      </c>
      <c r="AY278" t="str">
        <f t="shared" si="84"/>
        <v/>
      </c>
    </row>
    <row r="279" spans="1:51" ht="15" x14ac:dyDescent="0.25">
      <c r="A279" s="41" t="str">
        <f>IF(Trades!$A279="","",Trades!O279)</f>
        <v/>
      </c>
      <c r="B279" s="41" t="str">
        <f>IF(Trades!$A279="","",Trades!B279)</f>
        <v/>
      </c>
      <c r="C279" s="41" t="str">
        <f>IF(Trades!$A279="","",Trades!C279)</f>
        <v/>
      </c>
      <c r="D279" s="42" t="str">
        <f>IF(Trades!$A279="","",IF(Trades!$L279&gt;0,Trades!$L279,Trades!$C$6))</f>
        <v/>
      </c>
      <c r="E279" s="43" t="str">
        <f>IF(Trades!$A279="","",Trades!A279)</f>
        <v/>
      </c>
      <c r="F279" s="41" t="str">
        <f>IF(Trades!$A279="","",IFERROR(INDEX(Trades!$V$2:$V$14,MATCH(Trades!$E279,Trades!$U$2:$U$14,0)),""))</f>
        <v/>
      </c>
      <c r="G279" s="41" t="str">
        <f>IF(Trades!$A279="","",Trades!N279)</f>
        <v/>
      </c>
      <c r="H279" s="42" t="str">
        <f>IF(Trades!$A279="","",Trades!F279)</f>
        <v/>
      </c>
      <c r="I279" s="44" t="str">
        <f>IF(Trades!$A279="","",Trades!G279)</f>
        <v/>
      </c>
      <c r="J279" s="44" t="str">
        <f>IF(Trades!$A279="","",Trades!I279)</f>
        <v/>
      </c>
      <c r="K279" s="44" t="str">
        <f>IF(Trades!$A279="","",Trades!Q279)</f>
        <v/>
      </c>
      <c r="L279" s="42" t="str">
        <f>IF(Trades!$A279="","",Trades!F279)</f>
        <v/>
      </c>
      <c r="M279" s="44" t="str">
        <f>IF(Trades!$A279="","",Trades!M279)</f>
        <v/>
      </c>
      <c r="N279" s="44" t="str">
        <f>IF(Trades!$A279="","",Trades!R279)</f>
        <v/>
      </c>
      <c r="O279" s="44" t="str">
        <f>IF(Trades!$A279="","",Trades!J279)</f>
        <v/>
      </c>
      <c r="P279" s="43" t="str">
        <f>IF(Trades!$A279="","",Trades!H279)</f>
        <v/>
      </c>
      <c r="Q279" s="41" t="str">
        <f>IF(Trades!$A279="","",Trades!P279)</f>
        <v/>
      </c>
      <c r="R279" s="45" t="str">
        <f t="shared" si="68"/>
        <v/>
      </c>
      <c r="S279" s="45" t="str">
        <f t="shared" si="69"/>
        <v/>
      </c>
      <c r="T279" s="46" t="str">
        <f>IF(OR($A279="",$B279=""),"",IF(AND(IFERROR(LOOKUP(2,1/($B$9:$B$278=$B279),$AR$9:$AR278),1),NOT(AND(OR($F279="dividend",$F279="fee"),IFERROR(LOOKUP(2,1/($B$9:$B$278=$B279),$T$9:$T278),0)&gt;0))),IFERROR(LOOKUP(2,1/($B$9:$B$278=$B279),$T$9:$T278),0)+1,IFERROR(LOOKUP(2,1/($B$9:$B$278=$B279),$T$9:$T278),0)))</f>
        <v/>
      </c>
      <c r="U279" s="47" t="str">
        <f t="shared" si="70"/>
        <v/>
      </c>
      <c r="V279" s="47" t="str">
        <f>IF($A279="","",IF(OR($B279="",$C279="",$D279="",$E279="",$F279=""),"Missing required field",IF(COUNTIFS($A$9:$A279,$A279,$B$9:$B279,$B279)&gt;1,"Duplicate event ID",IF(AND($E279&lt;&gt;IFERROR(LOOKUP(2,1/($B$9:$B$278=$B279),$E$9:$E278),0),IFERROR(LOOKUP(2,1/($B$9:$B$278=$B279),$E$9:$E278),0)&gt;$E279),"Date out of order",IF(AND(OR($F279="buy_to_close",$F279="expire",$F279="roll",$F279="assignment",$F279="called_away"),$AF279=0),"Unknown lot",IF(OR(AND($F279="assignment",$AF279&gt;0,IF($AF279&gt;0,INDEX($AG$9:$AG$278,$AF279),"")&lt;&gt;"put"),AND($F279="called_away",$AF279&gt;0,IF($AF279&gt;0,INDEX($AG$9:$AG$278,$AF279),"")&lt;&gt;"call")),"Wrong option leg",IF(OR(AND(OR($F279="sell_put",$F279="sell_call"),OR($H279&lt;=0,$I279&lt;=0,$J279&lt;0)),AND(OR($F279="buy_to_close",$F279="expire",$F279="assignment",$F279="called_away"),OR($H279&lt;=0,$J279&lt;0)),AND($F279="roll",OR($H279&lt;=0,$I279&lt;=0,$J279&lt;0,$K279&lt;0)),AND(OR($F279="buy_shares",$F279="sell_shares"),OR($L279&lt;=0,$M279&lt;0)),AND(OR($F279="dividend",$F279="fee"),$N279&lt;0)),"Invalid value",IF(AND(OR($F279="sell_shares",$F279="called_away"),$AL279&lt;IF($F279="called_away",$AE279*$D279,$L279)),"Insufficient shares (capped)",IF(AND(OR($F279="buy_to_close",$F279="expire",$F279="roll",$F279="assignment",$F279="called_away"),$AF279&gt;0,$H279&gt;IF($AF279&gt;0,MAX(0,INDEX($AI$9:$AI$278,$AF279)-SUMIFS($AE$9:$AE$278,$G$9:$G$278,$G279,$B$9:$B$278,$B279)),0)),"Close quantity capped","OK")))))))))</f>
        <v/>
      </c>
      <c r="W279" s="48" t="str">
        <f t="shared" si="71"/>
        <v/>
      </c>
      <c r="X279" s="49" t="str">
        <f t="shared" si="72"/>
        <v/>
      </c>
      <c r="Y279" s="50" t="str">
        <f t="shared" si="73"/>
        <v/>
      </c>
      <c r="Z279" s="50" t="str">
        <f t="shared" si="74"/>
        <v/>
      </c>
      <c r="AA279" s="50" t="str">
        <f t="shared" si="75"/>
        <v/>
      </c>
      <c r="AB279" s="50" t="str">
        <f t="shared" si="76"/>
        <v/>
      </c>
      <c r="AC279" s="50" t="str">
        <f>IF($A279="","",IF($F279="assignment",IF($AF279&gt;0,INDEX($AH$9:$AH$278,$AF279),0)*$AE279*$D279,IF($F279="buy_shares",$M279*$AL279,0)))</f>
        <v/>
      </c>
      <c r="AD279" s="50" t="str">
        <f>IF($A279="","",IF($F279="called_away",IF($AF279&gt;0,INDEX($AH$9:$AH$278,$AF279),0)*$AL279,IF($F279="sell_shares",$M279*$AL279,0)))</f>
        <v/>
      </c>
      <c r="AE279" s="51" t="str">
        <f>IF($A279="","",IF(OR($F279="sell_put",$F279="sell_call"),IF(AND($H279&gt;0,$I279&gt;0,$J279&gt;=0),$H279,0),IF(OR($F279="buy_to_close",$F279="expire",$F279="roll",$F279="assignment",$F279="called_away"),IF(AND($AF279&gt;0,$H279&gt;0,IF($F279="assignment",IF($AF279&gt;0,INDEX($AG$9:$AG$278,$AF279),"")="put",TRUE),IF($F279="called_away",IF($AF279&gt;0,INDEX($AG$9:$AG$278,$AF279),"")="call",TRUE)),MIN($H279,IF($AF279&gt;0,MAX(0,INDEX($AI$9:$AI$278,$AF279)-SUMIFS($AE$9:$AE$278,$G$9:$G$278,$G279,$B$9:$B$278,$B279)),0)),0),0)))</f>
        <v/>
      </c>
      <c r="AF279" t="str">
        <f>IF($A279="","",IFERROR(MATCH(LEN($B279)&amp;":"&amp;$B279&amp;$G279,$AY$9:$AY$278,0),0))</f>
        <v/>
      </c>
      <c r="AG279" t="str">
        <f>IF($A279="","",IF($F279="sell_put","put",IF($F279="sell_call","call",IF($F279="roll",IF($AF279&gt;0,IF($AF279&gt;0,INDEX($AG$9:$AG$278,$AF279),""),""),IF($AF279&gt;0,IF($AF279&gt;0,INDEX($AG$9:$AG$278,$AF279),""),"")))))</f>
        <v/>
      </c>
      <c r="AH279" t="str">
        <f>IF($A279="","",IF(OR($F279="sell_put",$F279="sell_call",$F279="roll"),$I279,IF($AF279&gt;0,IF($AF279&gt;0,INDEX($AH$9:$AH$278,$AF279),0),0)))</f>
        <v/>
      </c>
      <c r="AI279" s="51" t="str">
        <f t="shared" si="77"/>
        <v/>
      </c>
      <c r="AJ279" s="51" t="str">
        <f>IF($A279="","",IFERROR(LOOKUP(2,1/($B$9:$B$278=$B279),$AM$9:$AM278),0))</f>
        <v/>
      </c>
      <c r="AK279" t="str">
        <f>IF($A279="","",IFERROR(LOOKUP(2,1/($B$9:$B$278=$B279),$AN$9:$AN278),0))</f>
        <v/>
      </c>
      <c r="AL279" s="51" t="str">
        <f t="shared" si="78"/>
        <v/>
      </c>
      <c r="AM279" s="51" t="str">
        <f t="shared" si="79"/>
        <v/>
      </c>
      <c r="AN279" t="str">
        <f t="shared" si="80"/>
        <v/>
      </c>
      <c r="AO279" s="50" t="str">
        <f>IF($A279="","",IFERROR(LOOKUP(2,1/($B$9:$B$278=$B279),$AO$9:$AO278),0)+IF($F279="sell_put",$I279*$AE279*$D279,IF($F279="roll",IF($AG279="put",($I279-IF($AF279&gt;0,INDEX($AH$9:$AH$278,$AF279),0))*$AE279*$D279,0),IF(AND(OR($F279="buy_to_close",$F279="expire",$F279="roll",$F279="assignment",$F279="called_away"),$F279&lt;&gt;"roll",$AG279="put"),-IF($AF279&gt;0,INDEX($AH$9:$AH$278,$AF279),0)*$AE279*$D279,0))))</f>
        <v/>
      </c>
      <c r="AP279" s="51" t="str">
        <f>IF($A279="","",IFERROR(LOOKUP(2,1/($B$9:$B$278=$B279),$AP$9:$AP278),0)+IF($F279="sell_put",$AE279*$D279,IF(AND(OR($F279="buy_to_close",$F279="expire",$F279="roll",$F279="assignment",$F279="called_away"),$F279&lt;&gt;"roll",$AG279="put"),-$AE279*$D279,0)))</f>
        <v/>
      </c>
      <c r="AQ279" s="51" t="str">
        <f>IF($A279="","",IFERROR(LOOKUP(2,1/($B$9:$B$278=$B279),$AQ$9:$AQ278),0)+IF(OR($F279="sell_put",$F279="sell_call"),$AE279,0)-IF(AND(OR($F279="buy_to_close",$F279="expire",$F279="roll",$F279="assignment",$F279="called_away"),$F279&lt;&gt;"roll"),$AE279,0))</f>
        <v/>
      </c>
      <c r="AR279" t="str">
        <f t="shared" si="81"/>
        <v/>
      </c>
      <c r="AS279" s="50" t="str">
        <f t="shared" si="82"/>
        <v/>
      </c>
      <c r="AT279" s="50" t="str">
        <f>IF($A279="","",MAX(IF($T279=IFERROR(LOOKUP(2,1/($B$9:$B$278=$B279),$T$9:$T278),0),IFERROR(LOOKUP(2,1/($B$9:$B$278=$B279),$AT$9:$AT278),0),0),$AS279))</f>
        <v/>
      </c>
      <c r="AU279" t="str">
        <f t="shared" si="83"/>
        <v/>
      </c>
      <c r="AV279" s="51">
        <f>IF($AU279="",0,IF(AND(IFERROR(LOOKUP(2,1/($B$9:$B$278=$B279),$AR$9:$AR278),1),NOT(AND(OR($F279="dividend",$F279="fee"),IFERROR(LOOKUP(2,1/($B$9:$B$278=$B279),$T$9:$T278),0)&gt;0))),ROW(),0))</f>
        <v>0</v>
      </c>
      <c r="AW279">
        <f>IF($A279="",0,IF($AV279&gt;0,MAX($AW$9:$AW$278)+1,MAX($AW$9:$AW$278)))</f>
        <v>0</v>
      </c>
      <c r="AX279">
        <f>IF($AU279="",0,IF(AND($AR279,OR(NOT(IFERROR(LOOKUP(2,1/($B$9:$B$278=$B279),$AR$9:$AR278),1)),IFERROR(LOOKUP(2,1/($B$9:$B$278=$B279),$T$9:$T278),0)=0)),ROW(),0))</f>
        <v>0</v>
      </c>
      <c r="AY279" t="str">
        <f t="shared" si="84"/>
        <v/>
      </c>
    </row>
    <row r="280" spans="1:51" ht="15" x14ac:dyDescent="0.25">
      <c r="A280" s="52" t="str">
        <f>IF(Trades!$A280="","",Trades!O280)</f>
        <v/>
      </c>
      <c r="B280" s="52" t="str">
        <f>IF(Trades!$A280="","",Trades!B280)</f>
        <v/>
      </c>
      <c r="C280" s="52" t="str">
        <f>IF(Trades!$A280="","",Trades!C280)</f>
        <v/>
      </c>
      <c r="D280" s="53" t="str">
        <f>IF(Trades!$A280="","",IF(Trades!$L280&gt;0,Trades!$L280,Trades!$C$6))</f>
        <v/>
      </c>
      <c r="E280" s="54" t="str">
        <f>IF(Trades!$A280="","",Trades!A280)</f>
        <v/>
      </c>
      <c r="F280" s="52" t="str">
        <f>IF(Trades!$A280="","",IFERROR(INDEX(Trades!$V$2:$V$14,MATCH(Trades!$E280,Trades!$U$2:$U$14,0)),""))</f>
        <v/>
      </c>
      <c r="G280" s="52" t="str">
        <f>IF(Trades!$A280="","",Trades!N280)</f>
        <v/>
      </c>
      <c r="H280" s="53" t="str">
        <f>IF(Trades!$A280="","",Trades!F280)</f>
        <v/>
      </c>
      <c r="I280" s="55" t="str">
        <f>IF(Trades!$A280="","",Trades!G280)</f>
        <v/>
      </c>
      <c r="J280" s="55" t="str">
        <f>IF(Trades!$A280="","",Trades!I280)</f>
        <v/>
      </c>
      <c r="K280" s="55" t="str">
        <f>IF(Trades!$A280="","",Trades!Q280)</f>
        <v/>
      </c>
      <c r="L280" s="53" t="str">
        <f>IF(Trades!$A280="","",Trades!F280)</f>
        <v/>
      </c>
      <c r="M280" s="55" t="str">
        <f>IF(Trades!$A280="","",Trades!M280)</f>
        <v/>
      </c>
      <c r="N280" s="55" t="str">
        <f>IF(Trades!$A280="","",Trades!R280)</f>
        <v/>
      </c>
      <c r="O280" s="55" t="str">
        <f>IF(Trades!$A280="","",Trades!J280)</f>
        <v/>
      </c>
      <c r="P280" s="54" t="str">
        <f>IF(Trades!$A280="","",Trades!H280)</f>
        <v/>
      </c>
      <c r="Q280" s="52" t="str">
        <f>IF(Trades!$A280="","",Trades!P280)</f>
        <v/>
      </c>
      <c r="R280" s="56" t="str">
        <f t="shared" si="68"/>
        <v/>
      </c>
      <c r="S280" s="56" t="str">
        <f t="shared" si="69"/>
        <v/>
      </c>
      <c r="T280" s="57" t="str">
        <f>IF(OR($A280="",$B280=""),"",IF(AND(IFERROR(LOOKUP(2,1/($B$9:$B$279=$B280),$AR$9:$AR279),1),NOT(AND(OR($F280="dividend",$F280="fee"),IFERROR(LOOKUP(2,1/($B$9:$B$279=$B280),$T$9:$T279),0)&gt;0))),IFERROR(LOOKUP(2,1/($B$9:$B$279=$B280),$T$9:$T279),0)+1,IFERROR(LOOKUP(2,1/($B$9:$B$279=$B280),$T$9:$T279),0)))</f>
        <v/>
      </c>
      <c r="U280" s="58" t="str">
        <f t="shared" si="70"/>
        <v/>
      </c>
      <c r="V280" s="58" t="str">
        <f>IF($A280="","",IF(OR($B280="",$C280="",$D280="",$E280="",$F280=""),"Missing required field",IF(COUNTIFS($A$9:$A280,$A280,$B$9:$B280,$B280)&gt;1,"Duplicate event ID",IF(AND($E280&lt;&gt;IFERROR(LOOKUP(2,1/($B$9:$B$279=$B280),$E$9:$E279),0),IFERROR(LOOKUP(2,1/($B$9:$B$279=$B280),$E$9:$E279),0)&gt;$E280),"Date out of order",IF(AND(OR($F280="buy_to_close",$F280="expire",$F280="roll",$F280="assignment",$F280="called_away"),$AF280=0),"Unknown lot",IF(OR(AND($F280="assignment",$AF280&gt;0,IF($AF280&gt;0,INDEX($AG$9:$AG$279,$AF280),"")&lt;&gt;"put"),AND($F280="called_away",$AF280&gt;0,IF($AF280&gt;0,INDEX($AG$9:$AG$279,$AF280),"")&lt;&gt;"call")),"Wrong option leg",IF(OR(AND(OR($F280="sell_put",$F280="sell_call"),OR($H280&lt;=0,$I280&lt;=0,$J280&lt;0)),AND(OR($F280="buy_to_close",$F280="expire",$F280="assignment",$F280="called_away"),OR($H280&lt;=0,$J280&lt;0)),AND($F280="roll",OR($H280&lt;=0,$I280&lt;=0,$J280&lt;0,$K280&lt;0)),AND(OR($F280="buy_shares",$F280="sell_shares"),OR($L280&lt;=0,$M280&lt;0)),AND(OR($F280="dividend",$F280="fee"),$N280&lt;0)),"Invalid value",IF(AND(OR($F280="sell_shares",$F280="called_away"),$AL280&lt;IF($F280="called_away",$AE280*$D280,$L280)),"Insufficient shares (capped)",IF(AND(OR($F280="buy_to_close",$F280="expire",$F280="roll",$F280="assignment",$F280="called_away"),$AF280&gt;0,$H280&gt;IF($AF280&gt;0,MAX(0,INDEX($AI$9:$AI$279,$AF280)-SUMIFS($AE$9:$AE$279,$G$9:$G$279,$G280,$B$9:$B$279,$B280)),0)),"Close quantity capped","OK")))))))))</f>
        <v/>
      </c>
      <c r="W280" s="59" t="str">
        <f t="shared" si="71"/>
        <v/>
      </c>
      <c r="X280" s="60" t="str">
        <f t="shared" si="72"/>
        <v/>
      </c>
      <c r="Y280" s="50" t="str">
        <f t="shared" si="73"/>
        <v/>
      </c>
      <c r="Z280" s="50" t="str">
        <f t="shared" si="74"/>
        <v/>
      </c>
      <c r="AA280" s="50" t="str">
        <f t="shared" si="75"/>
        <v/>
      </c>
      <c r="AB280" s="50" t="str">
        <f t="shared" si="76"/>
        <v/>
      </c>
      <c r="AC280" s="50" t="str">
        <f>IF($A280="","",IF($F280="assignment",IF($AF280&gt;0,INDEX($AH$9:$AH$279,$AF280),0)*$AE280*$D280,IF($F280="buy_shares",$M280*$AL280,0)))</f>
        <v/>
      </c>
      <c r="AD280" s="50" t="str">
        <f>IF($A280="","",IF($F280="called_away",IF($AF280&gt;0,INDEX($AH$9:$AH$279,$AF280),0)*$AL280,IF($F280="sell_shares",$M280*$AL280,0)))</f>
        <v/>
      </c>
      <c r="AE280" s="51" t="str">
        <f>IF($A280="","",IF(OR($F280="sell_put",$F280="sell_call"),IF(AND($H280&gt;0,$I280&gt;0,$J280&gt;=0),$H280,0),IF(OR($F280="buy_to_close",$F280="expire",$F280="roll",$F280="assignment",$F280="called_away"),IF(AND($AF280&gt;0,$H280&gt;0,IF($F280="assignment",IF($AF280&gt;0,INDEX($AG$9:$AG$279,$AF280),"")="put",TRUE),IF($F280="called_away",IF($AF280&gt;0,INDEX($AG$9:$AG$279,$AF280),"")="call",TRUE)),MIN($H280,IF($AF280&gt;0,MAX(0,INDEX($AI$9:$AI$279,$AF280)-SUMIFS($AE$9:$AE$279,$G$9:$G$279,$G280,$B$9:$B$279,$B280)),0)),0),0)))</f>
        <v/>
      </c>
      <c r="AF280" t="str">
        <f>IF($A280="","",IFERROR(MATCH(LEN($B280)&amp;":"&amp;$B280&amp;$G280,$AY$9:$AY$279,0),0))</f>
        <v/>
      </c>
      <c r="AG280" t="str">
        <f>IF($A280="","",IF($F280="sell_put","put",IF($F280="sell_call","call",IF($F280="roll",IF($AF280&gt;0,IF($AF280&gt;0,INDEX($AG$9:$AG$279,$AF280),""),""),IF($AF280&gt;0,IF($AF280&gt;0,INDEX($AG$9:$AG$279,$AF280),""),"")))))</f>
        <v/>
      </c>
      <c r="AH280" t="str">
        <f>IF($A280="","",IF(OR($F280="sell_put",$F280="sell_call",$F280="roll"),$I280,IF($AF280&gt;0,IF($AF280&gt;0,INDEX($AH$9:$AH$279,$AF280),0),0)))</f>
        <v/>
      </c>
      <c r="AI280" s="51" t="str">
        <f t="shared" si="77"/>
        <v/>
      </c>
      <c r="AJ280" s="51" t="str">
        <f>IF($A280="","",IFERROR(LOOKUP(2,1/($B$9:$B$279=$B280),$AM$9:$AM279),0))</f>
        <v/>
      </c>
      <c r="AK280" t="str">
        <f>IF($A280="","",IFERROR(LOOKUP(2,1/($B$9:$B$279=$B280),$AN$9:$AN279),0))</f>
        <v/>
      </c>
      <c r="AL280" s="51" t="str">
        <f t="shared" si="78"/>
        <v/>
      </c>
      <c r="AM280" s="51" t="str">
        <f t="shared" si="79"/>
        <v/>
      </c>
      <c r="AN280" t="str">
        <f t="shared" si="80"/>
        <v/>
      </c>
      <c r="AO280" s="50" t="str">
        <f>IF($A280="","",IFERROR(LOOKUP(2,1/($B$9:$B$279=$B280),$AO$9:$AO279),0)+IF($F280="sell_put",$I280*$AE280*$D280,IF($F280="roll",IF($AG280="put",($I280-IF($AF280&gt;0,INDEX($AH$9:$AH$279,$AF280),0))*$AE280*$D280,0),IF(AND(OR($F280="buy_to_close",$F280="expire",$F280="roll",$F280="assignment",$F280="called_away"),$F280&lt;&gt;"roll",$AG280="put"),-IF($AF280&gt;0,INDEX($AH$9:$AH$279,$AF280),0)*$AE280*$D280,0))))</f>
        <v/>
      </c>
      <c r="AP280" s="51" t="str">
        <f>IF($A280="","",IFERROR(LOOKUP(2,1/($B$9:$B$279=$B280),$AP$9:$AP279),0)+IF($F280="sell_put",$AE280*$D280,IF(AND(OR($F280="buy_to_close",$F280="expire",$F280="roll",$F280="assignment",$F280="called_away"),$F280&lt;&gt;"roll",$AG280="put"),-$AE280*$D280,0)))</f>
        <v/>
      </c>
      <c r="AQ280" s="51" t="str">
        <f>IF($A280="","",IFERROR(LOOKUP(2,1/($B$9:$B$279=$B280),$AQ$9:$AQ279),0)+IF(OR($F280="sell_put",$F280="sell_call"),$AE280,0)-IF(AND(OR($F280="buy_to_close",$F280="expire",$F280="roll",$F280="assignment",$F280="called_away"),$F280&lt;&gt;"roll"),$AE280,0))</f>
        <v/>
      </c>
      <c r="AR280" t="str">
        <f t="shared" si="81"/>
        <v/>
      </c>
      <c r="AS280" s="50" t="str">
        <f t="shared" si="82"/>
        <v/>
      </c>
      <c r="AT280" s="50" t="str">
        <f>IF($A280="","",MAX(IF($T280=IFERROR(LOOKUP(2,1/($B$9:$B$279=$B280),$T$9:$T279),0),IFERROR(LOOKUP(2,1/($B$9:$B$279=$B280),$AT$9:$AT279),0),0),$AS280))</f>
        <v/>
      </c>
      <c r="AU280" t="str">
        <f t="shared" si="83"/>
        <v/>
      </c>
      <c r="AV280" s="51">
        <f>IF($AU280="",0,IF(AND(IFERROR(LOOKUP(2,1/($B$9:$B$279=$B280),$AR$9:$AR279),1),NOT(AND(OR($F280="dividend",$F280="fee"),IFERROR(LOOKUP(2,1/($B$9:$B$279=$B280),$T$9:$T279),0)&gt;0))),ROW(),0))</f>
        <v>0</v>
      </c>
      <c r="AW280">
        <f>IF($A280="",0,IF($AV280&gt;0,MAX($AW$9:$AW$279)+1,MAX($AW$9:$AW$279)))</f>
        <v>0</v>
      </c>
      <c r="AX280">
        <f>IF($AU280="",0,IF(AND($AR280,OR(NOT(IFERROR(LOOKUP(2,1/($B$9:$B$279=$B280),$AR$9:$AR279),1)),IFERROR(LOOKUP(2,1/($B$9:$B$279=$B280),$T$9:$T279),0)=0)),ROW(),0))</f>
        <v>0</v>
      </c>
      <c r="AY280" t="str">
        <f t="shared" si="84"/>
        <v/>
      </c>
    </row>
    <row r="281" spans="1:51" ht="15" x14ac:dyDescent="0.25">
      <c r="A281" s="41" t="str">
        <f>IF(Trades!$A281="","",Trades!O281)</f>
        <v/>
      </c>
      <c r="B281" s="41" t="str">
        <f>IF(Trades!$A281="","",Trades!B281)</f>
        <v/>
      </c>
      <c r="C281" s="41" t="str">
        <f>IF(Trades!$A281="","",Trades!C281)</f>
        <v/>
      </c>
      <c r="D281" s="42" t="str">
        <f>IF(Trades!$A281="","",IF(Trades!$L281&gt;0,Trades!$L281,Trades!$C$6))</f>
        <v/>
      </c>
      <c r="E281" s="43" t="str">
        <f>IF(Trades!$A281="","",Trades!A281)</f>
        <v/>
      </c>
      <c r="F281" s="41" t="str">
        <f>IF(Trades!$A281="","",IFERROR(INDEX(Trades!$V$2:$V$14,MATCH(Trades!$E281,Trades!$U$2:$U$14,0)),""))</f>
        <v/>
      </c>
      <c r="G281" s="41" t="str">
        <f>IF(Trades!$A281="","",Trades!N281)</f>
        <v/>
      </c>
      <c r="H281" s="42" t="str">
        <f>IF(Trades!$A281="","",Trades!F281)</f>
        <v/>
      </c>
      <c r="I281" s="44" t="str">
        <f>IF(Trades!$A281="","",Trades!G281)</f>
        <v/>
      </c>
      <c r="J281" s="44" t="str">
        <f>IF(Trades!$A281="","",Trades!I281)</f>
        <v/>
      </c>
      <c r="K281" s="44" t="str">
        <f>IF(Trades!$A281="","",Trades!Q281)</f>
        <v/>
      </c>
      <c r="L281" s="42" t="str">
        <f>IF(Trades!$A281="","",Trades!F281)</f>
        <v/>
      </c>
      <c r="M281" s="44" t="str">
        <f>IF(Trades!$A281="","",Trades!M281)</f>
        <v/>
      </c>
      <c r="N281" s="44" t="str">
        <f>IF(Trades!$A281="","",Trades!R281)</f>
        <v/>
      </c>
      <c r="O281" s="44" t="str">
        <f>IF(Trades!$A281="","",Trades!J281)</f>
        <v/>
      </c>
      <c r="P281" s="43" t="str">
        <f>IF(Trades!$A281="","",Trades!H281)</f>
        <v/>
      </c>
      <c r="Q281" s="41" t="str">
        <f>IF(Trades!$A281="","",Trades!P281)</f>
        <v/>
      </c>
      <c r="R281" s="45" t="str">
        <f t="shared" si="68"/>
        <v/>
      </c>
      <c r="S281" s="45" t="str">
        <f t="shared" si="69"/>
        <v/>
      </c>
      <c r="T281" s="46" t="str">
        <f>IF(OR($A281="",$B281=""),"",IF(AND(IFERROR(LOOKUP(2,1/($B$9:$B$280=$B281),$AR$9:$AR280),1),NOT(AND(OR($F281="dividend",$F281="fee"),IFERROR(LOOKUP(2,1/($B$9:$B$280=$B281),$T$9:$T280),0)&gt;0))),IFERROR(LOOKUP(2,1/($B$9:$B$280=$B281),$T$9:$T280),0)+1,IFERROR(LOOKUP(2,1/($B$9:$B$280=$B281),$T$9:$T280),0)))</f>
        <v/>
      </c>
      <c r="U281" s="47" t="str">
        <f t="shared" si="70"/>
        <v/>
      </c>
      <c r="V281" s="47" t="str">
        <f>IF($A281="","",IF(OR($B281="",$C281="",$D281="",$E281="",$F281=""),"Missing required field",IF(COUNTIFS($A$9:$A281,$A281,$B$9:$B281,$B281)&gt;1,"Duplicate event ID",IF(AND($E281&lt;&gt;IFERROR(LOOKUP(2,1/($B$9:$B$280=$B281),$E$9:$E280),0),IFERROR(LOOKUP(2,1/($B$9:$B$280=$B281),$E$9:$E280),0)&gt;$E281),"Date out of order",IF(AND(OR($F281="buy_to_close",$F281="expire",$F281="roll",$F281="assignment",$F281="called_away"),$AF281=0),"Unknown lot",IF(OR(AND($F281="assignment",$AF281&gt;0,IF($AF281&gt;0,INDEX($AG$9:$AG$280,$AF281),"")&lt;&gt;"put"),AND($F281="called_away",$AF281&gt;0,IF($AF281&gt;0,INDEX($AG$9:$AG$280,$AF281),"")&lt;&gt;"call")),"Wrong option leg",IF(OR(AND(OR($F281="sell_put",$F281="sell_call"),OR($H281&lt;=0,$I281&lt;=0,$J281&lt;0)),AND(OR($F281="buy_to_close",$F281="expire",$F281="assignment",$F281="called_away"),OR($H281&lt;=0,$J281&lt;0)),AND($F281="roll",OR($H281&lt;=0,$I281&lt;=0,$J281&lt;0,$K281&lt;0)),AND(OR($F281="buy_shares",$F281="sell_shares"),OR($L281&lt;=0,$M281&lt;0)),AND(OR($F281="dividend",$F281="fee"),$N281&lt;0)),"Invalid value",IF(AND(OR($F281="sell_shares",$F281="called_away"),$AL281&lt;IF($F281="called_away",$AE281*$D281,$L281)),"Insufficient shares (capped)",IF(AND(OR($F281="buy_to_close",$F281="expire",$F281="roll",$F281="assignment",$F281="called_away"),$AF281&gt;0,$H281&gt;IF($AF281&gt;0,MAX(0,INDEX($AI$9:$AI$280,$AF281)-SUMIFS($AE$9:$AE$280,$G$9:$G$280,$G281,$B$9:$B$280,$B281)),0)),"Close quantity capped","OK")))))))))</f>
        <v/>
      </c>
      <c r="W281" s="48" t="str">
        <f t="shared" si="71"/>
        <v/>
      </c>
      <c r="X281" s="49" t="str">
        <f t="shared" si="72"/>
        <v/>
      </c>
      <c r="Y281" s="50" t="str">
        <f t="shared" si="73"/>
        <v/>
      </c>
      <c r="Z281" s="50" t="str">
        <f t="shared" si="74"/>
        <v/>
      </c>
      <c r="AA281" s="50" t="str">
        <f t="shared" si="75"/>
        <v/>
      </c>
      <c r="AB281" s="50" t="str">
        <f t="shared" si="76"/>
        <v/>
      </c>
      <c r="AC281" s="50" t="str">
        <f>IF($A281="","",IF($F281="assignment",IF($AF281&gt;0,INDEX($AH$9:$AH$280,$AF281),0)*$AE281*$D281,IF($F281="buy_shares",$M281*$AL281,0)))</f>
        <v/>
      </c>
      <c r="AD281" s="50" t="str">
        <f>IF($A281="","",IF($F281="called_away",IF($AF281&gt;0,INDEX($AH$9:$AH$280,$AF281),0)*$AL281,IF($F281="sell_shares",$M281*$AL281,0)))</f>
        <v/>
      </c>
      <c r="AE281" s="51" t="str">
        <f>IF($A281="","",IF(OR($F281="sell_put",$F281="sell_call"),IF(AND($H281&gt;0,$I281&gt;0,$J281&gt;=0),$H281,0),IF(OR($F281="buy_to_close",$F281="expire",$F281="roll",$F281="assignment",$F281="called_away"),IF(AND($AF281&gt;0,$H281&gt;0,IF($F281="assignment",IF($AF281&gt;0,INDEX($AG$9:$AG$280,$AF281),"")="put",TRUE),IF($F281="called_away",IF($AF281&gt;0,INDEX($AG$9:$AG$280,$AF281),"")="call",TRUE)),MIN($H281,IF($AF281&gt;0,MAX(0,INDEX($AI$9:$AI$280,$AF281)-SUMIFS($AE$9:$AE$280,$G$9:$G$280,$G281,$B$9:$B$280,$B281)),0)),0),0)))</f>
        <v/>
      </c>
      <c r="AF281" t="str">
        <f>IF($A281="","",IFERROR(MATCH(LEN($B281)&amp;":"&amp;$B281&amp;$G281,$AY$9:$AY$280,0),0))</f>
        <v/>
      </c>
      <c r="AG281" t="str">
        <f>IF($A281="","",IF($F281="sell_put","put",IF($F281="sell_call","call",IF($F281="roll",IF($AF281&gt;0,IF($AF281&gt;0,INDEX($AG$9:$AG$280,$AF281),""),""),IF($AF281&gt;0,IF($AF281&gt;0,INDEX($AG$9:$AG$280,$AF281),""),"")))))</f>
        <v/>
      </c>
      <c r="AH281" t="str">
        <f>IF($A281="","",IF(OR($F281="sell_put",$F281="sell_call",$F281="roll"),$I281,IF($AF281&gt;0,IF($AF281&gt;0,INDEX($AH$9:$AH$280,$AF281),0),0)))</f>
        <v/>
      </c>
      <c r="AI281" s="51" t="str">
        <f t="shared" si="77"/>
        <v/>
      </c>
      <c r="AJ281" s="51" t="str">
        <f>IF($A281="","",IFERROR(LOOKUP(2,1/($B$9:$B$280=$B281),$AM$9:$AM280),0))</f>
        <v/>
      </c>
      <c r="AK281" t="str">
        <f>IF($A281="","",IFERROR(LOOKUP(2,1/($B$9:$B$280=$B281),$AN$9:$AN280),0))</f>
        <v/>
      </c>
      <c r="AL281" s="51" t="str">
        <f t="shared" si="78"/>
        <v/>
      </c>
      <c r="AM281" s="51" t="str">
        <f t="shared" si="79"/>
        <v/>
      </c>
      <c r="AN281" t="str">
        <f t="shared" si="80"/>
        <v/>
      </c>
      <c r="AO281" s="50" t="str">
        <f>IF($A281="","",IFERROR(LOOKUP(2,1/($B$9:$B$280=$B281),$AO$9:$AO280),0)+IF($F281="sell_put",$I281*$AE281*$D281,IF($F281="roll",IF($AG281="put",($I281-IF($AF281&gt;0,INDEX($AH$9:$AH$280,$AF281),0))*$AE281*$D281,0),IF(AND(OR($F281="buy_to_close",$F281="expire",$F281="roll",$F281="assignment",$F281="called_away"),$F281&lt;&gt;"roll",$AG281="put"),-IF($AF281&gt;0,INDEX($AH$9:$AH$280,$AF281),0)*$AE281*$D281,0))))</f>
        <v/>
      </c>
      <c r="AP281" s="51" t="str">
        <f>IF($A281="","",IFERROR(LOOKUP(2,1/($B$9:$B$280=$B281),$AP$9:$AP280),0)+IF($F281="sell_put",$AE281*$D281,IF(AND(OR($F281="buy_to_close",$F281="expire",$F281="roll",$F281="assignment",$F281="called_away"),$F281&lt;&gt;"roll",$AG281="put"),-$AE281*$D281,0)))</f>
        <v/>
      </c>
      <c r="AQ281" s="51" t="str">
        <f>IF($A281="","",IFERROR(LOOKUP(2,1/($B$9:$B$280=$B281),$AQ$9:$AQ280),0)+IF(OR($F281="sell_put",$F281="sell_call"),$AE281,0)-IF(AND(OR($F281="buy_to_close",$F281="expire",$F281="roll",$F281="assignment",$F281="called_away"),$F281&lt;&gt;"roll"),$AE281,0))</f>
        <v/>
      </c>
      <c r="AR281" t="str">
        <f t="shared" si="81"/>
        <v/>
      </c>
      <c r="AS281" s="50" t="str">
        <f t="shared" si="82"/>
        <v/>
      </c>
      <c r="AT281" s="50" t="str">
        <f>IF($A281="","",MAX(IF($T281=IFERROR(LOOKUP(2,1/($B$9:$B$280=$B281),$T$9:$T280),0),IFERROR(LOOKUP(2,1/($B$9:$B$280=$B281),$AT$9:$AT280),0),0),$AS281))</f>
        <v/>
      </c>
      <c r="AU281" t="str">
        <f t="shared" si="83"/>
        <v/>
      </c>
      <c r="AV281" s="51">
        <f>IF($AU281="",0,IF(AND(IFERROR(LOOKUP(2,1/($B$9:$B$280=$B281),$AR$9:$AR280),1),NOT(AND(OR($F281="dividend",$F281="fee"),IFERROR(LOOKUP(2,1/($B$9:$B$280=$B281),$T$9:$T280),0)&gt;0))),ROW(),0))</f>
        <v>0</v>
      </c>
      <c r="AW281">
        <f>IF($A281="",0,IF($AV281&gt;0,MAX($AW$9:$AW$280)+1,MAX($AW$9:$AW$280)))</f>
        <v>0</v>
      </c>
      <c r="AX281">
        <f>IF($AU281="",0,IF(AND($AR281,OR(NOT(IFERROR(LOOKUP(2,1/($B$9:$B$280=$B281),$AR$9:$AR280),1)),IFERROR(LOOKUP(2,1/($B$9:$B$280=$B281),$T$9:$T280),0)=0)),ROW(),0))</f>
        <v>0</v>
      </c>
      <c r="AY281" t="str">
        <f t="shared" si="84"/>
        <v/>
      </c>
    </row>
    <row r="282" spans="1:51" ht="15" x14ac:dyDescent="0.25">
      <c r="A282" s="52" t="str">
        <f>IF(Trades!$A282="","",Trades!O282)</f>
        <v/>
      </c>
      <c r="B282" s="52" t="str">
        <f>IF(Trades!$A282="","",Trades!B282)</f>
        <v/>
      </c>
      <c r="C282" s="52" t="str">
        <f>IF(Trades!$A282="","",Trades!C282)</f>
        <v/>
      </c>
      <c r="D282" s="53" t="str">
        <f>IF(Trades!$A282="","",IF(Trades!$L282&gt;0,Trades!$L282,Trades!$C$6))</f>
        <v/>
      </c>
      <c r="E282" s="54" t="str">
        <f>IF(Trades!$A282="","",Trades!A282)</f>
        <v/>
      </c>
      <c r="F282" s="52" t="str">
        <f>IF(Trades!$A282="","",IFERROR(INDEX(Trades!$V$2:$V$14,MATCH(Trades!$E282,Trades!$U$2:$U$14,0)),""))</f>
        <v/>
      </c>
      <c r="G282" s="52" t="str">
        <f>IF(Trades!$A282="","",Trades!N282)</f>
        <v/>
      </c>
      <c r="H282" s="53" t="str">
        <f>IF(Trades!$A282="","",Trades!F282)</f>
        <v/>
      </c>
      <c r="I282" s="55" t="str">
        <f>IF(Trades!$A282="","",Trades!G282)</f>
        <v/>
      </c>
      <c r="J282" s="55" t="str">
        <f>IF(Trades!$A282="","",Trades!I282)</f>
        <v/>
      </c>
      <c r="K282" s="55" t="str">
        <f>IF(Trades!$A282="","",Trades!Q282)</f>
        <v/>
      </c>
      <c r="L282" s="53" t="str">
        <f>IF(Trades!$A282="","",Trades!F282)</f>
        <v/>
      </c>
      <c r="M282" s="55" t="str">
        <f>IF(Trades!$A282="","",Trades!M282)</f>
        <v/>
      </c>
      <c r="N282" s="55" t="str">
        <f>IF(Trades!$A282="","",Trades!R282)</f>
        <v/>
      </c>
      <c r="O282" s="55" t="str">
        <f>IF(Trades!$A282="","",Trades!J282)</f>
        <v/>
      </c>
      <c r="P282" s="54" t="str">
        <f>IF(Trades!$A282="","",Trades!H282)</f>
        <v/>
      </c>
      <c r="Q282" s="52" t="str">
        <f>IF(Trades!$A282="","",Trades!P282)</f>
        <v/>
      </c>
      <c r="R282" s="56" t="str">
        <f t="shared" si="68"/>
        <v/>
      </c>
      <c r="S282" s="56" t="str">
        <f t="shared" si="69"/>
        <v/>
      </c>
      <c r="T282" s="57" t="str">
        <f>IF(OR($A282="",$B282=""),"",IF(AND(IFERROR(LOOKUP(2,1/($B$9:$B$281=$B282),$AR$9:$AR281),1),NOT(AND(OR($F282="dividend",$F282="fee"),IFERROR(LOOKUP(2,1/($B$9:$B$281=$B282),$T$9:$T281),0)&gt;0))),IFERROR(LOOKUP(2,1/($B$9:$B$281=$B282),$T$9:$T281),0)+1,IFERROR(LOOKUP(2,1/($B$9:$B$281=$B282),$T$9:$T281),0)))</f>
        <v/>
      </c>
      <c r="U282" s="58" t="str">
        <f t="shared" si="70"/>
        <v/>
      </c>
      <c r="V282" s="58" t="str">
        <f>IF($A282="","",IF(OR($B282="",$C282="",$D282="",$E282="",$F282=""),"Missing required field",IF(COUNTIFS($A$9:$A282,$A282,$B$9:$B282,$B282)&gt;1,"Duplicate event ID",IF(AND($E282&lt;&gt;IFERROR(LOOKUP(2,1/($B$9:$B$281=$B282),$E$9:$E281),0),IFERROR(LOOKUP(2,1/($B$9:$B$281=$B282),$E$9:$E281),0)&gt;$E282),"Date out of order",IF(AND(OR($F282="buy_to_close",$F282="expire",$F282="roll",$F282="assignment",$F282="called_away"),$AF282=0),"Unknown lot",IF(OR(AND($F282="assignment",$AF282&gt;0,IF($AF282&gt;0,INDEX($AG$9:$AG$281,$AF282),"")&lt;&gt;"put"),AND($F282="called_away",$AF282&gt;0,IF($AF282&gt;0,INDEX($AG$9:$AG$281,$AF282),"")&lt;&gt;"call")),"Wrong option leg",IF(OR(AND(OR($F282="sell_put",$F282="sell_call"),OR($H282&lt;=0,$I282&lt;=0,$J282&lt;0)),AND(OR($F282="buy_to_close",$F282="expire",$F282="assignment",$F282="called_away"),OR($H282&lt;=0,$J282&lt;0)),AND($F282="roll",OR($H282&lt;=0,$I282&lt;=0,$J282&lt;0,$K282&lt;0)),AND(OR($F282="buy_shares",$F282="sell_shares"),OR($L282&lt;=0,$M282&lt;0)),AND(OR($F282="dividend",$F282="fee"),$N282&lt;0)),"Invalid value",IF(AND(OR($F282="sell_shares",$F282="called_away"),$AL282&lt;IF($F282="called_away",$AE282*$D282,$L282)),"Insufficient shares (capped)",IF(AND(OR($F282="buy_to_close",$F282="expire",$F282="roll",$F282="assignment",$F282="called_away"),$AF282&gt;0,$H282&gt;IF($AF282&gt;0,MAX(0,INDEX($AI$9:$AI$281,$AF282)-SUMIFS($AE$9:$AE$281,$G$9:$G$281,$G282,$B$9:$B$281,$B282)),0)),"Close quantity capped","OK")))))))))</f>
        <v/>
      </c>
      <c r="W282" s="59" t="str">
        <f t="shared" si="71"/>
        <v/>
      </c>
      <c r="X282" s="60" t="str">
        <f t="shared" si="72"/>
        <v/>
      </c>
      <c r="Y282" s="50" t="str">
        <f t="shared" si="73"/>
        <v/>
      </c>
      <c r="Z282" s="50" t="str">
        <f t="shared" si="74"/>
        <v/>
      </c>
      <c r="AA282" s="50" t="str">
        <f t="shared" si="75"/>
        <v/>
      </c>
      <c r="AB282" s="50" t="str">
        <f t="shared" si="76"/>
        <v/>
      </c>
      <c r="AC282" s="50" t="str">
        <f>IF($A282="","",IF($F282="assignment",IF($AF282&gt;0,INDEX($AH$9:$AH$281,$AF282),0)*$AE282*$D282,IF($F282="buy_shares",$M282*$AL282,0)))</f>
        <v/>
      </c>
      <c r="AD282" s="50" t="str">
        <f>IF($A282="","",IF($F282="called_away",IF($AF282&gt;0,INDEX($AH$9:$AH$281,$AF282),0)*$AL282,IF($F282="sell_shares",$M282*$AL282,0)))</f>
        <v/>
      </c>
      <c r="AE282" s="51" t="str">
        <f>IF($A282="","",IF(OR($F282="sell_put",$F282="sell_call"),IF(AND($H282&gt;0,$I282&gt;0,$J282&gt;=0),$H282,0),IF(OR($F282="buy_to_close",$F282="expire",$F282="roll",$F282="assignment",$F282="called_away"),IF(AND($AF282&gt;0,$H282&gt;0,IF($F282="assignment",IF($AF282&gt;0,INDEX($AG$9:$AG$281,$AF282),"")="put",TRUE),IF($F282="called_away",IF($AF282&gt;0,INDEX($AG$9:$AG$281,$AF282),"")="call",TRUE)),MIN($H282,IF($AF282&gt;0,MAX(0,INDEX($AI$9:$AI$281,$AF282)-SUMIFS($AE$9:$AE$281,$G$9:$G$281,$G282,$B$9:$B$281,$B282)),0)),0),0)))</f>
        <v/>
      </c>
      <c r="AF282" t="str">
        <f>IF($A282="","",IFERROR(MATCH(LEN($B282)&amp;":"&amp;$B282&amp;$G282,$AY$9:$AY$281,0),0))</f>
        <v/>
      </c>
      <c r="AG282" t="str">
        <f>IF($A282="","",IF($F282="sell_put","put",IF($F282="sell_call","call",IF($F282="roll",IF($AF282&gt;0,IF($AF282&gt;0,INDEX($AG$9:$AG$281,$AF282),""),""),IF($AF282&gt;0,IF($AF282&gt;0,INDEX($AG$9:$AG$281,$AF282),""),"")))))</f>
        <v/>
      </c>
      <c r="AH282" t="str">
        <f>IF($A282="","",IF(OR($F282="sell_put",$F282="sell_call",$F282="roll"),$I282,IF($AF282&gt;0,IF($AF282&gt;0,INDEX($AH$9:$AH$281,$AF282),0),0)))</f>
        <v/>
      </c>
      <c r="AI282" s="51" t="str">
        <f t="shared" si="77"/>
        <v/>
      </c>
      <c r="AJ282" s="51" t="str">
        <f>IF($A282="","",IFERROR(LOOKUP(2,1/($B$9:$B$281=$B282),$AM$9:$AM281),0))</f>
        <v/>
      </c>
      <c r="AK282" t="str">
        <f>IF($A282="","",IFERROR(LOOKUP(2,1/($B$9:$B$281=$B282),$AN$9:$AN281),0))</f>
        <v/>
      </c>
      <c r="AL282" s="51" t="str">
        <f t="shared" si="78"/>
        <v/>
      </c>
      <c r="AM282" s="51" t="str">
        <f t="shared" si="79"/>
        <v/>
      </c>
      <c r="AN282" t="str">
        <f t="shared" si="80"/>
        <v/>
      </c>
      <c r="AO282" s="50" t="str">
        <f>IF($A282="","",IFERROR(LOOKUP(2,1/($B$9:$B$281=$B282),$AO$9:$AO281),0)+IF($F282="sell_put",$I282*$AE282*$D282,IF($F282="roll",IF($AG282="put",($I282-IF($AF282&gt;0,INDEX($AH$9:$AH$281,$AF282),0))*$AE282*$D282,0),IF(AND(OR($F282="buy_to_close",$F282="expire",$F282="roll",$F282="assignment",$F282="called_away"),$F282&lt;&gt;"roll",$AG282="put"),-IF($AF282&gt;0,INDEX($AH$9:$AH$281,$AF282),0)*$AE282*$D282,0))))</f>
        <v/>
      </c>
      <c r="AP282" s="51" t="str">
        <f>IF($A282="","",IFERROR(LOOKUP(2,1/($B$9:$B$281=$B282),$AP$9:$AP281),0)+IF($F282="sell_put",$AE282*$D282,IF(AND(OR($F282="buy_to_close",$F282="expire",$F282="roll",$F282="assignment",$F282="called_away"),$F282&lt;&gt;"roll",$AG282="put"),-$AE282*$D282,0)))</f>
        <v/>
      </c>
      <c r="AQ282" s="51" t="str">
        <f>IF($A282="","",IFERROR(LOOKUP(2,1/($B$9:$B$281=$B282),$AQ$9:$AQ281),0)+IF(OR($F282="sell_put",$F282="sell_call"),$AE282,0)-IF(AND(OR($F282="buy_to_close",$F282="expire",$F282="roll",$F282="assignment",$F282="called_away"),$F282&lt;&gt;"roll"),$AE282,0))</f>
        <v/>
      </c>
      <c r="AR282" t="str">
        <f t="shared" si="81"/>
        <v/>
      </c>
      <c r="AS282" s="50" t="str">
        <f t="shared" si="82"/>
        <v/>
      </c>
      <c r="AT282" s="50" t="str">
        <f>IF($A282="","",MAX(IF($T282=IFERROR(LOOKUP(2,1/($B$9:$B$281=$B282),$T$9:$T281),0),IFERROR(LOOKUP(2,1/($B$9:$B$281=$B282),$AT$9:$AT281),0),0),$AS282))</f>
        <v/>
      </c>
      <c r="AU282" t="str">
        <f t="shared" si="83"/>
        <v/>
      </c>
      <c r="AV282" s="51">
        <f>IF($AU282="",0,IF(AND(IFERROR(LOOKUP(2,1/($B$9:$B$281=$B282),$AR$9:$AR281),1),NOT(AND(OR($F282="dividend",$F282="fee"),IFERROR(LOOKUP(2,1/($B$9:$B$281=$B282),$T$9:$T281),0)&gt;0))),ROW(),0))</f>
        <v>0</v>
      </c>
      <c r="AW282">
        <f>IF($A282="",0,IF($AV282&gt;0,MAX($AW$9:$AW$281)+1,MAX($AW$9:$AW$281)))</f>
        <v>0</v>
      </c>
      <c r="AX282">
        <f>IF($AU282="",0,IF(AND($AR282,OR(NOT(IFERROR(LOOKUP(2,1/($B$9:$B$281=$B282),$AR$9:$AR281),1)),IFERROR(LOOKUP(2,1/($B$9:$B$281=$B282),$T$9:$T281),0)=0)),ROW(),0))</f>
        <v>0</v>
      </c>
      <c r="AY282" t="str">
        <f t="shared" si="84"/>
        <v/>
      </c>
    </row>
    <row r="283" spans="1:51" ht="15" x14ac:dyDescent="0.25">
      <c r="A283" s="41" t="str">
        <f>IF(Trades!$A283="","",Trades!O283)</f>
        <v/>
      </c>
      <c r="B283" s="41" t="str">
        <f>IF(Trades!$A283="","",Trades!B283)</f>
        <v/>
      </c>
      <c r="C283" s="41" t="str">
        <f>IF(Trades!$A283="","",Trades!C283)</f>
        <v/>
      </c>
      <c r="D283" s="42" t="str">
        <f>IF(Trades!$A283="","",IF(Trades!$L283&gt;0,Trades!$L283,Trades!$C$6))</f>
        <v/>
      </c>
      <c r="E283" s="43" t="str">
        <f>IF(Trades!$A283="","",Trades!A283)</f>
        <v/>
      </c>
      <c r="F283" s="41" t="str">
        <f>IF(Trades!$A283="","",IFERROR(INDEX(Trades!$V$2:$V$14,MATCH(Trades!$E283,Trades!$U$2:$U$14,0)),""))</f>
        <v/>
      </c>
      <c r="G283" s="41" t="str">
        <f>IF(Trades!$A283="","",Trades!N283)</f>
        <v/>
      </c>
      <c r="H283" s="42" t="str">
        <f>IF(Trades!$A283="","",Trades!F283)</f>
        <v/>
      </c>
      <c r="I283" s="44" t="str">
        <f>IF(Trades!$A283="","",Trades!G283)</f>
        <v/>
      </c>
      <c r="J283" s="44" t="str">
        <f>IF(Trades!$A283="","",Trades!I283)</f>
        <v/>
      </c>
      <c r="K283" s="44" t="str">
        <f>IF(Trades!$A283="","",Trades!Q283)</f>
        <v/>
      </c>
      <c r="L283" s="42" t="str">
        <f>IF(Trades!$A283="","",Trades!F283)</f>
        <v/>
      </c>
      <c r="M283" s="44" t="str">
        <f>IF(Trades!$A283="","",Trades!M283)</f>
        <v/>
      </c>
      <c r="N283" s="44" t="str">
        <f>IF(Trades!$A283="","",Trades!R283)</f>
        <v/>
      </c>
      <c r="O283" s="44" t="str">
        <f>IF(Trades!$A283="","",Trades!J283)</f>
        <v/>
      </c>
      <c r="P283" s="43" t="str">
        <f>IF(Trades!$A283="","",Trades!H283)</f>
        <v/>
      </c>
      <c r="Q283" s="41" t="str">
        <f>IF(Trades!$A283="","",Trades!P283)</f>
        <v/>
      </c>
      <c r="R283" s="45" t="str">
        <f t="shared" si="68"/>
        <v/>
      </c>
      <c r="S283" s="45" t="str">
        <f t="shared" si="69"/>
        <v/>
      </c>
      <c r="T283" s="46" t="str">
        <f>IF(OR($A283="",$B283=""),"",IF(AND(IFERROR(LOOKUP(2,1/($B$9:$B$282=$B283),$AR$9:$AR282),1),NOT(AND(OR($F283="dividend",$F283="fee"),IFERROR(LOOKUP(2,1/($B$9:$B$282=$B283),$T$9:$T282),0)&gt;0))),IFERROR(LOOKUP(2,1/($B$9:$B$282=$B283),$T$9:$T282),0)+1,IFERROR(LOOKUP(2,1/($B$9:$B$282=$B283),$T$9:$T282),0)))</f>
        <v/>
      </c>
      <c r="U283" s="47" t="str">
        <f t="shared" si="70"/>
        <v/>
      </c>
      <c r="V283" s="47" t="str">
        <f>IF($A283="","",IF(OR($B283="",$C283="",$D283="",$E283="",$F283=""),"Missing required field",IF(COUNTIFS($A$9:$A283,$A283,$B$9:$B283,$B283)&gt;1,"Duplicate event ID",IF(AND($E283&lt;&gt;IFERROR(LOOKUP(2,1/($B$9:$B$282=$B283),$E$9:$E282),0),IFERROR(LOOKUP(2,1/($B$9:$B$282=$B283),$E$9:$E282),0)&gt;$E283),"Date out of order",IF(AND(OR($F283="buy_to_close",$F283="expire",$F283="roll",$F283="assignment",$F283="called_away"),$AF283=0),"Unknown lot",IF(OR(AND($F283="assignment",$AF283&gt;0,IF($AF283&gt;0,INDEX($AG$9:$AG$282,$AF283),"")&lt;&gt;"put"),AND($F283="called_away",$AF283&gt;0,IF($AF283&gt;0,INDEX($AG$9:$AG$282,$AF283),"")&lt;&gt;"call")),"Wrong option leg",IF(OR(AND(OR($F283="sell_put",$F283="sell_call"),OR($H283&lt;=0,$I283&lt;=0,$J283&lt;0)),AND(OR($F283="buy_to_close",$F283="expire",$F283="assignment",$F283="called_away"),OR($H283&lt;=0,$J283&lt;0)),AND($F283="roll",OR($H283&lt;=0,$I283&lt;=0,$J283&lt;0,$K283&lt;0)),AND(OR($F283="buy_shares",$F283="sell_shares"),OR($L283&lt;=0,$M283&lt;0)),AND(OR($F283="dividend",$F283="fee"),$N283&lt;0)),"Invalid value",IF(AND(OR($F283="sell_shares",$F283="called_away"),$AL283&lt;IF($F283="called_away",$AE283*$D283,$L283)),"Insufficient shares (capped)",IF(AND(OR($F283="buy_to_close",$F283="expire",$F283="roll",$F283="assignment",$F283="called_away"),$AF283&gt;0,$H283&gt;IF($AF283&gt;0,MAX(0,INDEX($AI$9:$AI$282,$AF283)-SUMIFS($AE$9:$AE$282,$G$9:$G$282,$G283,$B$9:$B$282,$B283)),0)),"Close quantity capped","OK")))))))))</f>
        <v/>
      </c>
      <c r="W283" s="48" t="str">
        <f t="shared" si="71"/>
        <v/>
      </c>
      <c r="X283" s="49" t="str">
        <f t="shared" si="72"/>
        <v/>
      </c>
      <c r="Y283" s="50" t="str">
        <f t="shared" si="73"/>
        <v/>
      </c>
      <c r="Z283" s="50" t="str">
        <f t="shared" si="74"/>
        <v/>
      </c>
      <c r="AA283" s="50" t="str">
        <f t="shared" si="75"/>
        <v/>
      </c>
      <c r="AB283" s="50" t="str">
        <f t="shared" si="76"/>
        <v/>
      </c>
      <c r="AC283" s="50" t="str">
        <f>IF($A283="","",IF($F283="assignment",IF($AF283&gt;0,INDEX($AH$9:$AH$282,$AF283),0)*$AE283*$D283,IF($F283="buy_shares",$M283*$AL283,0)))</f>
        <v/>
      </c>
      <c r="AD283" s="50" t="str">
        <f>IF($A283="","",IF($F283="called_away",IF($AF283&gt;0,INDEX($AH$9:$AH$282,$AF283),0)*$AL283,IF($F283="sell_shares",$M283*$AL283,0)))</f>
        <v/>
      </c>
      <c r="AE283" s="51" t="str">
        <f>IF($A283="","",IF(OR($F283="sell_put",$F283="sell_call"),IF(AND($H283&gt;0,$I283&gt;0,$J283&gt;=0),$H283,0),IF(OR($F283="buy_to_close",$F283="expire",$F283="roll",$F283="assignment",$F283="called_away"),IF(AND($AF283&gt;0,$H283&gt;0,IF($F283="assignment",IF($AF283&gt;0,INDEX($AG$9:$AG$282,$AF283),"")="put",TRUE),IF($F283="called_away",IF($AF283&gt;0,INDEX($AG$9:$AG$282,$AF283),"")="call",TRUE)),MIN($H283,IF($AF283&gt;0,MAX(0,INDEX($AI$9:$AI$282,$AF283)-SUMIFS($AE$9:$AE$282,$G$9:$G$282,$G283,$B$9:$B$282,$B283)),0)),0),0)))</f>
        <v/>
      </c>
      <c r="AF283" t="str">
        <f>IF($A283="","",IFERROR(MATCH(LEN($B283)&amp;":"&amp;$B283&amp;$G283,$AY$9:$AY$282,0),0))</f>
        <v/>
      </c>
      <c r="AG283" t="str">
        <f>IF($A283="","",IF($F283="sell_put","put",IF($F283="sell_call","call",IF($F283="roll",IF($AF283&gt;0,IF($AF283&gt;0,INDEX($AG$9:$AG$282,$AF283),""),""),IF($AF283&gt;0,IF($AF283&gt;0,INDEX($AG$9:$AG$282,$AF283),""),"")))))</f>
        <v/>
      </c>
      <c r="AH283" t="str">
        <f>IF($A283="","",IF(OR($F283="sell_put",$F283="sell_call",$F283="roll"),$I283,IF($AF283&gt;0,IF($AF283&gt;0,INDEX($AH$9:$AH$282,$AF283),0),0)))</f>
        <v/>
      </c>
      <c r="AI283" s="51" t="str">
        <f t="shared" si="77"/>
        <v/>
      </c>
      <c r="AJ283" s="51" t="str">
        <f>IF($A283="","",IFERROR(LOOKUP(2,1/($B$9:$B$282=$B283),$AM$9:$AM282),0))</f>
        <v/>
      </c>
      <c r="AK283" t="str">
        <f>IF($A283="","",IFERROR(LOOKUP(2,1/($B$9:$B$282=$B283),$AN$9:$AN282),0))</f>
        <v/>
      </c>
      <c r="AL283" s="51" t="str">
        <f t="shared" si="78"/>
        <v/>
      </c>
      <c r="AM283" s="51" t="str">
        <f t="shared" si="79"/>
        <v/>
      </c>
      <c r="AN283" t="str">
        <f t="shared" si="80"/>
        <v/>
      </c>
      <c r="AO283" s="50" t="str">
        <f>IF($A283="","",IFERROR(LOOKUP(2,1/($B$9:$B$282=$B283),$AO$9:$AO282),0)+IF($F283="sell_put",$I283*$AE283*$D283,IF($F283="roll",IF($AG283="put",($I283-IF($AF283&gt;0,INDEX($AH$9:$AH$282,$AF283),0))*$AE283*$D283,0),IF(AND(OR($F283="buy_to_close",$F283="expire",$F283="roll",$F283="assignment",$F283="called_away"),$F283&lt;&gt;"roll",$AG283="put"),-IF($AF283&gt;0,INDEX($AH$9:$AH$282,$AF283),0)*$AE283*$D283,0))))</f>
        <v/>
      </c>
      <c r="AP283" s="51" t="str">
        <f>IF($A283="","",IFERROR(LOOKUP(2,1/($B$9:$B$282=$B283),$AP$9:$AP282),0)+IF($F283="sell_put",$AE283*$D283,IF(AND(OR($F283="buy_to_close",$F283="expire",$F283="roll",$F283="assignment",$F283="called_away"),$F283&lt;&gt;"roll",$AG283="put"),-$AE283*$D283,0)))</f>
        <v/>
      </c>
      <c r="AQ283" s="51" t="str">
        <f>IF($A283="","",IFERROR(LOOKUP(2,1/($B$9:$B$282=$B283),$AQ$9:$AQ282),0)+IF(OR($F283="sell_put",$F283="sell_call"),$AE283,0)-IF(AND(OR($F283="buy_to_close",$F283="expire",$F283="roll",$F283="assignment",$F283="called_away"),$F283&lt;&gt;"roll"),$AE283,0))</f>
        <v/>
      </c>
      <c r="AR283" t="str">
        <f t="shared" si="81"/>
        <v/>
      </c>
      <c r="AS283" s="50" t="str">
        <f t="shared" si="82"/>
        <v/>
      </c>
      <c r="AT283" s="50" t="str">
        <f>IF($A283="","",MAX(IF($T283=IFERROR(LOOKUP(2,1/($B$9:$B$282=$B283),$T$9:$T282),0),IFERROR(LOOKUP(2,1/($B$9:$B$282=$B283),$AT$9:$AT282),0),0),$AS283))</f>
        <v/>
      </c>
      <c r="AU283" t="str">
        <f t="shared" si="83"/>
        <v/>
      </c>
      <c r="AV283" s="51">
        <f>IF($AU283="",0,IF(AND(IFERROR(LOOKUP(2,1/($B$9:$B$282=$B283),$AR$9:$AR282),1),NOT(AND(OR($F283="dividend",$F283="fee"),IFERROR(LOOKUP(2,1/($B$9:$B$282=$B283),$T$9:$T282),0)&gt;0))),ROW(),0))</f>
        <v>0</v>
      </c>
      <c r="AW283">
        <f>IF($A283="",0,IF($AV283&gt;0,MAX($AW$9:$AW$282)+1,MAX($AW$9:$AW$282)))</f>
        <v>0</v>
      </c>
      <c r="AX283">
        <f>IF($AU283="",0,IF(AND($AR283,OR(NOT(IFERROR(LOOKUP(2,1/($B$9:$B$282=$B283),$AR$9:$AR282),1)),IFERROR(LOOKUP(2,1/($B$9:$B$282=$B283),$T$9:$T282),0)=0)),ROW(),0))</f>
        <v>0</v>
      </c>
      <c r="AY283" t="str">
        <f t="shared" si="84"/>
        <v/>
      </c>
    </row>
    <row r="284" spans="1:51" ht="15" x14ac:dyDescent="0.25">
      <c r="A284" s="52" t="str">
        <f>IF(Trades!$A284="","",Trades!O284)</f>
        <v/>
      </c>
      <c r="B284" s="52" t="str">
        <f>IF(Trades!$A284="","",Trades!B284)</f>
        <v/>
      </c>
      <c r="C284" s="52" t="str">
        <f>IF(Trades!$A284="","",Trades!C284)</f>
        <v/>
      </c>
      <c r="D284" s="53" t="str">
        <f>IF(Trades!$A284="","",IF(Trades!$L284&gt;0,Trades!$L284,Trades!$C$6))</f>
        <v/>
      </c>
      <c r="E284" s="54" t="str">
        <f>IF(Trades!$A284="","",Trades!A284)</f>
        <v/>
      </c>
      <c r="F284" s="52" t="str">
        <f>IF(Trades!$A284="","",IFERROR(INDEX(Trades!$V$2:$V$14,MATCH(Trades!$E284,Trades!$U$2:$U$14,0)),""))</f>
        <v/>
      </c>
      <c r="G284" s="52" t="str">
        <f>IF(Trades!$A284="","",Trades!N284)</f>
        <v/>
      </c>
      <c r="H284" s="53" t="str">
        <f>IF(Trades!$A284="","",Trades!F284)</f>
        <v/>
      </c>
      <c r="I284" s="55" t="str">
        <f>IF(Trades!$A284="","",Trades!G284)</f>
        <v/>
      </c>
      <c r="J284" s="55" t="str">
        <f>IF(Trades!$A284="","",Trades!I284)</f>
        <v/>
      </c>
      <c r="K284" s="55" t="str">
        <f>IF(Trades!$A284="","",Trades!Q284)</f>
        <v/>
      </c>
      <c r="L284" s="53" t="str">
        <f>IF(Trades!$A284="","",Trades!F284)</f>
        <v/>
      </c>
      <c r="M284" s="55" t="str">
        <f>IF(Trades!$A284="","",Trades!M284)</f>
        <v/>
      </c>
      <c r="N284" s="55" t="str">
        <f>IF(Trades!$A284="","",Trades!R284)</f>
        <v/>
      </c>
      <c r="O284" s="55" t="str">
        <f>IF(Trades!$A284="","",Trades!J284)</f>
        <v/>
      </c>
      <c r="P284" s="54" t="str">
        <f>IF(Trades!$A284="","",Trades!H284)</f>
        <v/>
      </c>
      <c r="Q284" s="52" t="str">
        <f>IF(Trades!$A284="","",Trades!P284)</f>
        <v/>
      </c>
      <c r="R284" s="56" t="str">
        <f t="shared" si="68"/>
        <v/>
      </c>
      <c r="S284" s="56" t="str">
        <f t="shared" si="69"/>
        <v/>
      </c>
      <c r="T284" s="57" t="str">
        <f>IF(OR($A284="",$B284=""),"",IF(AND(IFERROR(LOOKUP(2,1/($B$9:$B$283=$B284),$AR$9:$AR283),1),NOT(AND(OR($F284="dividend",$F284="fee"),IFERROR(LOOKUP(2,1/($B$9:$B$283=$B284),$T$9:$T283),0)&gt;0))),IFERROR(LOOKUP(2,1/($B$9:$B$283=$B284),$T$9:$T283),0)+1,IFERROR(LOOKUP(2,1/($B$9:$B$283=$B284),$T$9:$T283),0)))</f>
        <v/>
      </c>
      <c r="U284" s="58" t="str">
        <f t="shared" si="70"/>
        <v/>
      </c>
      <c r="V284" s="58" t="str">
        <f>IF($A284="","",IF(OR($B284="",$C284="",$D284="",$E284="",$F284=""),"Missing required field",IF(COUNTIFS($A$9:$A284,$A284,$B$9:$B284,$B284)&gt;1,"Duplicate event ID",IF(AND($E284&lt;&gt;IFERROR(LOOKUP(2,1/($B$9:$B$283=$B284),$E$9:$E283),0),IFERROR(LOOKUP(2,1/($B$9:$B$283=$B284),$E$9:$E283),0)&gt;$E284),"Date out of order",IF(AND(OR($F284="buy_to_close",$F284="expire",$F284="roll",$F284="assignment",$F284="called_away"),$AF284=0),"Unknown lot",IF(OR(AND($F284="assignment",$AF284&gt;0,IF($AF284&gt;0,INDEX($AG$9:$AG$283,$AF284),"")&lt;&gt;"put"),AND($F284="called_away",$AF284&gt;0,IF($AF284&gt;0,INDEX($AG$9:$AG$283,$AF284),"")&lt;&gt;"call")),"Wrong option leg",IF(OR(AND(OR($F284="sell_put",$F284="sell_call"),OR($H284&lt;=0,$I284&lt;=0,$J284&lt;0)),AND(OR($F284="buy_to_close",$F284="expire",$F284="assignment",$F284="called_away"),OR($H284&lt;=0,$J284&lt;0)),AND($F284="roll",OR($H284&lt;=0,$I284&lt;=0,$J284&lt;0,$K284&lt;0)),AND(OR($F284="buy_shares",$F284="sell_shares"),OR($L284&lt;=0,$M284&lt;0)),AND(OR($F284="dividend",$F284="fee"),$N284&lt;0)),"Invalid value",IF(AND(OR($F284="sell_shares",$F284="called_away"),$AL284&lt;IF($F284="called_away",$AE284*$D284,$L284)),"Insufficient shares (capped)",IF(AND(OR($F284="buy_to_close",$F284="expire",$F284="roll",$F284="assignment",$F284="called_away"),$AF284&gt;0,$H284&gt;IF($AF284&gt;0,MAX(0,INDEX($AI$9:$AI$283,$AF284)-SUMIFS($AE$9:$AE$283,$G$9:$G$283,$G284,$B$9:$B$283,$B284)),0)),"Close quantity capped","OK")))))))))</f>
        <v/>
      </c>
      <c r="W284" s="59" t="str">
        <f t="shared" si="71"/>
        <v/>
      </c>
      <c r="X284" s="60" t="str">
        <f t="shared" si="72"/>
        <v/>
      </c>
      <c r="Y284" s="50" t="str">
        <f t="shared" si="73"/>
        <v/>
      </c>
      <c r="Z284" s="50" t="str">
        <f t="shared" si="74"/>
        <v/>
      </c>
      <c r="AA284" s="50" t="str">
        <f t="shared" si="75"/>
        <v/>
      </c>
      <c r="AB284" s="50" t="str">
        <f t="shared" si="76"/>
        <v/>
      </c>
      <c r="AC284" s="50" t="str">
        <f>IF($A284="","",IF($F284="assignment",IF($AF284&gt;0,INDEX($AH$9:$AH$283,$AF284),0)*$AE284*$D284,IF($F284="buy_shares",$M284*$AL284,0)))</f>
        <v/>
      </c>
      <c r="AD284" s="50" t="str">
        <f>IF($A284="","",IF($F284="called_away",IF($AF284&gt;0,INDEX($AH$9:$AH$283,$AF284),0)*$AL284,IF($F284="sell_shares",$M284*$AL284,0)))</f>
        <v/>
      </c>
      <c r="AE284" s="51" t="str">
        <f>IF($A284="","",IF(OR($F284="sell_put",$F284="sell_call"),IF(AND($H284&gt;0,$I284&gt;0,$J284&gt;=0),$H284,0),IF(OR($F284="buy_to_close",$F284="expire",$F284="roll",$F284="assignment",$F284="called_away"),IF(AND($AF284&gt;0,$H284&gt;0,IF($F284="assignment",IF($AF284&gt;0,INDEX($AG$9:$AG$283,$AF284),"")="put",TRUE),IF($F284="called_away",IF($AF284&gt;0,INDEX($AG$9:$AG$283,$AF284),"")="call",TRUE)),MIN($H284,IF($AF284&gt;0,MAX(0,INDEX($AI$9:$AI$283,$AF284)-SUMIFS($AE$9:$AE$283,$G$9:$G$283,$G284,$B$9:$B$283,$B284)),0)),0),0)))</f>
        <v/>
      </c>
      <c r="AF284" t="str">
        <f>IF($A284="","",IFERROR(MATCH(LEN($B284)&amp;":"&amp;$B284&amp;$G284,$AY$9:$AY$283,0),0))</f>
        <v/>
      </c>
      <c r="AG284" t="str">
        <f>IF($A284="","",IF($F284="sell_put","put",IF($F284="sell_call","call",IF($F284="roll",IF($AF284&gt;0,IF($AF284&gt;0,INDEX($AG$9:$AG$283,$AF284),""),""),IF($AF284&gt;0,IF($AF284&gt;0,INDEX($AG$9:$AG$283,$AF284),""),"")))))</f>
        <v/>
      </c>
      <c r="AH284" t="str">
        <f>IF($A284="","",IF(OR($F284="sell_put",$F284="sell_call",$F284="roll"),$I284,IF($AF284&gt;0,IF($AF284&gt;0,INDEX($AH$9:$AH$283,$AF284),0),0)))</f>
        <v/>
      </c>
      <c r="AI284" s="51" t="str">
        <f t="shared" si="77"/>
        <v/>
      </c>
      <c r="AJ284" s="51" t="str">
        <f>IF($A284="","",IFERROR(LOOKUP(2,1/($B$9:$B$283=$B284),$AM$9:$AM283),0))</f>
        <v/>
      </c>
      <c r="AK284" t="str">
        <f>IF($A284="","",IFERROR(LOOKUP(2,1/($B$9:$B$283=$B284),$AN$9:$AN283),0))</f>
        <v/>
      </c>
      <c r="AL284" s="51" t="str">
        <f t="shared" si="78"/>
        <v/>
      </c>
      <c r="AM284" s="51" t="str">
        <f t="shared" si="79"/>
        <v/>
      </c>
      <c r="AN284" t="str">
        <f t="shared" si="80"/>
        <v/>
      </c>
      <c r="AO284" s="50" t="str">
        <f>IF($A284="","",IFERROR(LOOKUP(2,1/($B$9:$B$283=$B284),$AO$9:$AO283),0)+IF($F284="sell_put",$I284*$AE284*$D284,IF($F284="roll",IF($AG284="put",($I284-IF($AF284&gt;0,INDEX($AH$9:$AH$283,$AF284),0))*$AE284*$D284,0),IF(AND(OR($F284="buy_to_close",$F284="expire",$F284="roll",$F284="assignment",$F284="called_away"),$F284&lt;&gt;"roll",$AG284="put"),-IF($AF284&gt;0,INDEX($AH$9:$AH$283,$AF284),0)*$AE284*$D284,0))))</f>
        <v/>
      </c>
      <c r="AP284" s="51" t="str">
        <f>IF($A284="","",IFERROR(LOOKUP(2,1/($B$9:$B$283=$B284),$AP$9:$AP283),0)+IF($F284="sell_put",$AE284*$D284,IF(AND(OR($F284="buy_to_close",$F284="expire",$F284="roll",$F284="assignment",$F284="called_away"),$F284&lt;&gt;"roll",$AG284="put"),-$AE284*$D284,0)))</f>
        <v/>
      </c>
      <c r="AQ284" s="51" t="str">
        <f>IF($A284="","",IFERROR(LOOKUP(2,1/($B$9:$B$283=$B284),$AQ$9:$AQ283),0)+IF(OR($F284="sell_put",$F284="sell_call"),$AE284,0)-IF(AND(OR($F284="buy_to_close",$F284="expire",$F284="roll",$F284="assignment",$F284="called_away"),$F284&lt;&gt;"roll"),$AE284,0))</f>
        <v/>
      </c>
      <c r="AR284" t="str">
        <f t="shared" si="81"/>
        <v/>
      </c>
      <c r="AS284" s="50" t="str">
        <f t="shared" si="82"/>
        <v/>
      </c>
      <c r="AT284" s="50" t="str">
        <f>IF($A284="","",MAX(IF($T284=IFERROR(LOOKUP(2,1/($B$9:$B$283=$B284),$T$9:$T283),0),IFERROR(LOOKUP(2,1/($B$9:$B$283=$B284),$AT$9:$AT283),0),0),$AS284))</f>
        <v/>
      </c>
      <c r="AU284" t="str">
        <f t="shared" si="83"/>
        <v/>
      </c>
      <c r="AV284" s="51">
        <f>IF($AU284="",0,IF(AND(IFERROR(LOOKUP(2,1/($B$9:$B$283=$B284),$AR$9:$AR283),1),NOT(AND(OR($F284="dividend",$F284="fee"),IFERROR(LOOKUP(2,1/($B$9:$B$283=$B284),$T$9:$T283),0)&gt;0))),ROW(),0))</f>
        <v>0</v>
      </c>
      <c r="AW284">
        <f>IF($A284="",0,IF($AV284&gt;0,MAX($AW$9:$AW$283)+1,MAX($AW$9:$AW$283)))</f>
        <v>0</v>
      </c>
      <c r="AX284">
        <f>IF($AU284="",0,IF(AND($AR284,OR(NOT(IFERROR(LOOKUP(2,1/($B$9:$B$283=$B284),$AR$9:$AR283),1)),IFERROR(LOOKUP(2,1/($B$9:$B$283=$B284),$T$9:$T283),0)=0)),ROW(),0))</f>
        <v>0</v>
      </c>
      <c r="AY284" t="str">
        <f t="shared" si="84"/>
        <v/>
      </c>
    </row>
    <row r="285" spans="1:51" ht="15" x14ac:dyDescent="0.25">
      <c r="A285" s="41" t="str">
        <f>IF(Trades!$A285="","",Trades!O285)</f>
        <v/>
      </c>
      <c r="B285" s="41" t="str">
        <f>IF(Trades!$A285="","",Trades!B285)</f>
        <v/>
      </c>
      <c r="C285" s="41" t="str">
        <f>IF(Trades!$A285="","",Trades!C285)</f>
        <v/>
      </c>
      <c r="D285" s="42" t="str">
        <f>IF(Trades!$A285="","",IF(Trades!$L285&gt;0,Trades!$L285,Trades!$C$6))</f>
        <v/>
      </c>
      <c r="E285" s="43" t="str">
        <f>IF(Trades!$A285="","",Trades!A285)</f>
        <v/>
      </c>
      <c r="F285" s="41" t="str">
        <f>IF(Trades!$A285="","",IFERROR(INDEX(Trades!$V$2:$V$14,MATCH(Trades!$E285,Trades!$U$2:$U$14,0)),""))</f>
        <v/>
      </c>
      <c r="G285" s="41" t="str">
        <f>IF(Trades!$A285="","",Trades!N285)</f>
        <v/>
      </c>
      <c r="H285" s="42" t="str">
        <f>IF(Trades!$A285="","",Trades!F285)</f>
        <v/>
      </c>
      <c r="I285" s="44" t="str">
        <f>IF(Trades!$A285="","",Trades!G285)</f>
        <v/>
      </c>
      <c r="J285" s="44" t="str">
        <f>IF(Trades!$A285="","",Trades!I285)</f>
        <v/>
      </c>
      <c r="K285" s="44" t="str">
        <f>IF(Trades!$A285="","",Trades!Q285)</f>
        <v/>
      </c>
      <c r="L285" s="42" t="str">
        <f>IF(Trades!$A285="","",Trades!F285)</f>
        <v/>
      </c>
      <c r="M285" s="44" t="str">
        <f>IF(Trades!$A285="","",Trades!M285)</f>
        <v/>
      </c>
      <c r="N285" s="44" t="str">
        <f>IF(Trades!$A285="","",Trades!R285)</f>
        <v/>
      </c>
      <c r="O285" s="44" t="str">
        <f>IF(Trades!$A285="","",Trades!J285)</f>
        <v/>
      </c>
      <c r="P285" s="43" t="str">
        <f>IF(Trades!$A285="","",Trades!H285)</f>
        <v/>
      </c>
      <c r="Q285" s="41" t="str">
        <f>IF(Trades!$A285="","",Trades!P285)</f>
        <v/>
      </c>
      <c r="R285" s="45" t="str">
        <f t="shared" si="68"/>
        <v/>
      </c>
      <c r="S285" s="45" t="str">
        <f t="shared" si="69"/>
        <v/>
      </c>
      <c r="T285" s="46" t="str">
        <f>IF(OR($A285="",$B285=""),"",IF(AND(IFERROR(LOOKUP(2,1/($B$9:$B$284=$B285),$AR$9:$AR284),1),NOT(AND(OR($F285="dividend",$F285="fee"),IFERROR(LOOKUP(2,1/($B$9:$B$284=$B285),$T$9:$T284),0)&gt;0))),IFERROR(LOOKUP(2,1/($B$9:$B$284=$B285),$T$9:$T284),0)+1,IFERROR(LOOKUP(2,1/($B$9:$B$284=$B285),$T$9:$T284),0)))</f>
        <v/>
      </c>
      <c r="U285" s="47" t="str">
        <f t="shared" si="70"/>
        <v/>
      </c>
      <c r="V285" s="47" t="str">
        <f>IF($A285="","",IF(OR($B285="",$C285="",$D285="",$E285="",$F285=""),"Missing required field",IF(COUNTIFS($A$9:$A285,$A285,$B$9:$B285,$B285)&gt;1,"Duplicate event ID",IF(AND($E285&lt;&gt;IFERROR(LOOKUP(2,1/($B$9:$B$284=$B285),$E$9:$E284),0),IFERROR(LOOKUP(2,1/($B$9:$B$284=$B285),$E$9:$E284),0)&gt;$E285),"Date out of order",IF(AND(OR($F285="buy_to_close",$F285="expire",$F285="roll",$F285="assignment",$F285="called_away"),$AF285=0),"Unknown lot",IF(OR(AND($F285="assignment",$AF285&gt;0,IF($AF285&gt;0,INDEX($AG$9:$AG$284,$AF285),"")&lt;&gt;"put"),AND($F285="called_away",$AF285&gt;0,IF($AF285&gt;0,INDEX($AG$9:$AG$284,$AF285),"")&lt;&gt;"call")),"Wrong option leg",IF(OR(AND(OR($F285="sell_put",$F285="sell_call"),OR($H285&lt;=0,$I285&lt;=0,$J285&lt;0)),AND(OR($F285="buy_to_close",$F285="expire",$F285="assignment",$F285="called_away"),OR($H285&lt;=0,$J285&lt;0)),AND($F285="roll",OR($H285&lt;=0,$I285&lt;=0,$J285&lt;0,$K285&lt;0)),AND(OR($F285="buy_shares",$F285="sell_shares"),OR($L285&lt;=0,$M285&lt;0)),AND(OR($F285="dividend",$F285="fee"),$N285&lt;0)),"Invalid value",IF(AND(OR($F285="sell_shares",$F285="called_away"),$AL285&lt;IF($F285="called_away",$AE285*$D285,$L285)),"Insufficient shares (capped)",IF(AND(OR($F285="buy_to_close",$F285="expire",$F285="roll",$F285="assignment",$F285="called_away"),$AF285&gt;0,$H285&gt;IF($AF285&gt;0,MAX(0,INDEX($AI$9:$AI$284,$AF285)-SUMIFS($AE$9:$AE$284,$G$9:$G$284,$G285,$B$9:$B$284,$B285)),0)),"Close quantity capped","OK")))))))))</f>
        <v/>
      </c>
      <c r="W285" s="48" t="str">
        <f t="shared" si="71"/>
        <v/>
      </c>
      <c r="X285" s="49" t="str">
        <f t="shared" si="72"/>
        <v/>
      </c>
      <c r="Y285" s="50" t="str">
        <f t="shared" si="73"/>
        <v/>
      </c>
      <c r="Z285" s="50" t="str">
        <f t="shared" si="74"/>
        <v/>
      </c>
      <c r="AA285" s="50" t="str">
        <f t="shared" si="75"/>
        <v/>
      </c>
      <c r="AB285" s="50" t="str">
        <f t="shared" si="76"/>
        <v/>
      </c>
      <c r="AC285" s="50" t="str">
        <f>IF($A285="","",IF($F285="assignment",IF($AF285&gt;0,INDEX($AH$9:$AH$284,$AF285),0)*$AE285*$D285,IF($F285="buy_shares",$M285*$AL285,0)))</f>
        <v/>
      </c>
      <c r="AD285" s="50" t="str">
        <f>IF($A285="","",IF($F285="called_away",IF($AF285&gt;0,INDEX($AH$9:$AH$284,$AF285),0)*$AL285,IF($F285="sell_shares",$M285*$AL285,0)))</f>
        <v/>
      </c>
      <c r="AE285" s="51" t="str">
        <f>IF($A285="","",IF(OR($F285="sell_put",$F285="sell_call"),IF(AND($H285&gt;0,$I285&gt;0,$J285&gt;=0),$H285,0),IF(OR($F285="buy_to_close",$F285="expire",$F285="roll",$F285="assignment",$F285="called_away"),IF(AND($AF285&gt;0,$H285&gt;0,IF($F285="assignment",IF($AF285&gt;0,INDEX($AG$9:$AG$284,$AF285),"")="put",TRUE),IF($F285="called_away",IF($AF285&gt;0,INDEX($AG$9:$AG$284,$AF285),"")="call",TRUE)),MIN($H285,IF($AF285&gt;0,MAX(0,INDEX($AI$9:$AI$284,$AF285)-SUMIFS($AE$9:$AE$284,$G$9:$G$284,$G285,$B$9:$B$284,$B285)),0)),0),0)))</f>
        <v/>
      </c>
      <c r="AF285" t="str">
        <f>IF($A285="","",IFERROR(MATCH(LEN($B285)&amp;":"&amp;$B285&amp;$G285,$AY$9:$AY$284,0),0))</f>
        <v/>
      </c>
      <c r="AG285" t="str">
        <f>IF($A285="","",IF($F285="sell_put","put",IF($F285="sell_call","call",IF($F285="roll",IF($AF285&gt;0,IF($AF285&gt;0,INDEX($AG$9:$AG$284,$AF285),""),""),IF($AF285&gt;0,IF($AF285&gt;0,INDEX($AG$9:$AG$284,$AF285),""),"")))))</f>
        <v/>
      </c>
      <c r="AH285" t="str">
        <f>IF($A285="","",IF(OR($F285="sell_put",$F285="sell_call",$F285="roll"),$I285,IF($AF285&gt;0,IF($AF285&gt;0,INDEX($AH$9:$AH$284,$AF285),0),0)))</f>
        <v/>
      </c>
      <c r="AI285" s="51" t="str">
        <f t="shared" si="77"/>
        <v/>
      </c>
      <c r="AJ285" s="51" t="str">
        <f>IF($A285="","",IFERROR(LOOKUP(2,1/($B$9:$B$284=$B285),$AM$9:$AM284),0))</f>
        <v/>
      </c>
      <c r="AK285" t="str">
        <f>IF($A285="","",IFERROR(LOOKUP(2,1/($B$9:$B$284=$B285),$AN$9:$AN284),0))</f>
        <v/>
      </c>
      <c r="AL285" s="51" t="str">
        <f t="shared" si="78"/>
        <v/>
      </c>
      <c r="AM285" s="51" t="str">
        <f t="shared" si="79"/>
        <v/>
      </c>
      <c r="AN285" t="str">
        <f t="shared" si="80"/>
        <v/>
      </c>
      <c r="AO285" s="50" t="str">
        <f>IF($A285="","",IFERROR(LOOKUP(2,1/($B$9:$B$284=$B285),$AO$9:$AO284),0)+IF($F285="sell_put",$I285*$AE285*$D285,IF($F285="roll",IF($AG285="put",($I285-IF($AF285&gt;0,INDEX($AH$9:$AH$284,$AF285),0))*$AE285*$D285,0),IF(AND(OR($F285="buy_to_close",$F285="expire",$F285="roll",$F285="assignment",$F285="called_away"),$F285&lt;&gt;"roll",$AG285="put"),-IF($AF285&gt;0,INDEX($AH$9:$AH$284,$AF285),0)*$AE285*$D285,0))))</f>
        <v/>
      </c>
      <c r="AP285" s="51" t="str">
        <f>IF($A285="","",IFERROR(LOOKUP(2,1/($B$9:$B$284=$B285),$AP$9:$AP284),0)+IF($F285="sell_put",$AE285*$D285,IF(AND(OR($F285="buy_to_close",$F285="expire",$F285="roll",$F285="assignment",$F285="called_away"),$F285&lt;&gt;"roll",$AG285="put"),-$AE285*$D285,0)))</f>
        <v/>
      </c>
      <c r="AQ285" s="51" t="str">
        <f>IF($A285="","",IFERROR(LOOKUP(2,1/($B$9:$B$284=$B285),$AQ$9:$AQ284),0)+IF(OR($F285="sell_put",$F285="sell_call"),$AE285,0)-IF(AND(OR($F285="buy_to_close",$F285="expire",$F285="roll",$F285="assignment",$F285="called_away"),$F285&lt;&gt;"roll"),$AE285,0))</f>
        <v/>
      </c>
      <c r="AR285" t="str">
        <f t="shared" si="81"/>
        <v/>
      </c>
      <c r="AS285" s="50" t="str">
        <f t="shared" si="82"/>
        <v/>
      </c>
      <c r="AT285" s="50" t="str">
        <f>IF($A285="","",MAX(IF($T285=IFERROR(LOOKUP(2,1/($B$9:$B$284=$B285),$T$9:$T284),0),IFERROR(LOOKUP(2,1/($B$9:$B$284=$B285),$AT$9:$AT284),0),0),$AS285))</f>
        <v/>
      </c>
      <c r="AU285" t="str">
        <f t="shared" si="83"/>
        <v/>
      </c>
      <c r="AV285" s="51">
        <f>IF($AU285="",0,IF(AND(IFERROR(LOOKUP(2,1/($B$9:$B$284=$B285),$AR$9:$AR284),1),NOT(AND(OR($F285="dividend",$F285="fee"),IFERROR(LOOKUP(2,1/($B$9:$B$284=$B285),$T$9:$T284),0)&gt;0))),ROW(),0))</f>
        <v>0</v>
      </c>
      <c r="AW285">
        <f>IF($A285="",0,IF($AV285&gt;0,MAX($AW$9:$AW$284)+1,MAX($AW$9:$AW$284)))</f>
        <v>0</v>
      </c>
      <c r="AX285">
        <f>IF($AU285="",0,IF(AND($AR285,OR(NOT(IFERROR(LOOKUP(2,1/($B$9:$B$284=$B285),$AR$9:$AR284),1)),IFERROR(LOOKUP(2,1/($B$9:$B$284=$B285),$T$9:$T284),0)=0)),ROW(),0))</f>
        <v>0</v>
      </c>
      <c r="AY285" t="str">
        <f t="shared" si="84"/>
        <v/>
      </c>
    </row>
    <row r="286" spans="1:51" ht="15" x14ac:dyDescent="0.25">
      <c r="A286" s="52" t="str">
        <f>IF(Trades!$A286="","",Trades!O286)</f>
        <v/>
      </c>
      <c r="B286" s="52" t="str">
        <f>IF(Trades!$A286="","",Trades!B286)</f>
        <v/>
      </c>
      <c r="C286" s="52" t="str">
        <f>IF(Trades!$A286="","",Trades!C286)</f>
        <v/>
      </c>
      <c r="D286" s="53" t="str">
        <f>IF(Trades!$A286="","",IF(Trades!$L286&gt;0,Trades!$L286,Trades!$C$6))</f>
        <v/>
      </c>
      <c r="E286" s="54" t="str">
        <f>IF(Trades!$A286="","",Trades!A286)</f>
        <v/>
      </c>
      <c r="F286" s="52" t="str">
        <f>IF(Trades!$A286="","",IFERROR(INDEX(Trades!$V$2:$V$14,MATCH(Trades!$E286,Trades!$U$2:$U$14,0)),""))</f>
        <v/>
      </c>
      <c r="G286" s="52" t="str">
        <f>IF(Trades!$A286="","",Trades!N286)</f>
        <v/>
      </c>
      <c r="H286" s="53" t="str">
        <f>IF(Trades!$A286="","",Trades!F286)</f>
        <v/>
      </c>
      <c r="I286" s="55" t="str">
        <f>IF(Trades!$A286="","",Trades!G286)</f>
        <v/>
      </c>
      <c r="J286" s="55" t="str">
        <f>IF(Trades!$A286="","",Trades!I286)</f>
        <v/>
      </c>
      <c r="K286" s="55" t="str">
        <f>IF(Trades!$A286="","",Trades!Q286)</f>
        <v/>
      </c>
      <c r="L286" s="53" t="str">
        <f>IF(Trades!$A286="","",Trades!F286)</f>
        <v/>
      </c>
      <c r="M286" s="55" t="str">
        <f>IF(Trades!$A286="","",Trades!M286)</f>
        <v/>
      </c>
      <c r="N286" s="55" t="str">
        <f>IF(Trades!$A286="","",Trades!R286)</f>
        <v/>
      </c>
      <c r="O286" s="55" t="str">
        <f>IF(Trades!$A286="","",Trades!J286)</f>
        <v/>
      </c>
      <c r="P286" s="54" t="str">
        <f>IF(Trades!$A286="","",Trades!H286)</f>
        <v/>
      </c>
      <c r="Q286" s="52" t="str">
        <f>IF(Trades!$A286="","",Trades!P286)</f>
        <v/>
      </c>
      <c r="R286" s="56" t="str">
        <f t="shared" si="68"/>
        <v/>
      </c>
      <c r="S286" s="56" t="str">
        <f t="shared" si="69"/>
        <v/>
      </c>
      <c r="T286" s="57" t="str">
        <f>IF(OR($A286="",$B286=""),"",IF(AND(IFERROR(LOOKUP(2,1/($B$9:$B$285=$B286),$AR$9:$AR285),1),NOT(AND(OR($F286="dividend",$F286="fee"),IFERROR(LOOKUP(2,1/($B$9:$B$285=$B286),$T$9:$T285),0)&gt;0))),IFERROR(LOOKUP(2,1/($B$9:$B$285=$B286),$T$9:$T285),0)+1,IFERROR(LOOKUP(2,1/($B$9:$B$285=$B286),$T$9:$T285),0)))</f>
        <v/>
      </c>
      <c r="U286" s="58" t="str">
        <f t="shared" si="70"/>
        <v/>
      </c>
      <c r="V286" s="58" t="str">
        <f>IF($A286="","",IF(OR($B286="",$C286="",$D286="",$E286="",$F286=""),"Missing required field",IF(COUNTIFS($A$9:$A286,$A286,$B$9:$B286,$B286)&gt;1,"Duplicate event ID",IF(AND($E286&lt;&gt;IFERROR(LOOKUP(2,1/($B$9:$B$285=$B286),$E$9:$E285),0),IFERROR(LOOKUP(2,1/($B$9:$B$285=$B286),$E$9:$E285),0)&gt;$E286),"Date out of order",IF(AND(OR($F286="buy_to_close",$F286="expire",$F286="roll",$F286="assignment",$F286="called_away"),$AF286=0),"Unknown lot",IF(OR(AND($F286="assignment",$AF286&gt;0,IF($AF286&gt;0,INDEX($AG$9:$AG$285,$AF286),"")&lt;&gt;"put"),AND($F286="called_away",$AF286&gt;0,IF($AF286&gt;0,INDEX($AG$9:$AG$285,$AF286),"")&lt;&gt;"call")),"Wrong option leg",IF(OR(AND(OR($F286="sell_put",$F286="sell_call"),OR($H286&lt;=0,$I286&lt;=0,$J286&lt;0)),AND(OR($F286="buy_to_close",$F286="expire",$F286="assignment",$F286="called_away"),OR($H286&lt;=0,$J286&lt;0)),AND($F286="roll",OR($H286&lt;=0,$I286&lt;=0,$J286&lt;0,$K286&lt;0)),AND(OR($F286="buy_shares",$F286="sell_shares"),OR($L286&lt;=0,$M286&lt;0)),AND(OR($F286="dividend",$F286="fee"),$N286&lt;0)),"Invalid value",IF(AND(OR($F286="sell_shares",$F286="called_away"),$AL286&lt;IF($F286="called_away",$AE286*$D286,$L286)),"Insufficient shares (capped)",IF(AND(OR($F286="buy_to_close",$F286="expire",$F286="roll",$F286="assignment",$F286="called_away"),$AF286&gt;0,$H286&gt;IF($AF286&gt;0,MAX(0,INDEX($AI$9:$AI$285,$AF286)-SUMIFS($AE$9:$AE$285,$G$9:$G$285,$G286,$B$9:$B$285,$B286)),0)),"Close quantity capped","OK")))))))))</f>
        <v/>
      </c>
      <c r="W286" s="59" t="str">
        <f t="shared" si="71"/>
        <v/>
      </c>
      <c r="X286" s="60" t="str">
        <f t="shared" si="72"/>
        <v/>
      </c>
      <c r="Y286" s="50" t="str">
        <f t="shared" si="73"/>
        <v/>
      </c>
      <c r="Z286" s="50" t="str">
        <f t="shared" si="74"/>
        <v/>
      </c>
      <c r="AA286" s="50" t="str">
        <f t="shared" si="75"/>
        <v/>
      </c>
      <c r="AB286" s="50" t="str">
        <f t="shared" si="76"/>
        <v/>
      </c>
      <c r="AC286" s="50" t="str">
        <f>IF($A286="","",IF($F286="assignment",IF($AF286&gt;0,INDEX($AH$9:$AH$285,$AF286),0)*$AE286*$D286,IF($F286="buy_shares",$M286*$AL286,0)))</f>
        <v/>
      </c>
      <c r="AD286" s="50" t="str">
        <f>IF($A286="","",IF($F286="called_away",IF($AF286&gt;0,INDEX($AH$9:$AH$285,$AF286),0)*$AL286,IF($F286="sell_shares",$M286*$AL286,0)))</f>
        <v/>
      </c>
      <c r="AE286" s="51" t="str">
        <f>IF($A286="","",IF(OR($F286="sell_put",$F286="sell_call"),IF(AND($H286&gt;0,$I286&gt;0,$J286&gt;=0),$H286,0),IF(OR($F286="buy_to_close",$F286="expire",$F286="roll",$F286="assignment",$F286="called_away"),IF(AND($AF286&gt;0,$H286&gt;0,IF($F286="assignment",IF($AF286&gt;0,INDEX($AG$9:$AG$285,$AF286),"")="put",TRUE),IF($F286="called_away",IF($AF286&gt;0,INDEX($AG$9:$AG$285,$AF286),"")="call",TRUE)),MIN($H286,IF($AF286&gt;0,MAX(0,INDEX($AI$9:$AI$285,$AF286)-SUMIFS($AE$9:$AE$285,$G$9:$G$285,$G286,$B$9:$B$285,$B286)),0)),0),0)))</f>
        <v/>
      </c>
      <c r="AF286" t="str">
        <f>IF($A286="","",IFERROR(MATCH(LEN($B286)&amp;":"&amp;$B286&amp;$G286,$AY$9:$AY$285,0),0))</f>
        <v/>
      </c>
      <c r="AG286" t="str">
        <f>IF($A286="","",IF($F286="sell_put","put",IF($F286="sell_call","call",IF($F286="roll",IF($AF286&gt;0,IF($AF286&gt;0,INDEX($AG$9:$AG$285,$AF286),""),""),IF($AF286&gt;0,IF($AF286&gt;0,INDEX($AG$9:$AG$285,$AF286),""),"")))))</f>
        <v/>
      </c>
      <c r="AH286" t="str">
        <f>IF($A286="","",IF(OR($F286="sell_put",$F286="sell_call",$F286="roll"),$I286,IF($AF286&gt;0,IF($AF286&gt;0,INDEX($AH$9:$AH$285,$AF286),0),0)))</f>
        <v/>
      </c>
      <c r="AI286" s="51" t="str">
        <f t="shared" si="77"/>
        <v/>
      </c>
      <c r="AJ286" s="51" t="str">
        <f>IF($A286="","",IFERROR(LOOKUP(2,1/($B$9:$B$285=$B286),$AM$9:$AM285),0))</f>
        <v/>
      </c>
      <c r="AK286" t="str">
        <f>IF($A286="","",IFERROR(LOOKUP(2,1/($B$9:$B$285=$B286),$AN$9:$AN285),0))</f>
        <v/>
      </c>
      <c r="AL286" s="51" t="str">
        <f t="shared" si="78"/>
        <v/>
      </c>
      <c r="AM286" s="51" t="str">
        <f t="shared" si="79"/>
        <v/>
      </c>
      <c r="AN286" t="str">
        <f t="shared" si="80"/>
        <v/>
      </c>
      <c r="AO286" s="50" t="str">
        <f>IF($A286="","",IFERROR(LOOKUP(2,1/($B$9:$B$285=$B286),$AO$9:$AO285),0)+IF($F286="sell_put",$I286*$AE286*$D286,IF($F286="roll",IF($AG286="put",($I286-IF($AF286&gt;0,INDEX($AH$9:$AH$285,$AF286),0))*$AE286*$D286,0),IF(AND(OR($F286="buy_to_close",$F286="expire",$F286="roll",$F286="assignment",$F286="called_away"),$F286&lt;&gt;"roll",$AG286="put"),-IF($AF286&gt;0,INDEX($AH$9:$AH$285,$AF286),0)*$AE286*$D286,0))))</f>
        <v/>
      </c>
      <c r="AP286" s="51" t="str">
        <f>IF($A286="","",IFERROR(LOOKUP(2,1/($B$9:$B$285=$B286),$AP$9:$AP285),0)+IF($F286="sell_put",$AE286*$D286,IF(AND(OR($F286="buy_to_close",$F286="expire",$F286="roll",$F286="assignment",$F286="called_away"),$F286&lt;&gt;"roll",$AG286="put"),-$AE286*$D286,0)))</f>
        <v/>
      </c>
      <c r="AQ286" s="51" t="str">
        <f>IF($A286="","",IFERROR(LOOKUP(2,1/($B$9:$B$285=$B286),$AQ$9:$AQ285),0)+IF(OR($F286="sell_put",$F286="sell_call"),$AE286,0)-IF(AND(OR($F286="buy_to_close",$F286="expire",$F286="roll",$F286="assignment",$F286="called_away"),$F286&lt;&gt;"roll"),$AE286,0))</f>
        <v/>
      </c>
      <c r="AR286" t="str">
        <f t="shared" si="81"/>
        <v/>
      </c>
      <c r="AS286" s="50" t="str">
        <f t="shared" si="82"/>
        <v/>
      </c>
      <c r="AT286" s="50" t="str">
        <f>IF($A286="","",MAX(IF($T286=IFERROR(LOOKUP(2,1/($B$9:$B$285=$B286),$T$9:$T285),0),IFERROR(LOOKUP(2,1/($B$9:$B$285=$B286),$AT$9:$AT285),0),0),$AS286))</f>
        <v/>
      </c>
      <c r="AU286" t="str">
        <f t="shared" si="83"/>
        <v/>
      </c>
      <c r="AV286" s="51">
        <f>IF($AU286="",0,IF(AND(IFERROR(LOOKUP(2,1/($B$9:$B$285=$B286),$AR$9:$AR285),1),NOT(AND(OR($F286="dividend",$F286="fee"),IFERROR(LOOKUP(2,1/($B$9:$B$285=$B286),$T$9:$T285),0)&gt;0))),ROW(),0))</f>
        <v>0</v>
      </c>
      <c r="AW286">
        <f>IF($A286="",0,IF($AV286&gt;0,MAX($AW$9:$AW$285)+1,MAX($AW$9:$AW$285)))</f>
        <v>0</v>
      </c>
      <c r="AX286">
        <f>IF($AU286="",0,IF(AND($AR286,OR(NOT(IFERROR(LOOKUP(2,1/($B$9:$B$285=$B286),$AR$9:$AR285),1)),IFERROR(LOOKUP(2,1/($B$9:$B$285=$B286),$T$9:$T285),0)=0)),ROW(),0))</f>
        <v>0</v>
      </c>
      <c r="AY286" t="str">
        <f t="shared" si="84"/>
        <v/>
      </c>
    </row>
    <row r="287" spans="1:51" ht="15" x14ac:dyDescent="0.25">
      <c r="A287" s="41" t="str">
        <f>IF(Trades!$A287="","",Trades!O287)</f>
        <v/>
      </c>
      <c r="B287" s="41" t="str">
        <f>IF(Trades!$A287="","",Trades!B287)</f>
        <v/>
      </c>
      <c r="C287" s="41" t="str">
        <f>IF(Trades!$A287="","",Trades!C287)</f>
        <v/>
      </c>
      <c r="D287" s="42" t="str">
        <f>IF(Trades!$A287="","",IF(Trades!$L287&gt;0,Trades!$L287,Trades!$C$6))</f>
        <v/>
      </c>
      <c r="E287" s="43" t="str">
        <f>IF(Trades!$A287="","",Trades!A287)</f>
        <v/>
      </c>
      <c r="F287" s="41" t="str">
        <f>IF(Trades!$A287="","",IFERROR(INDEX(Trades!$V$2:$V$14,MATCH(Trades!$E287,Trades!$U$2:$U$14,0)),""))</f>
        <v/>
      </c>
      <c r="G287" s="41" t="str">
        <f>IF(Trades!$A287="","",Trades!N287)</f>
        <v/>
      </c>
      <c r="H287" s="42" t="str">
        <f>IF(Trades!$A287="","",Trades!F287)</f>
        <v/>
      </c>
      <c r="I287" s="44" t="str">
        <f>IF(Trades!$A287="","",Trades!G287)</f>
        <v/>
      </c>
      <c r="J287" s="44" t="str">
        <f>IF(Trades!$A287="","",Trades!I287)</f>
        <v/>
      </c>
      <c r="K287" s="44" t="str">
        <f>IF(Trades!$A287="","",Trades!Q287)</f>
        <v/>
      </c>
      <c r="L287" s="42" t="str">
        <f>IF(Trades!$A287="","",Trades!F287)</f>
        <v/>
      </c>
      <c r="M287" s="44" t="str">
        <f>IF(Trades!$A287="","",Trades!M287)</f>
        <v/>
      </c>
      <c r="N287" s="44" t="str">
        <f>IF(Trades!$A287="","",Trades!R287)</f>
        <v/>
      </c>
      <c r="O287" s="44" t="str">
        <f>IF(Trades!$A287="","",Trades!J287)</f>
        <v/>
      </c>
      <c r="P287" s="43" t="str">
        <f>IF(Trades!$A287="","",Trades!H287)</f>
        <v/>
      </c>
      <c r="Q287" s="41" t="str">
        <f>IF(Trades!$A287="","",Trades!P287)</f>
        <v/>
      </c>
      <c r="R287" s="45" t="str">
        <f t="shared" si="68"/>
        <v/>
      </c>
      <c r="S287" s="45" t="str">
        <f t="shared" si="69"/>
        <v/>
      </c>
      <c r="T287" s="46" t="str">
        <f>IF(OR($A287="",$B287=""),"",IF(AND(IFERROR(LOOKUP(2,1/($B$9:$B$286=$B287),$AR$9:$AR286),1),NOT(AND(OR($F287="dividend",$F287="fee"),IFERROR(LOOKUP(2,1/($B$9:$B$286=$B287),$T$9:$T286),0)&gt;0))),IFERROR(LOOKUP(2,1/($B$9:$B$286=$B287),$T$9:$T286),0)+1,IFERROR(LOOKUP(2,1/($B$9:$B$286=$B287),$T$9:$T286),0)))</f>
        <v/>
      </c>
      <c r="U287" s="47" t="str">
        <f t="shared" si="70"/>
        <v/>
      </c>
      <c r="V287" s="47" t="str">
        <f>IF($A287="","",IF(OR($B287="",$C287="",$D287="",$E287="",$F287=""),"Missing required field",IF(COUNTIFS($A$9:$A287,$A287,$B$9:$B287,$B287)&gt;1,"Duplicate event ID",IF(AND($E287&lt;&gt;IFERROR(LOOKUP(2,1/($B$9:$B$286=$B287),$E$9:$E286),0),IFERROR(LOOKUP(2,1/($B$9:$B$286=$B287),$E$9:$E286),0)&gt;$E287),"Date out of order",IF(AND(OR($F287="buy_to_close",$F287="expire",$F287="roll",$F287="assignment",$F287="called_away"),$AF287=0),"Unknown lot",IF(OR(AND($F287="assignment",$AF287&gt;0,IF($AF287&gt;0,INDEX($AG$9:$AG$286,$AF287),"")&lt;&gt;"put"),AND($F287="called_away",$AF287&gt;0,IF($AF287&gt;0,INDEX($AG$9:$AG$286,$AF287),"")&lt;&gt;"call")),"Wrong option leg",IF(OR(AND(OR($F287="sell_put",$F287="sell_call"),OR($H287&lt;=0,$I287&lt;=0,$J287&lt;0)),AND(OR($F287="buy_to_close",$F287="expire",$F287="assignment",$F287="called_away"),OR($H287&lt;=0,$J287&lt;0)),AND($F287="roll",OR($H287&lt;=0,$I287&lt;=0,$J287&lt;0,$K287&lt;0)),AND(OR($F287="buy_shares",$F287="sell_shares"),OR($L287&lt;=0,$M287&lt;0)),AND(OR($F287="dividend",$F287="fee"),$N287&lt;0)),"Invalid value",IF(AND(OR($F287="sell_shares",$F287="called_away"),$AL287&lt;IF($F287="called_away",$AE287*$D287,$L287)),"Insufficient shares (capped)",IF(AND(OR($F287="buy_to_close",$F287="expire",$F287="roll",$F287="assignment",$F287="called_away"),$AF287&gt;0,$H287&gt;IF($AF287&gt;0,MAX(0,INDEX($AI$9:$AI$286,$AF287)-SUMIFS($AE$9:$AE$286,$G$9:$G$286,$G287,$B$9:$B$286,$B287)),0)),"Close quantity capped","OK")))))))))</f>
        <v/>
      </c>
      <c r="W287" s="48" t="str">
        <f t="shared" si="71"/>
        <v/>
      </c>
      <c r="X287" s="49" t="str">
        <f t="shared" si="72"/>
        <v/>
      </c>
      <c r="Y287" s="50" t="str">
        <f t="shared" si="73"/>
        <v/>
      </c>
      <c r="Z287" s="50" t="str">
        <f t="shared" si="74"/>
        <v/>
      </c>
      <c r="AA287" s="50" t="str">
        <f t="shared" si="75"/>
        <v/>
      </c>
      <c r="AB287" s="50" t="str">
        <f t="shared" si="76"/>
        <v/>
      </c>
      <c r="AC287" s="50" t="str">
        <f>IF($A287="","",IF($F287="assignment",IF($AF287&gt;0,INDEX($AH$9:$AH$286,$AF287),0)*$AE287*$D287,IF($F287="buy_shares",$M287*$AL287,0)))</f>
        <v/>
      </c>
      <c r="AD287" s="50" t="str">
        <f>IF($A287="","",IF($F287="called_away",IF($AF287&gt;0,INDEX($AH$9:$AH$286,$AF287),0)*$AL287,IF($F287="sell_shares",$M287*$AL287,0)))</f>
        <v/>
      </c>
      <c r="AE287" s="51" t="str">
        <f>IF($A287="","",IF(OR($F287="sell_put",$F287="sell_call"),IF(AND($H287&gt;0,$I287&gt;0,$J287&gt;=0),$H287,0),IF(OR($F287="buy_to_close",$F287="expire",$F287="roll",$F287="assignment",$F287="called_away"),IF(AND($AF287&gt;0,$H287&gt;0,IF($F287="assignment",IF($AF287&gt;0,INDEX($AG$9:$AG$286,$AF287),"")="put",TRUE),IF($F287="called_away",IF($AF287&gt;0,INDEX($AG$9:$AG$286,$AF287),"")="call",TRUE)),MIN($H287,IF($AF287&gt;0,MAX(0,INDEX($AI$9:$AI$286,$AF287)-SUMIFS($AE$9:$AE$286,$G$9:$G$286,$G287,$B$9:$B$286,$B287)),0)),0),0)))</f>
        <v/>
      </c>
      <c r="AF287" t="str">
        <f>IF($A287="","",IFERROR(MATCH(LEN($B287)&amp;":"&amp;$B287&amp;$G287,$AY$9:$AY$286,0),0))</f>
        <v/>
      </c>
      <c r="AG287" t="str">
        <f>IF($A287="","",IF($F287="sell_put","put",IF($F287="sell_call","call",IF($F287="roll",IF($AF287&gt;0,IF($AF287&gt;0,INDEX($AG$9:$AG$286,$AF287),""),""),IF($AF287&gt;0,IF($AF287&gt;0,INDEX($AG$9:$AG$286,$AF287),""),"")))))</f>
        <v/>
      </c>
      <c r="AH287" t="str">
        <f>IF($A287="","",IF(OR($F287="sell_put",$F287="sell_call",$F287="roll"),$I287,IF($AF287&gt;0,IF($AF287&gt;0,INDEX($AH$9:$AH$286,$AF287),0),0)))</f>
        <v/>
      </c>
      <c r="AI287" s="51" t="str">
        <f t="shared" si="77"/>
        <v/>
      </c>
      <c r="AJ287" s="51" t="str">
        <f>IF($A287="","",IFERROR(LOOKUP(2,1/($B$9:$B$286=$B287),$AM$9:$AM286),0))</f>
        <v/>
      </c>
      <c r="AK287" t="str">
        <f>IF($A287="","",IFERROR(LOOKUP(2,1/($B$9:$B$286=$B287),$AN$9:$AN286),0))</f>
        <v/>
      </c>
      <c r="AL287" s="51" t="str">
        <f t="shared" si="78"/>
        <v/>
      </c>
      <c r="AM287" s="51" t="str">
        <f t="shared" si="79"/>
        <v/>
      </c>
      <c r="AN287" t="str">
        <f t="shared" si="80"/>
        <v/>
      </c>
      <c r="AO287" s="50" t="str">
        <f>IF($A287="","",IFERROR(LOOKUP(2,1/($B$9:$B$286=$B287),$AO$9:$AO286),0)+IF($F287="sell_put",$I287*$AE287*$D287,IF($F287="roll",IF($AG287="put",($I287-IF($AF287&gt;0,INDEX($AH$9:$AH$286,$AF287),0))*$AE287*$D287,0),IF(AND(OR($F287="buy_to_close",$F287="expire",$F287="roll",$F287="assignment",$F287="called_away"),$F287&lt;&gt;"roll",$AG287="put"),-IF($AF287&gt;0,INDEX($AH$9:$AH$286,$AF287),0)*$AE287*$D287,0))))</f>
        <v/>
      </c>
      <c r="AP287" s="51" t="str">
        <f>IF($A287="","",IFERROR(LOOKUP(2,1/($B$9:$B$286=$B287),$AP$9:$AP286),0)+IF($F287="sell_put",$AE287*$D287,IF(AND(OR($F287="buy_to_close",$F287="expire",$F287="roll",$F287="assignment",$F287="called_away"),$F287&lt;&gt;"roll",$AG287="put"),-$AE287*$D287,0)))</f>
        <v/>
      </c>
      <c r="AQ287" s="51" t="str">
        <f>IF($A287="","",IFERROR(LOOKUP(2,1/($B$9:$B$286=$B287),$AQ$9:$AQ286),0)+IF(OR($F287="sell_put",$F287="sell_call"),$AE287,0)-IF(AND(OR($F287="buy_to_close",$F287="expire",$F287="roll",$F287="assignment",$F287="called_away"),$F287&lt;&gt;"roll"),$AE287,0))</f>
        <v/>
      </c>
      <c r="AR287" t="str">
        <f t="shared" si="81"/>
        <v/>
      </c>
      <c r="AS287" s="50" t="str">
        <f t="shared" si="82"/>
        <v/>
      </c>
      <c r="AT287" s="50" t="str">
        <f>IF($A287="","",MAX(IF($T287=IFERROR(LOOKUP(2,1/($B$9:$B$286=$B287),$T$9:$T286),0),IFERROR(LOOKUP(2,1/($B$9:$B$286=$B287),$AT$9:$AT286),0),0),$AS287))</f>
        <v/>
      </c>
      <c r="AU287" t="str">
        <f t="shared" si="83"/>
        <v/>
      </c>
      <c r="AV287" s="51">
        <f>IF($AU287="",0,IF(AND(IFERROR(LOOKUP(2,1/($B$9:$B$286=$B287),$AR$9:$AR286),1),NOT(AND(OR($F287="dividend",$F287="fee"),IFERROR(LOOKUP(2,1/($B$9:$B$286=$B287),$T$9:$T286),0)&gt;0))),ROW(),0))</f>
        <v>0</v>
      </c>
      <c r="AW287">
        <f>IF($A287="",0,IF($AV287&gt;0,MAX($AW$9:$AW$286)+1,MAX($AW$9:$AW$286)))</f>
        <v>0</v>
      </c>
      <c r="AX287">
        <f>IF($AU287="",0,IF(AND($AR287,OR(NOT(IFERROR(LOOKUP(2,1/($B$9:$B$286=$B287),$AR$9:$AR286),1)),IFERROR(LOOKUP(2,1/($B$9:$B$286=$B287),$T$9:$T286),0)=0)),ROW(),0))</f>
        <v>0</v>
      </c>
      <c r="AY287" t="str">
        <f t="shared" si="84"/>
        <v/>
      </c>
    </row>
    <row r="288" spans="1:51" ht="15" x14ac:dyDescent="0.25">
      <c r="A288" s="52" t="str">
        <f>IF(Trades!$A288="","",Trades!O288)</f>
        <v/>
      </c>
      <c r="B288" s="52" t="str">
        <f>IF(Trades!$A288="","",Trades!B288)</f>
        <v/>
      </c>
      <c r="C288" s="52" t="str">
        <f>IF(Trades!$A288="","",Trades!C288)</f>
        <v/>
      </c>
      <c r="D288" s="53" t="str">
        <f>IF(Trades!$A288="","",IF(Trades!$L288&gt;0,Trades!$L288,Trades!$C$6))</f>
        <v/>
      </c>
      <c r="E288" s="54" t="str">
        <f>IF(Trades!$A288="","",Trades!A288)</f>
        <v/>
      </c>
      <c r="F288" s="52" t="str">
        <f>IF(Trades!$A288="","",IFERROR(INDEX(Trades!$V$2:$V$14,MATCH(Trades!$E288,Trades!$U$2:$U$14,0)),""))</f>
        <v/>
      </c>
      <c r="G288" s="52" t="str">
        <f>IF(Trades!$A288="","",Trades!N288)</f>
        <v/>
      </c>
      <c r="H288" s="53" t="str">
        <f>IF(Trades!$A288="","",Trades!F288)</f>
        <v/>
      </c>
      <c r="I288" s="55" t="str">
        <f>IF(Trades!$A288="","",Trades!G288)</f>
        <v/>
      </c>
      <c r="J288" s="55" t="str">
        <f>IF(Trades!$A288="","",Trades!I288)</f>
        <v/>
      </c>
      <c r="K288" s="55" t="str">
        <f>IF(Trades!$A288="","",Trades!Q288)</f>
        <v/>
      </c>
      <c r="L288" s="53" t="str">
        <f>IF(Trades!$A288="","",Trades!F288)</f>
        <v/>
      </c>
      <c r="M288" s="55" t="str">
        <f>IF(Trades!$A288="","",Trades!M288)</f>
        <v/>
      </c>
      <c r="N288" s="55" t="str">
        <f>IF(Trades!$A288="","",Trades!R288)</f>
        <v/>
      </c>
      <c r="O288" s="55" t="str">
        <f>IF(Trades!$A288="","",Trades!J288)</f>
        <v/>
      </c>
      <c r="P288" s="54" t="str">
        <f>IF(Trades!$A288="","",Trades!H288)</f>
        <v/>
      </c>
      <c r="Q288" s="52" t="str">
        <f>IF(Trades!$A288="","",Trades!P288)</f>
        <v/>
      </c>
      <c r="R288" s="56" t="str">
        <f t="shared" si="68"/>
        <v/>
      </c>
      <c r="S288" s="56" t="str">
        <f t="shared" si="69"/>
        <v/>
      </c>
      <c r="T288" s="57" t="str">
        <f>IF(OR($A288="",$B288=""),"",IF(AND(IFERROR(LOOKUP(2,1/($B$9:$B$287=$B288),$AR$9:$AR287),1),NOT(AND(OR($F288="dividend",$F288="fee"),IFERROR(LOOKUP(2,1/($B$9:$B$287=$B288),$T$9:$T287),0)&gt;0))),IFERROR(LOOKUP(2,1/($B$9:$B$287=$B288),$T$9:$T287),0)+1,IFERROR(LOOKUP(2,1/($B$9:$B$287=$B288),$T$9:$T287),0)))</f>
        <v/>
      </c>
      <c r="U288" s="58" t="str">
        <f t="shared" si="70"/>
        <v/>
      </c>
      <c r="V288" s="58" t="str">
        <f>IF($A288="","",IF(OR($B288="",$C288="",$D288="",$E288="",$F288=""),"Missing required field",IF(COUNTIFS($A$9:$A288,$A288,$B$9:$B288,$B288)&gt;1,"Duplicate event ID",IF(AND($E288&lt;&gt;IFERROR(LOOKUP(2,1/($B$9:$B$287=$B288),$E$9:$E287),0),IFERROR(LOOKUP(2,1/($B$9:$B$287=$B288),$E$9:$E287),0)&gt;$E288),"Date out of order",IF(AND(OR($F288="buy_to_close",$F288="expire",$F288="roll",$F288="assignment",$F288="called_away"),$AF288=0),"Unknown lot",IF(OR(AND($F288="assignment",$AF288&gt;0,IF($AF288&gt;0,INDEX($AG$9:$AG$287,$AF288),"")&lt;&gt;"put"),AND($F288="called_away",$AF288&gt;0,IF($AF288&gt;0,INDEX($AG$9:$AG$287,$AF288),"")&lt;&gt;"call")),"Wrong option leg",IF(OR(AND(OR($F288="sell_put",$F288="sell_call"),OR($H288&lt;=0,$I288&lt;=0,$J288&lt;0)),AND(OR($F288="buy_to_close",$F288="expire",$F288="assignment",$F288="called_away"),OR($H288&lt;=0,$J288&lt;0)),AND($F288="roll",OR($H288&lt;=0,$I288&lt;=0,$J288&lt;0,$K288&lt;0)),AND(OR($F288="buy_shares",$F288="sell_shares"),OR($L288&lt;=0,$M288&lt;0)),AND(OR($F288="dividend",$F288="fee"),$N288&lt;0)),"Invalid value",IF(AND(OR($F288="sell_shares",$F288="called_away"),$AL288&lt;IF($F288="called_away",$AE288*$D288,$L288)),"Insufficient shares (capped)",IF(AND(OR($F288="buy_to_close",$F288="expire",$F288="roll",$F288="assignment",$F288="called_away"),$AF288&gt;0,$H288&gt;IF($AF288&gt;0,MAX(0,INDEX($AI$9:$AI$287,$AF288)-SUMIFS($AE$9:$AE$287,$G$9:$G$287,$G288,$B$9:$B$287,$B288)),0)),"Close quantity capped","OK")))))))))</f>
        <v/>
      </c>
      <c r="W288" s="59" t="str">
        <f t="shared" si="71"/>
        <v/>
      </c>
      <c r="X288" s="60" t="str">
        <f t="shared" si="72"/>
        <v/>
      </c>
      <c r="Y288" s="50" t="str">
        <f t="shared" si="73"/>
        <v/>
      </c>
      <c r="Z288" s="50" t="str">
        <f t="shared" si="74"/>
        <v/>
      </c>
      <c r="AA288" s="50" t="str">
        <f t="shared" si="75"/>
        <v/>
      </c>
      <c r="AB288" s="50" t="str">
        <f t="shared" si="76"/>
        <v/>
      </c>
      <c r="AC288" s="50" t="str">
        <f>IF($A288="","",IF($F288="assignment",IF($AF288&gt;0,INDEX($AH$9:$AH$287,$AF288),0)*$AE288*$D288,IF($F288="buy_shares",$M288*$AL288,0)))</f>
        <v/>
      </c>
      <c r="AD288" s="50" t="str">
        <f>IF($A288="","",IF($F288="called_away",IF($AF288&gt;0,INDEX($AH$9:$AH$287,$AF288),0)*$AL288,IF($F288="sell_shares",$M288*$AL288,0)))</f>
        <v/>
      </c>
      <c r="AE288" s="51" t="str">
        <f>IF($A288="","",IF(OR($F288="sell_put",$F288="sell_call"),IF(AND($H288&gt;0,$I288&gt;0,$J288&gt;=0),$H288,0),IF(OR($F288="buy_to_close",$F288="expire",$F288="roll",$F288="assignment",$F288="called_away"),IF(AND($AF288&gt;0,$H288&gt;0,IF($F288="assignment",IF($AF288&gt;0,INDEX($AG$9:$AG$287,$AF288),"")="put",TRUE),IF($F288="called_away",IF($AF288&gt;0,INDEX($AG$9:$AG$287,$AF288),"")="call",TRUE)),MIN($H288,IF($AF288&gt;0,MAX(0,INDEX($AI$9:$AI$287,$AF288)-SUMIFS($AE$9:$AE$287,$G$9:$G$287,$G288,$B$9:$B$287,$B288)),0)),0),0)))</f>
        <v/>
      </c>
      <c r="AF288" t="str">
        <f>IF($A288="","",IFERROR(MATCH(LEN($B288)&amp;":"&amp;$B288&amp;$G288,$AY$9:$AY$287,0),0))</f>
        <v/>
      </c>
      <c r="AG288" t="str">
        <f>IF($A288="","",IF($F288="sell_put","put",IF($F288="sell_call","call",IF($F288="roll",IF($AF288&gt;0,IF($AF288&gt;0,INDEX($AG$9:$AG$287,$AF288),""),""),IF($AF288&gt;0,IF($AF288&gt;0,INDEX($AG$9:$AG$287,$AF288),""),"")))))</f>
        <v/>
      </c>
      <c r="AH288" t="str">
        <f>IF($A288="","",IF(OR($F288="sell_put",$F288="sell_call",$F288="roll"),$I288,IF($AF288&gt;0,IF($AF288&gt;0,INDEX($AH$9:$AH$287,$AF288),0),0)))</f>
        <v/>
      </c>
      <c r="AI288" s="51" t="str">
        <f t="shared" si="77"/>
        <v/>
      </c>
      <c r="AJ288" s="51" t="str">
        <f>IF($A288="","",IFERROR(LOOKUP(2,1/($B$9:$B$287=$B288),$AM$9:$AM287),0))</f>
        <v/>
      </c>
      <c r="AK288" t="str">
        <f>IF($A288="","",IFERROR(LOOKUP(2,1/($B$9:$B$287=$B288),$AN$9:$AN287),0))</f>
        <v/>
      </c>
      <c r="AL288" s="51" t="str">
        <f t="shared" si="78"/>
        <v/>
      </c>
      <c r="AM288" s="51" t="str">
        <f t="shared" si="79"/>
        <v/>
      </c>
      <c r="AN288" t="str">
        <f t="shared" si="80"/>
        <v/>
      </c>
      <c r="AO288" s="50" t="str">
        <f>IF($A288="","",IFERROR(LOOKUP(2,1/($B$9:$B$287=$B288),$AO$9:$AO287),0)+IF($F288="sell_put",$I288*$AE288*$D288,IF($F288="roll",IF($AG288="put",($I288-IF($AF288&gt;0,INDEX($AH$9:$AH$287,$AF288),0))*$AE288*$D288,0),IF(AND(OR($F288="buy_to_close",$F288="expire",$F288="roll",$F288="assignment",$F288="called_away"),$F288&lt;&gt;"roll",$AG288="put"),-IF($AF288&gt;0,INDEX($AH$9:$AH$287,$AF288),0)*$AE288*$D288,0))))</f>
        <v/>
      </c>
      <c r="AP288" s="51" t="str">
        <f>IF($A288="","",IFERROR(LOOKUP(2,1/($B$9:$B$287=$B288),$AP$9:$AP287),0)+IF($F288="sell_put",$AE288*$D288,IF(AND(OR($F288="buy_to_close",$F288="expire",$F288="roll",$F288="assignment",$F288="called_away"),$F288&lt;&gt;"roll",$AG288="put"),-$AE288*$D288,0)))</f>
        <v/>
      </c>
      <c r="AQ288" s="51" t="str">
        <f>IF($A288="","",IFERROR(LOOKUP(2,1/($B$9:$B$287=$B288),$AQ$9:$AQ287),0)+IF(OR($F288="sell_put",$F288="sell_call"),$AE288,0)-IF(AND(OR($F288="buy_to_close",$F288="expire",$F288="roll",$F288="assignment",$F288="called_away"),$F288&lt;&gt;"roll"),$AE288,0))</f>
        <v/>
      </c>
      <c r="AR288" t="str">
        <f t="shared" si="81"/>
        <v/>
      </c>
      <c r="AS288" s="50" t="str">
        <f t="shared" si="82"/>
        <v/>
      </c>
      <c r="AT288" s="50" t="str">
        <f>IF($A288="","",MAX(IF($T288=IFERROR(LOOKUP(2,1/($B$9:$B$287=$B288),$T$9:$T287),0),IFERROR(LOOKUP(2,1/($B$9:$B$287=$B288),$AT$9:$AT287),0),0),$AS288))</f>
        <v/>
      </c>
      <c r="AU288" t="str">
        <f t="shared" si="83"/>
        <v/>
      </c>
      <c r="AV288" s="51">
        <f>IF($AU288="",0,IF(AND(IFERROR(LOOKUP(2,1/($B$9:$B$287=$B288),$AR$9:$AR287),1),NOT(AND(OR($F288="dividend",$F288="fee"),IFERROR(LOOKUP(2,1/($B$9:$B$287=$B288),$T$9:$T287),0)&gt;0))),ROW(),0))</f>
        <v>0</v>
      </c>
      <c r="AW288">
        <f>IF($A288="",0,IF($AV288&gt;0,MAX($AW$9:$AW$287)+1,MAX($AW$9:$AW$287)))</f>
        <v>0</v>
      </c>
      <c r="AX288">
        <f>IF($AU288="",0,IF(AND($AR288,OR(NOT(IFERROR(LOOKUP(2,1/($B$9:$B$287=$B288),$AR$9:$AR287),1)),IFERROR(LOOKUP(2,1/($B$9:$B$287=$B288),$T$9:$T287),0)=0)),ROW(),0))</f>
        <v>0</v>
      </c>
      <c r="AY288" t="str">
        <f t="shared" si="84"/>
        <v/>
      </c>
    </row>
    <row r="289" spans="1:51" ht="15" x14ac:dyDescent="0.25">
      <c r="A289" s="41" t="str">
        <f>IF(Trades!$A289="","",Trades!O289)</f>
        <v/>
      </c>
      <c r="B289" s="41" t="str">
        <f>IF(Trades!$A289="","",Trades!B289)</f>
        <v/>
      </c>
      <c r="C289" s="41" t="str">
        <f>IF(Trades!$A289="","",Trades!C289)</f>
        <v/>
      </c>
      <c r="D289" s="42" t="str">
        <f>IF(Trades!$A289="","",IF(Trades!$L289&gt;0,Trades!$L289,Trades!$C$6))</f>
        <v/>
      </c>
      <c r="E289" s="43" t="str">
        <f>IF(Trades!$A289="","",Trades!A289)</f>
        <v/>
      </c>
      <c r="F289" s="41" t="str">
        <f>IF(Trades!$A289="","",IFERROR(INDEX(Trades!$V$2:$V$14,MATCH(Trades!$E289,Trades!$U$2:$U$14,0)),""))</f>
        <v/>
      </c>
      <c r="G289" s="41" t="str">
        <f>IF(Trades!$A289="","",Trades!N289)</f>
        <v/>
      </c>
      <c r="H289" s="42" t="str">
        <f>IF(Trades!$A289="","",Trades!F289)</f>
        <v/>
      </c>
      <c r="I289" s="44" t="str">
        <f>IF(Trades!$A289="","",Trades!G289)</f>
        <v/>
      </c>
      <c r="J289" s="44" t="str">
        <f>IF(Trades!$A289="","",Trades!I289)</f>
        <v/>
      </c>
      <c r="K289" s="44" t="str">
        <f>IF(Trades!$A289="","",Trades!Q289)</f>
        <v/>
      </c>
      <c r="L289" s="42" t="str">
        <f>IF(Trades!$A289="","",Trades!F289)</f>
        <v/>
      </c>
      <c r="M289" s="44" t="str">
        <f>IF(Trades!$A289="","",Trades!M289)</f>
        <v/>
      </c>
      <c r="N289" s="44" t="str">
        <f>IF(Trades!$A289="","",Trades!R289)</f>
        <v/>
      </c>
      <c r="O289" s="44" t="str">
        <f>IF(Trades!$A289="","",Trades!J289)</f>
        <v/>
      </c>
      <c r="P289" s="43" t="str">
        <f>IF(Trades!$A289="","",Trades!H289)</f>
        <v/>
      </c>
      <c r="Q289" s="41" t="str">
        <f>IF(Trades!$A289="","",Trades!P289)</f>
        <v/>
      </c>
      <c r="R289" s="45" t="str">
        <f t="shared" si="68"/>
        <v/>
      </c>
      <c r="S289" s="45" t="str">
        <f t="shared" si="69"/>
        <v/>
      </c>
      <c r="T289" s="46" t="str">
        <f>IF(OR($A289="",$B289=""),"",IF(AND(IFERROR(LOOKUP(2,1/($B$9:$B$288=$B289),$AR$9:$AR288),1),NOT(AND(OR($F289="dividend",$F289="fee"),IFERROR(LOOKUP(2,1/($B$9:$B$288=$B289),$T$9:$T288),0)&gt;0))),IFERROR(LOOKUP(2,1/($B$9:$B$288=$B289),$T$9:$T288),0)+1,IFERROR(LOOKUP(2,1/($B$9:$B$288=$B289),$T$9:$T288),0)))</f>
        <v/>
      </c>
      <c r="U289" s="47" t="str">
        <f t="shared" si="70"/>
        <v/>
      </c>
      <c r="V289" s="47" t="str">
        <f>IF($A289="","",IF(OR($B289="",$C289="",$D289="",$E289="",$F289=""),"Missing required field",IF(COUNTIFS($A$9:$A289,$A289,$B$9:$B289,$B289)&gt;1,"Duplicate event ID",IF(AND($E289&lt;&gt;IFERROR(LOOKUP(2,1/($B$9:$B$288=$B289),$E$9:$E288),0),IFERROR(LOOKUP(2,1/($B$9:$B$288=$B289),$E$9:$E288),0)&gt;$E289),"Date out of order",IF(AND(OR($F289="buy_to_close",$F289="expire",$F289="roll",$F289="assignment",$F289="called_away"),$AF289=0),"Unknown lot",IF(OR(AND($F289="assignment",$AF289&gt;0,IF($AF289&gt;0,INDEX($AG$9:$AG$288,$AF289),"")&lt;&gt;"put"),AND($F289="called_away",$AF289&gt;0,IF($AF289&gt;0,INDEX($AG$9:$AG$288,$AF289),"")&lt;&gt;"call")),"Wrong option leg",IF(OR(AND(OR($F289="sell_put",$F289="sell_call"),OR($H289&lt;=0,$I289&lt;=0,$J289&lt;0)),AND(OR($F289="buy_to_close",$F289="expire",$F289="assignment",$F289="called_away"),OR($H289&lt;=0,$J289&lt;0)),AND($F289="roll",OR($H289&lt;=0,$I289&lt;=0,$J289&lt;0,$K289&lt;0)),AND(OR($F289="buy_shares",$F289="sell_shares"),OR($L289&lt;=0,$M289&lt;0)),AND(OR($F289="dividend",$F289="fee"),$N289&lt;0)),"Invalid value",IF(AND(OR($F289="sell_shares",$F289="called_away"),$AL289&lt;IF($F289="called_away",$AE289*$D289,$L289)),"Insufficient shares (capped)",IF(AND(OR($F289="buy_to_close",$F289="expire",$F289="roll",$F289="assignment",$F289="called_away"),$AF289&gt;0,$H289&gt;IF($AF289&gt;0,MAX(0,INDEX($AI$9:$AI$288,$AF289)-SUMIFS($AE$9:$AE$288,$G$9:$G$288,$G289,$B$9:$B$288,$B289)),0)),"Close quantity capped","OK")))))))))</f>
        <v/>
      </c>
      <c r="W289" s="48" t="str">
        <f t="shared" si="71"/>
        <v/>
      </c>
      <c r="X289" s="49" t="str">
        <f t="shared" si="72"/>
        <v/>
      </c>
      <c r="Y289" s="50" t="str">
        <f t="shared" si="73"/>
        <v/>
      </c>
      <c r="Z289" s="50" t="str">
        <f t="shared" si="74"/>
        <v/>
      </c>
      <c r="AA289" s="50" t="str">
        <f t="shared" si="75"/>
        <v/>
      </c>
      <c r="AB289" s="50" t="str">
        <f t="shared" si="76"/>
        <v/>
      </c>
      <c r="AC289" s="50" t="str">
        <f>IF($A289="","",IF($F289="assignment",IF($AF289&gt;0,INDEX($AH$9:$AH$288,$AF289),0)*$AE289*$D289,IF($F289="buy_shares",$M289*$AL289,0)))</f>
        <v/>
      </c>
      <c r="AD289" s="50" t="str">
        <f>IF($A289="","",IF($F289="called_away",IF($AF289&gt;0,INDEX($AH$9:$AH$288,$AF289),0)*$AL289,IF($F289="sell_shares",$M289*$AL289,0)))</f>
        <v/>
      </c>
      <c r="AE289" s="51" t="str">
        <f>IF($A289="","",IF(OR($F289="sell_put",$F289="sell_call"),IF(AND($H289&gt;0,$I289&gt;0,$J289&gt;=0),$H289,0),IF(OR($F289="buy_to_close",$F289="expire",$F289="roll",$F289="assignment",$F289="called_away"),IF(AND($AF289&gt;0,$H289&gt;0,IF($F289="assignment",IF($AF289&gt;0,INDEX($AG$9:$AG$288,$AF289),"")="put",TRUE),IF($F289="called_away",IF($AF289&gt;0,INDEX($AG$9:$AG$288,$AF289),"")="call",TRUE)),MIN($H289,IF($AF289&gt;0,MAX(0,INDEX($AI$9:$AI$288,$AF289)-SUMIFS($AE$9:$AE$288,$G$9:$G$288,$G289,$B$9:$B$288,$B289)),0)),0),0)))</f>
        <v/>
      </c>
      <c r="AF289" t="str">
        <f>IF($A289="","",IFERROR(MATCH(LEN($B289)&amp;":"&amp;$B289&amp;$G289,$AY$9:$AY$288,0),0))</f>
        <v/>
      </c>
      <c r="AG289" t="str">
        <f>IF($A289="","",IF($F289="sell_put","put",IF($F289="sell_call","call",IF($F289="roll",IF($AF289&gt;0,IF($AF289&gt;0,INDEX($AG$9:$AG$288,$AF289),""),""),IF($AF289&gt;0,IF($AF289&gt;0,INDEX($AG$9:$AG$288,$AF289),""),"")))))</f>
        <v/>
      </c>
      <c r="AH289" t="str">
        <f>IF($A289="","",IF(OR($F289="sell_put",$F289="sell_call",$F289="roll"),$I289,IF($AF289&gt;0,IF($AF289&gt;0,INDEX($AH$9:$AH$288,$AF289),0),0)))</f>
        <v/>
      </c>
      <c r="AI289" s="51" t="str">
        <f t="shared" si="77"/>
        <v/>
      </c>
      <c r="AJ289" s="51" t="str">
        <f>IF($A289="","",IFERROR(LOOKUP(2,1/($B$9:$B$288=$B289),$AM$9:$AM288),0))</f>
        <v/>
      </c>
      <c r="AK289" t="str">
        <f>IF($A289="","",IFERROR(LOOKUP(2,1/($B$9:$B$288=$B289),$AN$9:$AN288),0))</f>
        <v/>
      </c>
      <c r="AL289" s="51" t="str">
        <f t="shared" si="78"/>
        <v/>
      </c>
      <c r="AM289" s="51" t="str">
        <f t="shared" si="79"/>
        <v/>
      </c>
      <c r="AN289" t="str">
        <f t="shared" si="80"/>
        <v/>
      </c>
      <c r="AO289" s="50" t="str">
        <f>IF($A289="","",IFERROR(LOOKUP(2,1/($B$9:$B$288=$B289),$AO$9:$AO288),0)+IF($F289="sell_put",$I289*$AE289*$D289,IF($F289="roll",IF($AG289="put",($I289-IF($AF289&gt;0,INDEX($AH$9:$AH$288,$AF289),0))*$AE289*$D289,0),IF(AND(OR($F289="buy_to_close",$F289="expire",$F289="roll",$F289="assignment",$F289="called_away"),$F289&lt;&gt;"roll",$AG289="put"),-IF($AF289&gt;0,INDEX($AH$9:$AH$288,$AF289),0)*$AE289*$D289,0))))</f>
        <v/>
      </c>
      <c r="AP289" s="51" t="str">
        <f>IF($A289="","",IFERROR(LOOKUP(2,1/($B$9:$B$288=$B289),$AP$9:$AP288),0)+IF($F289="sell_put",$AE289*$D289,IF(AND(OR($F289="buy_to_close",$F289="expire",$F289="roll",$F289="assignment",$F289="called_away"),$F289&lt;&gt;"roll",$AG289="put"),-$AE289*$D289,0)))</f>
        <v/>
      </c>
      <c r="AQ289" s="51" t="str">
        <f>IF($A289="","",IFERROR(LOOKUP(2,1/($B$9:$B$288=$B289),$AQ$9:$AQ288),0)+IF(OR($F289="sell_put",$F289="sell_call"),$AE289,0)-IF(AND(OR($F289="buy_to_close",$F289="expire",$F289="roll",$F289="assignment",$F289="called_away"),$F289&lt;&gt;"roll"),$AE289,0))</f>
        <v/>
      </c>
      <c r="AR289" t="str">
        <f t="shared" si="81"/>
        <v/>
      </c>
      <c r="AS289" s="50" t="str">
        <f t="shared" si="82"/>
        <v/>
      </c>
      <c r="AT289" s="50" t="str">
        <f>IF($A289="","",MAX(IF($T289=IFERROR(LOOKUP(2,1/($B$9:$B$288=$B289),$T$9:$T288),0),IFERROR(LOOKUP(2,1/($B$9:$B$288=$B289),$AT$9:$AT288),0),0),$AS289))</f>
        <v/>
      </c>
      <c r="AU289" t="str">
        <f t="shared" si="83"/>
        <v/>
      </c>
      <c r="AV289" s="51">
        <f>IF($AU289="",0,IF(AND(IFERROR(LOOKUP(2,1/($B$9:$B$288=$B289),$AR$9:$AR288),1),NOT(AND(OR($F289="dividend",$F289="fee"),IFERROR(LOOKUP(2,1/($B$9:$B$288=$B289),$T$9:$T288),0)&gt;0))),ROW(),0))</f>
        <v>0</v>
      </c>
      <c r="AW289">
        <f>IF($A289="",0,IF($AV289&gt;0,MAX($AW$9:$AW$288)+1,MAX($AW$9:$AW$288)))</f>
        <v>0</v>
      </c>
      <c r="AX289">
        <f>IF($AU289="",0,IF(AND($AR289,OR(NOT(IFERROR(LOOKUP(2,1/($B$9:$B$288=$B289),$AR$9:$AR288),1)),IFERROR(LOOKUP(2,1/($B$9:$B$288=$B289),$T$9:$T288),0)=0)),ROW(),0))</f>
        <v>0</v>
      </c>
      <c r="AY289" t="str">
        <f t="shared" si="84"/>
        <v/>
      </c>
    </row>
    <row r="290" spans="1:51" ht="15" x14ac:dyDescent="0.25">
      <c r="A290" s="52" t="str">
        <f>IF(Trades!$A290="","",Trades!O290)</f>
        <v/>
      </c>
      <c r="B290" s="52" t="str">
        <f>IF(Trades!$A290="","",Trades!B290)</f>
        <v/>
      </c>
      <c r="C290" s="52" t="str">
        <f>IF(Trades!$A290="","",Trades!C290)</f>
        <v/>
      </c>
      <c r="D290" s="53" t="str">
        <f>IF(Trades!$A290="","",IF(Trades!$L290&gt;0,Trades!$L290,Trades!$C$6))</f>
        <v/>
      </c>
      <c r="E290" s="54" t="str">
        <f>IF(Trades!$A290="","",Trades!A290)</f>
        <v/>
      </c>
      <c r="F290" s="52" t="str">
        <f>IF(Trades!$A290="","",IFERROR(INDEX(Trades!$V$2:$V$14,MATCH(Trades!$E290,Trades!$U$2:$U$14,0)),""))</f>
        <v/>
      </c>
      <c r="G290" s="52" t="str">
        <f>IF(Trades!$A290="","",Trades!N290)</f>
        <v/>
      </c>
      <c r="H290" s="53" t="str">
        <f>IF(Trades!$A290="","",Trades!F290)</f>
        <v/>
      </c>
      <c r="I290" s="55" t="str">
        <f>IF(Trades!$A290="","",Trades!G290)</f>
        <v/>
      </c>
      <c r="J290" s="55" t="str">
        <f>IF(Trades!$A290="","",Trades!I290)</f>
        <v/>
      </c>
      <c r="K290" s="55" t="str">
        <f>IF(Trades!$A290="","",Trades!Q290)</f>
        <v/>
      </c>
      <c r="L290" s="53" t="str">
        <f>IF(Trades!$A290="","",Trades!F290)</f>
        <v/>
      </c>
      <c r="M290" s="55" t="str">
        <f>IF(Trades!$A290="","",Trades!M290)</f>
        <v/>
      </c>
      <c r="N290" s="55" t="str">
        <f>IF(Trades!$A290="","",Trades!R290)</f>
        <v/>
      </c>
      <c r="O290" s="55" t="str">
        <f>IF(Trades!$A290="","",Trades!J290)</f>
        <v/>
      </c>
      <c r="P290" s="54" t="str">
        <f>IF(Trades!$A290="","",Trades!H290)</f>
        <v/>
      </c>
      <c r="Q290" s="52" t="str">
        <f>IF(Trades!$A290="","",Trades!P290)</f>
        <v/>
      </c>
      <c r="R290" s="56" t="str">
        <f t="shared" si="68"/>
        <v/>
      </c>
      <c r="S290" s="56" t="str">
        <f t="shared" si="69"/>
        <v/>
      </c>
      <c r="T290" s="57" t="str">
        <f>IF(OR($A290="",$B290=""),"",IF(AND(IFERROR(LOOKUP(2,1/($B$9:$B$289=$B290),$AR$9:$AR289),1),NOT(AND(OR($F290="dividend",$F290="fee"),IFERROR(LOOKUP(2,1/($B$9:$B$289=$B290),$T$9:$T289),0)&gt;0))),IFERROR(LOOKUP(2,1/($B$9:$B$289=$B290),$T$9:$T289),0)+1,IFERROR(LOOKUP(2,1/($B$9:$B$289=$B290),$T$9:$T289),0)))</f>
        <v/>
      </c>
      <c r="U290" s="58" t="str">
        <f t="shared" si="70"/>
        <v/>
      </c>
      <c r="V290" s="58" t="str">
        <f>IF($A290="","",IF(OR($B290="",$C290="",$D290="",$E290="",$F290=""),"Missing required field",IF(COUNTIFS($A$9:$A290,$A290,$B$9:$B290,$B290)&gt;1,"Duplicate event ID",IF(AND($E290&lt;&gt;IFERROR(LOOKUP(2,1/($B$9:$B$289=$B290),$E$9:$E289),0),IFERROR(LOOKUP(2,1/($B$9:$B$289=$B290),$E$9:$E289),0)&gt;$E290),"Date out of order",IF(AND(OR($F290="buy_to_close",$F290="expire",$F290="roll",$F290="assignment",$F290="called_away"),$AF290=0),"Unknown lot",IF(OR(AND($F290="assignment",$AF290&gt;0,IF($AF290&gt;0,INDEX($AG$9:$AG$289,$AF290),"")&lt;&gt;"put"),AND($F290="called_away",$AF290&gt;0,IF($AF290&gt;0,INDEX($AG$9:$AG$289,$AF290),"")&lt;&gt;"call")),"Wrong option leg",IF(OR(AND(OR($F290="sell_put",$F290="sell_call"),OR($H290&lt;=0,$I290&lt;=0,$J290&lt;0)),AND(OR($F290="buy_to_close",$F290="expire",$F290="assignment",$F290="called_away"),OR($H290&lt;=0,$J290&lt;0)),AND($F290="roll",OR($H290&lt;=0,$I290&lt;=0,$J290&lt;0,$K290&lt;0)),AND(OR($F290="buy_shares",$F290="sell_shares"),OR($L290&lt;=0,$M290&lt;0)),AND(OR($F290="dividend",$F290="fee"),$N290&lt;0)),"Invalid value",IF(AND(OR($F290="sell_shares",$F290="called_away"),$AL290&lt;IF($F290="called_away",$AE290*$D290,$L290)),"Insufficient shares (capped)",IF(AND(OR($F290="buy_to_close",$F290="expire",$F290="roll",$F290="assignment",$F290="called_away"),$AF290&gt;0,$H290&gt;IF($AF290&gt;0,MAX(0,INDEX($AI$9:$AI$289,$AF290)-SUMIFS($AE$9:$AE$289,$G$9:$G$289,$G290,$B$9:$B$289,$B290)),0)),"Close quantity capped","OK")))))))))</f>
        <v/>
      </c>
      <c r="W290" s="59" t="str">
        <f t="shared" si="71"/>
        <v/>
      </c>
      <c r="X290" s="60" t="str">
        <f t="shared" si="72"/>
        <v/>
      </c>
      <c r="Y290" s="50" t="str">
        <f t="shared" si="73"/>
        <v/>
      </c>
      <c r="Z290" s="50" t="str">
        <f t="shared" si="74"/>
        <v/>
      </c>
      <c r="AA290" s="50" t="str">
        <f t="shared" si="75"/>
        <v/>
      </c>
      <c r="AB290" s="50" t="str">
        <f t="shared" si="76"/>
        <v/>
      </c>
      <c r="AC290" s="50" t="str">
        <f>IF($A290="","",IF($F290="assignment",IF($AF290&gt;0,INDEX($AH$9:$AH$289,$AF290),0)*$AE290*$D290,IF($F290="buy_shares",$M290*$AL290,0)))</f>
        <v/>
      </c>
      <c r="AD290" s="50" t="str">
        <f>IF($A290="","",IF($F290="called_away",IF($AF290&gt;0,INDEX($AH$9:$AH$289,$AF290),0)*$AL290,IF($F290="sell_shares",$M290*$AL290,0)))</f>
        <v/>
      </c>
      <c r="AE290" s="51" t="str">
        <f>IF($A290="","",IF(OR($F290="sell_put",$F290="sell_call"),IF(AND($H290&gt;0,$I290&gt;0,$J290&gt;=0),$H290,0),IF(OR($F290="buy_to_close",$F290="expire",$F290="roll",$F290="assignment",$F290="called_away"),IF(AND($AF290&gt;0,$H290&gt;0,IF($F290="assignment",IF($AF290&gt;0,INDEX($AG$9:$AG$289,$AF290),"")="put",TRUE),IF($F290="called_away",IF($AF290&gt;0,INDEX($AG$9:$AG$289,$AF290),"")="call",TRUE)),MIN($H290,IF($AF290&gt;0,MAX(0,INDEX($AI$9:$AI$289,$AF290)-SUMIFS($AE$9:$AE$289,$G$9:$G$289,$G290,$B$9:$B$289,$B290)),0)),0),0)))</f>
        <v/>
      </c>
      <c r="AF290" t="str">
        <f>IF($A290="","",IFERROR(MATCH(LEN($B290)&amp;":"&amp;$B290&amp;$G290,$AY$9:$AY$289,0),0))</f>
        <v/>
      </c>
      <c r="AG290" t="str">
        <f>IF($A290="","",IF($F290="sell_put","put",IF($F290="sell_call","call",IF($F290="roll",IF($AF290&gt;0,IF($AF290&gt;0,INDEX($AG$9:$AG$289,$AF290),""),""),IF($AF290&gt;0,IF($AF290&gt;0,INDEX($AG$9:$AG$289,$AF290),""),"")))))</f>
        <v/>
      </c>
      <c r="AH290" t="str">
        <f>IF($A290="","",IF(OR($F290="sell_put",$F290="sell_call",$F290="roll"),$I290,IF($AF290&gt;0,IF($AF290&gt;0,INDEX($AH$9:$AH$289,$AF290),0),0)))</f>
        <v/>
      </c>
      <c r="AI290" s="51" t="str">
        <f t="shared" si="77"/>
        <v/>
      </c>
      <c r="AJ290" s="51" t="str">
        <f>IF($A290="","",IFERROR(LOOKUP(2,1/($B$9:$B$289=$B290),$AM$9:$AM289),0))</f>
        <v/>
      </c>
      <c r="AK290" t="str">
        <f>IF($A290="","",IFERROR(LOOKUP(2,1/($B$9:$B$289=$B290),$AN$9:$AN289),0))</f>
        <v/>
      </c>
      <c r="AL290" s="51" t="str">
        <f t="shared" si="78"/>
        <v/>
      </c>
      <c r="AM290" s="51" t="str">
        <f t="shared" si="79"/>
        <v/>
      </c>
      <c r="AN290" t="str">
        <f t="shared" si="80"/>
        <v/>
      </c>
      <c r="AO290" s="50" t="str">
        <f>IF($A290="","",IFERROR(LOOKUP(2,1/($B$9:$B$289=$B290),$AO$9:$AO289),0)+IF($F290="sell_put",$I290*$AE290*$D290,IF($F290="roll",IF($AG290="put",($I290-IF($AF290&gt;0,INDEX($AH$9:$AH$289,$AF290),0))*$AE290*$D290,0),IF(AND(OR($F290="buy_to_close",$F290="expire",$F290="roll",$F290="assignment",$F290="called_away"),$F290&lt;&gt;"roll",$AG290="put"),-IF($AF290&gt;0,INDEX($AH$9:$AH$289,$AF290),0)*$AE290*$D290,0))))</f>
        <v/>
      </c>
      <c r="AP290" s="51" t="str">
        <f>IF($A290="","",IFERROR(LOOKUP(2,1/($B$9:$B$289=$B290),$AP$9:$AP289),0)+IF($F290="sell_put",$AE290*$D290,IF(AND(OR($F290="buy_to_close",$F290="expire",$F290="roll",$F290="assignment",$F290="called_away"),$F290&lt;&gt;"roll",$AG290="put"),-$AE290*$D290,0)))</f>
        <v/>
      </c>
      <c r="AQ290" s="51" t="str">
        <f>IF($A290="","",IFERROR(LOOKUP(2,1/($B$9:$B$289=$B290),$AQ$9:$AQ289),0)+IF(OR($F290="sell_put",$F290="sell_call"),$AE290,0)-IF(AND(OR($F290="buy_to_close",$F290="expire",$F290="roll",$F290="assignment",$F290="called_away"),$F290&lt;&gt;"roll"),$AE290,0))</f>
        <v/>
      </c>
      <c r="AR290" t="str">
        <f t="shared" si="81"/>
        <v/>
      </c>
      <c r="AS290" s="50" t="str">
        <f t="shared" si="82"/>
        <v/>
      </c>
      <c r="AT290" s="50" t="str">
        <f>IF($A290="","",MAX(IF($T290=IFERROR(LOOKUP(2,1/($B$9:$B$289=$B290),$T$9:$T289),0),IFERROR(LOOKUP(2,1/($B$9:$B$289=$B290),$AT$9:$AT289),0),0),$AS290))</f>
        <v/>
      </c>
      <c r="AU290" t="str">
        <f t="shared" si="83"/>
        <v/>
      </c>
      <c r="AV290" s="51">
        <f>IF($AU290="",0,IF(AND(IFERROR(LOOKUP(2,1/($B$9:$B$289=$B290),$AR$9:$AR289),1),NOT(AND(OR($F290="dividend",$F290="fee"),IFERROR(LOOKUP(2,1/($B$9:$B$289=$B290),$T$9:$T289),0)&gt;0))),ROW(),0))</f>
        <v>0</v>
      </c>
      <c r="AW290">
        <f>IF($A290="",0,IF($AV290&gt;0,MAX($AW$9:$AW$289)+1,MAX($AW$9:$AW$289)))</f>
        <v>0</v>
      </c>
      <c r="AX290">
        <f>IF($AU290="",0,IF(AND($AR290,OR(NOT(IFERROR(LOOKUP(2,1/($B$9:$B$289=$B290),$AR$9:$AR289),1)),IFERROR(LOOKUP(2,1/($B$9:$B$289=$B290),$T$9:$T289),0)=0)),ROW(),0))</f>
        <v>0</v>
      </c>
      <c r="AY290" t="str">
        <f t="shared" si="84"/>
        <v/>
      </c>
    </row>
    <row r="291" spans="1:51" ht="15" x14ac:dyDescent="0.25">
      <c r="A291" s="41" t="str">
        <f>IF(Trades!$A291="","",Trades!O291)</f>
        <v/>
      </c>
      <c r="B291" s="41" t="str">
        <f>IF(Trades!$A291="","",Trades!B291)</f>
        <v/>
      </c>
      <c r="C291" s="41" t="str">
        <f>IF(Trades!$A291="","",Trades!C291)</f>
        <v/>
      </c>
      <c r="D291" s="42" t="str">
        <f>IF(Trades!$A291="","",IF(Trades!$L291&gt;0,Trades!$L291,Trades!$C$6))</f>
        <v/>
      </c>
      <c r="E291" s="43" t="str">
        <f>IF(Trades!$A291="","",Trades!A291)</f>
        <v/>
      </c>
      <c r="F291" s="41" t="str">
        <f>IF(Trades!$A291="","",IFERROR(INDEX(Trades!$V$2:$V$14,MATCH(Trades!$E291,Trades!$U$2:$U$14,0)),""))</f>
        <v/>
      </c>
      <c r="G291" s="41" t="str">
        <f>IF(Trades!$A291="","",Trades!N291)</f>
        <v/>
      </c>
      <c r="H291" s="42" t="str">
        <f>IF(Trades!$A291="","",Trades!F291)</f>
        <v/>
      </c>
      <c r="I291" s="44" t="str">
        <f>IF(Trades!$A291="","",Trades!G291)</f>
        <v/>
      </c>
      <c r="J291" s="44" t="str">
        <f>IF(Trades!$A291="","",Trades!I291)</f>
        <v/>
      </c>
      <c r="K291" s="44" t="str">
        <f>IF(Trades!$A291="","",Trades!Q291)</f>
        <v/>
      </c>
      <c r="L291" s="42" t="str">
        <f>IF(Trades!$A291="","",Trades!F291)</f>
        <v/>
      </c>
      <c r="M291" s="44" t="str">
        <f>IF(Trades!$A291="","",Trades!M291)</f>
        <v/>
      </c>
      <c r="N291" s="44" t="str">
        <f>IF(Trades!$A291="","",Trades!R291)</f>
        <v/>
      </c>
      <c r="O291" s="44" t="str">
        <f>IF(Trades!$A291="","",Trades!J291)</f>
        <v/>
      </c>
      <c r="P291" s="43" t="str">
        <f>IF(Trades!$A291="","",Trades!H291)</f>
        <v/>
      </c>
      <c r="Q291" s="41" t="str">
        <f>IF(Trades!$A291="","",Trades!P291)</f>
        <v/>
      </c>
      <c r="R291" s="45" t="str">
        <f t="shared" si="68"/>
        <v/>
      </c>
      <c r="S291" s="45" t="str">
        <f t="shared" si="69"/>
        <v/>
      </c>
      <c r="T291" s="46" t="str">
        <f>IF(OR($A291="",$B291=""),"",IF(AND(IFERROR(LOOKUP(2,1/($B$9:$B$290=$B291),$AR$9:$AR290),1),NOT(AND(OR($F291="dividend",$F291="fee"),IFERROR(LOOKUP(2,1/($B$9:$B$290=$B291),$T$9:$T290),0)&gt;0))),IFERROR(LOOKUP(2,1/($B$9:$B$290=$B291),$T$9:$T290),0)+1,IFERROR(LOOKUP(2,1/($B$9:$B$290=$B291),$T$9:$T290),0)))</f>
        <v/>
      </c>
      <c r="U291" s="47" t="str">
        <f t="shared" si="70"/>
        <v/>
      </c>
      <c r="V291" s="47" t="str">
        <f>IF($A291="","",IF(OR($B291="",$C291="",$D291="",$E291="",$F291=""),"Missing required field",IF(COUNTIFS($A$9:$A291,$A291,$B$9:$B291,$B291)&gt;1,"Duplicate event ID",IF(AND($E291&lt;&gt;IFERROR(LOOKUP(2,1/($B$9:$B$290=$B291),$E$9:$E290),0),IFERROR(LOOKUP(2,1/($B$9:$B$290=$B291),$E$9:$E290),0)&gt;$E291),"Date out of order",IF(AND(OR($F291="buy_to_close",$F291="expire",$F291="roll",$F291="assignment",$F291="called_away"),$AF291=0),"Unknown lot",IF(OR(AND($F291="assignment",$AF291&gt;0,IF($AF291&gt;0,INDEX($AG$9:$AG$290,$AF291),"")&lt;&gt;"put"),AND($F291="called_away",$AF291&gt;0,IF($AF291&gt;0,INDEX($AG$9:$AG$290,$AF291),"")&lt;&gt;"call")),"Wrong option leg",IF(OR(AND(OR($F291="sell_put",$F291="sell_call"),OR($H291&lt;=0,$I291&lt;=0,$J291&lt;0)),AND(OR($F291="buy_to_close",$F291="expire",$F291="assignment",$F291="called_away"),OR($H291&lt;=0,$J291&lt;0)),AND($F291="roll",OR($H291&lt;=0,$I291&lt;=0,$J291&lt;0,$K291&lt;0)),AND(OR($F291="buy_shares",$F291="sell_shares"),OR($L291&lt;=0,$M291&lt;0)),AND(OR($F291="dividend",$F291="fee"),$N291&lt;0)),"Invalid value",IF(AND(OR($F291="sell_shares",$F291="called_away"),$AL291&lt;IF($F291="called_away",$AE291*$D291,$L291)),"Insufficient shares (capped)",IF(AND(OR($F291="buy_to_close",$F291="expire",$F291="roll",$F291="assignment",$F291="called_away"),$AF291&gt;0,$H291&gt;IF($AF291&gt;0,MAX(0,INDEX($AI$9:$AI$290,$AF291)-SUMIFS($AE$9:$AE$290,$G$9:$G$290,$G291,$B$9:$B$290,$B291)),0)),"Close quantity capped","OK")))))))))</f>
        <v/>
      </c>
      <c r="W291" s="48" t="str">
        <f t="shared" si="71"/>
        <v/>
      </c>
      <c r="X291" s="49" t="str">
        <f t="shared" si="72"/>
        <v/>
      </c>
      <c r="Y291" s="50" t="str">
        <f t="shared" si="73"/>
        <v/>
      </c>
      <c r="Z291" s="50" t="str">
        <f t="shared" si="74"/>
        <v/>
      </c>
      <c r="AA291" s="50" t="str">
        <f t="shared" si="75"/>
        <v/>
      </c>
      <c r="AB291" s="50" t="str">
        <f t="shared" si="76"/>
        <v/>
      </c>
      <c r="AC291" s="50" t="str">
        <f>IF($A291="","",IF($F291="assignment",IF($AF291&gt;0,INDEX($AH$9:$AH$290,$AF291),0)*$AE291*$D291,IF($F291="buy_shares",$M291*$AL291,0)))</f>
        <v/>
      </c>
      <c r="AD291" s="50" t="str">
        <f>IF($A291="","",IF($F291="called_away",IF($AF291&gt;0,INDEX($AH$9:$AH$290,$AF291),0)*$AL291,IF($F291="sell_shares",$M291*$AL291,0)))</f>
        <v/>
      </c>
      <c r="AE291" s="51" t="str">
        <f>IF($A291="","",IF(OR($F291="sell_put",$F291="sell_call"),IF(AND($H291&gt;0,$I291&gt;0,$J291&gt;=0),$H291,0),IF(OR($F291="buy_to_close",$F291="expire",$F291="roll",$F291="assignment",$F291="called_away"),IF(AND($AF291&gt;0,$H291&gt;0,IF($F291="assignment",IF($AF291&gt;0,INDEX($AG$9:$AG$290,$AF291),"")="put",TRUE),IF($F291="called_away",IF($AF291&gt;0,INDEX($AG$9:$AG$290,$AF291),"")="call",TRUE)),MIN($H291,IF($AF291&gt;0,MAX(0,INDEX($AI$9:$AI$290,$AF291)-SUMIFS($AE$9:$AE$290,$G$9:$G$290,$G291,$B$9:$B$290,$B291)),0)),0),0)))</f>
        <v/>
      </c>
      <c r="AF291" t="str">
        <f>IF($A291="","",IFERROR(MATCH(LEN($B291)&amp;":"&amp;$B291&amp;$G291,$AY$9:$AY$290,0),0))</f>
        <v/>
      </c>
      <c r="AG291" t="str">
        <f>IF($A291="","",IF($F291="sell_put","put",IF($F291="sell_call","call",IF($F291="roll",IF($AF291&gt;0,IF($AF291&gt;0,INDEX($AG$9:$AG$290,$AF291),""),""),IF($AF291&gt;0,IF($AF291&gt;0,INDEX($AG$9:$AG$290,$AF291),""),"")))))</f>
        <v/>
      </c>
      <c r="AH291" t="str">
        <f>IF($A291="","",IF(OR($F291="sell_put",$F291="sell_call",$F291="roll"),$I291,IF($AF291&gt;0,IF($AF291&gt;0,INDEX($AH$9:$AH$290,$AF291),0),0)))</f>
        <v/>
      </c>
      <c r="AI291" s="51" t="str">
        <f t="shared" si="77"/>
        <v/>
      </c>
      <c r="AJ291" s="51" t="str">
        <f>IF($A291="","",IFERROR(LOOKUP(2,1/($B$9:$B$290=$B291),$AM$9:$AM290),0))</f>
        <v/>
      </c>
      <c r="AK291" t="str">
        <f>IF($A291="","",IFERROR(LOOKUP(2,1/($B$9:$B$290=$B291),$AN$9:$AN290),0))</f>
        <v/>
      </c>
      <c r="AL291" s="51" t="str">
        <f t="shared" si="78"/>
        <v/>
      </c>
      <c r="AM291" s="51" t="str">
        <f t="shared" si="79"/>
        <v/>
      </c>
      <c r="AN291" t="str">
        <f t="shared" si="80"/>
        <v/>
      </c>
      <c r="AO291" s="50" t="str">
        <f>IF($A291="","",IFERROR(LOOKUP(2,1/($B$9:$B$290=$B291),$AO$9:$AO290),0)+IF($F291="sell_put",$I291*$AE291*$D291,IF($F291="roll",IF($AG291="put",($I291-IF($AF291&gt;0,INDEX($AH$9:$AH$290,$AF291),0))*$AE291*$D291,0),IF(AND(OR($F291="buy_to_close",$F291="expire",$F291="roll",$F291="assignment",$F291="called_away"),$F291&lt;&gt;"roll",$AG291="put"),-IF($AF291&gt;0,INDEX($AH$9:$AH$290,$AF291),0)*$AE291*$D291,0))))</f>
        <v/>
      </c>
      <c r="AP291" s="51" t="str">
        <f>IF($A291="","",IFERROR(LOOKUP(2,1/($B$9:$B$290=$B291),$AP$9:$AP290),0)+IF($F291="sell_put",$AE291*$D291,IF(AND(OR($F291="buy_to_close",$F291="expire",$F291="roll",$F291="assignment",$F291="called_away"),$F291&lt;&gt;"roll",$AG291="put"),-$AE291*$D291,0)))</f>
        <v/>
      </c>
      <c r="AQ291" s="51" t="str">
        <f>IF($A291="","",IFERROR(LOOKUP(2,1/($B$9:$B$290=$B291),$AQ$9:$AQ290),0)+IF(OR($F291="sell_put",$F291="sell_call"),$AE291,0)-IF(AND(OR($F291="buy_to_close",$F291="expire",$F291="roll",$F291="assignment",$F291="called_away"),$F291&lt;&gt;"roll"),$AE291,0))</f>
        <v/>
      </c>
      <c r="AR291" t="str">
        <f t="shared" si="81"/>
        <v/>
      </c>
      <c r="AS291" s="50" t="str">
        <f t="shared" si="82"/>
        <v/>
      </c>
      <c r="AT291" s="50" t="str">
        <f>IF($A291="","",MAX(IF($T291=IFERROR(LOOKUP(2,1/($B$9:$B$290=$B291),$T$9:$T290),0),IFERROR(LOOKUP(2,1/($B$9:$B$290=$B291),$AT$9:$AT290),0),0),$AS291))</f>
        <v/>
      </c>
      <c r="AU291" t="str">
        <f t="shared" si="83"/>
        <v/>
      </c>
      <c r="AV291" s="51">
        <f>IF($AU291="",0,IF(AND(IFERROR(LOOKUP(2,1/($B$9:$B$290=$B291),$AR$9:$AR290),1),NOT(AND(OR($F291="dividend",$F291="fee"),IFERROR(LOOKUP(2,1/($B$9:$B$290=$B291),$T$9:$T290),0)&gt;0))),ROW(),0))</f>
        <v>0</v>
      </c>
      <c r="AW291">
        <f>IF($A291="",0,IF($AV291&gt;0,MAX($AW$9:$AW$290)+1,MAX($AW$9:$AW$290)))</f>
        <v>0</v>
      </c>
      <c r="AX291">
        <f>IF($AU291="",0,IF(AND($AR291,OR(NOT(IFERROR(LOOKUP(2,1/($B$9:$B$290=$B291),$AR$9:$AR290),1)),IFERROR(LOOKUP(2,1/($B$9:$B$290=$B291),$T$9:$T290),0)=0)),ROW(),0))</f>
        <v>0</v>
      </c>
      <c r="AY291" t="str">
        <f t="shared" si="84"/>
        <v/>
      </c>
    </row>
    <row r="292" spans="1:51" ht="15" x14ac:dyDescent="0.25">
      <c r="A292" s="52" t="str">
        <f>IF(Trades!$A292="","",Trades!O292)</f>
        <v/>
      </c>
      <c r="B292" s="52" t="str">
        <f>IF(Trades!$A292="","",Trades!B292)</f>
        <v/>
      </c>
      <c r="C292" s="52" t="str">
        <f>IF(Trades!$A292="","",Trades!C292)</f>
        <v/>
      </c>
      <c r="D292" s="53" t="str">
        <f>IF(Trades!$A292="","",IF(Trades!$L292&gt;0,Trades!$L292,Trades!$C$6))</f>
        <v/>
      </c>
      <c r="E292" s="54" t="str">
        <f>IF(Trades!$A292="","",Trades!A292)</f>
        <v/>
      </c>
      <c r="F292" s="52" t="str">
        <f>IF(Trades!$A292="","",IFERROR(INDEX(Trades!$V$2:$V$14,MATCH(Trades!$E292,Trades!$U$2:$U$14,0)),""))</f>
        <v/>
      </c>
      <c r="G292" s="52" t="str">
        <f>IF(Trades!$A292="","",Trades!N292)</f>
        <v/>
      </c>
      <c r="H292" s="53" t="str">
        <f>IF(Trades!$A292="","",Trades!F292)</f>
        <v/>
      </c>
      <c r="I292" s="55" t="str">
        <f>IF(Trades!$A292="","",Trades!G292)</f>
        <v/>
      </c>
      <c r="J292" s="55" t="str">
        <f>IF(Trades!$A292="","",Trades!I292)</f>
        <v/>
      </c>
      <c r="K292" s="55" t="str">
        <f>IF(Trades!$A292="","",Trades!Q292)</f>
        <v/>
      </c>
      <c r="L292" s="53" t="str">
        <f>IF(Trades!$A292="","",Trades!F292)</f>
        <v/>
      </c>
      <c r="M292" s="55" t="str">
        <f>IF(Trades!$A292="","",Trades!M292)</f>
        <v/>
      </c>
      <c r="N292" s="55" t="str">
        <f>IF(Trades!$A292="","",Trades!R292)</f>
        <v/>
      </c>
      <c r="O292" s="55" t="str">
        <f>IF(Trades!$A292="","",Trades!J292)</f>
        <v/>
      </c>
      <c r="P292" s="54" t="str">
        <f>IF(Trades!$A292="","",Trades!H292)</f>
        <v/>
      </c>
      <c r="Q292" s="52" t="str">
        <f>IF(Trades!$A292="","",Trades!P292)</f>
        <v/>
      </c>
      <c r="R292" s="56" t="str">
        <f t="shared" si="68"/>
        <v/>
      </c>
      <c r="S292" s="56" t="str">
        <f t="shared" si="69"/>
        <v/>
      </c>
      <c r="T292" s="57" t="str">
        <f>IF(OR($A292="",$B292=""),"",IF(AND(IFERROR(LOOKUP(2,1/($B$9:$B$291=$B292),$AR$9:$AR291),1),NOT(AND(OR($F292="dividend",$F292="fee"),IFERROR(LOOKUP(2,1/($B$9:$B$291=$B292),$T$9:$T291),0)&gt;0))),IFERROR(LOOKUP(2,1/($B$9:$B$291=$B292),$T$9:$T291),0)+1,IFERROR(LOOKUP(2,1/($B$9:$B$291=$B292),$T$9:$T291),0)))</f>
        <v/>
      </c>
      <c r="U292" s="58" t="str">
        <f t="shared" si="70"/>
        <v/>
      </c>
      <c r="V292" s="58" t="str">
        <f>IF($A292="","",IF(OR($B292="",$C292="",$D292="",$E292="",$F292=""),"Missing required field",IF(COUNTIFS($A$9:$A292,$A292,$B$9:$B292,$B292)&gt;1,"Duplicate event ID",IF(AND($E292&lt;&gt;IFERROR(LOOKUP(2,1/($B$9:$B$291=$B292),$E$9:$E291),0),IFERROR(LOOKUP(2,1/($B$9:$B$291=$B292),$E$9:$E291),0)&gt;$E292),"Date out of order",IF(AND(OR($F292="buy_to_close",$F292="expire",$F292="roll",$F292="assignment",$F292="called_away"),$AF292=0),"Unknown lot",IF(OR(AND($F292="assignment",$AF292&gt;0,IF($AF292&gt;0,INDEX($AG$9:$AG$291,$AF292),"")&lt;&gt;"put"),AND($F292="called_away",$AF292&gt;0,IF($AF292&gt;0,INDEX($AG$9:$AG$291,$AF292),"")&lt;&gt;"call")),"Wrong option leg",IF(OR(AND(OR($F292="sell_put",$F292="sell_call"),OR($H292&lt;=0,$I292&lt;=0,$J292&lt;0)),AND(OR($F292="buy_to_close",$F292="expire",$F292="assignment",$F292="called_away"),OR($H292&lt;=0,$J292&lt;0)),AND($F292="roll",OR($H292&lt;=0,$I292&lt;=0,$J292&lt;0,$K292&lt;0)),AND(OR($F292="buy_shares",$F292="sell_shares"),OR($L292&lt;=0,$M292&lt;0)),AND(OR($F292="dividend",$F292="fee"),$N292&lt;0)),"Invalid value",IF(AND(OR($F292="sell_shares",$F292="called_away"),$AL292&lt;IF($F292="called_away",$AE292*$D292,$L292)),"Insufficient shares (capped)",IF(AND(OR($F292="buy_to_close",$F292="expire",$F292="roll",$F292="assignment",$F292="called_away"),$AF292&gt;0,$H292&gt;IF($AF292&gt;0,MAX(0,INDEX($AI$9:$AI$291,$AF292)-SUMIFS($AE$9:$AE$291,$G$9:$G$291,$G292,$B$9:$B$291,$B292)),0)),"Close quantity capped","OK")))))))))</f>
        <v/>
      </c>
      <c r="W292" s="59" t="str">
        <f t="shared" si="71"/>
        <v/>
      </c>
      <c r="X292" s="60" t="str">
        <f t="shared" si="72"/>
        <v/>
      </c>
      <c r="Y292" s="50" t="str">
        <f t="shared" si="73"/>
        <v/>
      </c>
      <c r="Z292" s="50" t="str">
        <f t="shared" si="74"/>
        <v/>
      </c>
      <c r="AA292" s="50" t="str">
        <f t="shared" si="75"/>
        <v/>
      </c>
      <c r="AB292" s="50" t="str">
        <f t="shared" si="76"/>
        <v/>
      </c>
      <c r="AC292" s="50" t="str">
        <f>IF($A292="","",IF($F292="assignment",IF($AF292&gt;0,INDEX($AH$9:$AH$291,$AF292),0)*$AE292*$D292,IF($F292="buy_shares",$M292*$AL292,0)))</f>
        <v/>
      </c>
      <c r="AD292" s="50" t="str">
        <f>IF($A292="","",IF($F292="called_away",IF($AF292&gt;0,INDEX($AH$9:$AH$291,$AF292),0)*$AL292,IF($F292="sell_shares",$M292*$AL292,0)))</f>
        <v/>
      </c>
      <c r="AE292" s="51" t="str">
        <f>IF($A292="","",IF(OR($F292="sell_put",$F292="sell_call"),IF(AND($H292&gt;0,$I292&gt;0,$J292&gt;=0),$H292,0),IF(OR($F292="buy_to_close",$F292="expire",$F292="roll",$F292="assignment",$F292="called_away"),IF(AND($AF292&gt;0,$H292&gt;0,IF($F292="assignment",IF($AF292&gt;0,INDEX($AG$9:$AG$291,$AF292),"")="put",TRUE),IF($F292="called_away",IF($AF292&gt;0,INDEX($AG$9:$AG$291,$AF292),"")="call",TRUE)),MIN($H292,IF($AF292&gt;0,MAX(0,INDEX($AI$9:$AI$291,$AF292)-SUMIFS($AE$9:$AE$291,$G$9:$G$291,$G292,$B$9:$B$291,$B292)),0)),0),0)))</f>
        <v/>
      </c>
      <c r="AF292" t="str">
        <f>IF($A292="","",IFERROR(MATCH(LEN($B292)&amp;":"&amp;$B292&amp;$G292,$AY$9:$AY$291,0),0))</f>
        <v/>
      </c>
      <c r="AG292" t="str">
        <f>IF($A292="","",IF($F292="sell_put","put",IF($F292="sell_call","call",IF($F292="roll",IF($AF292&gt;0,IF($AF292&gt;0,INDEX($AG$9:$AG$291,$AF292),""),""),IF($AF292&gt;0,IF($AF292&gt;0,INDEX($AG$9:$AG$291,$AF292),""),"")))))</f>
        <v/>
      </c>
      <c r="AH292" t="str">
        <f>IF($A292="","",IF(OR($F292="sell_put",$F292="sell_call",$F292="roll"),$I292,IF($AF292&gt;0,IF($AF292&gt;0,INDEX($AH$9:$AH$291,$AF292),0),0)))</f>
        <v/>
      </c>
      <c r="AI292" s="51" t="str">
        <f t="shared" si="77"/>
        <v/>
      </c>
      <c r="AJ292" s="51" t="str">
        <f>IF($A292="","",IFERROR(LOOKUP(2,1/($B$9:$B$291=$B292),$AM$9:$AM291),0))</f>
        <v/>
      </c>
      <c r="AK292" t="str">
        <f>IF($A292="","",IFERROR(LOOKUP(2,1/($B$9:$B$291=$B292),$AN$9:$AN291),0))</f>
        <v/>
      </c>
      <c r="AL292" s="51" t="str">
        <f t="shared" si="78"/>
        <v/>
      </c>
      <c r="AM292" s="51" t="str">
        <f t="shared" si="79"/>
        <v/>
      </c>
      <c r="AN292" t="str">
        <f t="shared" si="80"/>
        <v/>
      </c>
      <c r="AO292" s="50" t="str">
        <f>IF($A292="","",IFERROR(LOOKUP(2,1/($B$9:$B$291=$B292),$AO$9:$AO291),0)+IF($F292="sell_put",$I292*$AE292*$D292,IF($F292="roll",IF($AG292="put",($I292-IF($AF292&gt;0,INDEX($AH$9:$AH$291,$AF292),0))*$AE292*$D292,0),IF(AND(OR($F292="buy_to_close",$F292="expire",$F292="roll",$F292="assignment",$F292="called_away"),$F292&lt;&gt;"roll",$AG292="put"),-IF($AF292&gt;0,INDEX($AH$9:$AH$291,$AF292),0)*$AE292*$D292,0))))</f>
        <v/>
      </c>
      <c r="AP292" s="51" t="str">
        <f>IF($A292="","",IFERROR(LOOKUP(2,1/($B$9:$B$291=$B292),$AP$9:$AP291),0)+IF($F292="sell_put",$AE292*$D292,IF(AND(OR($F292="buy_to_close",$F292="expire",$F292="roll",$F292="assignment",$F292="called_away"),$F292&lt;&gt;"roll",$AG292="put"),-$AE292*$D292,0)))</f>
        <v/>
      </c>
      <c r="AQ292" s="51" t="str">
        <f>IF($A292="","",IFERROR(LOOKUP(2,1/($B$9:$B$291=$B292),$AQ$9:$AQ291),0)+IF(OR($F292="sell_put",$F292="sell_call"),$AE292,0)-IF(AND(OR($F292="buy_to_close",$F292="expire",$F292="roll",$F292="assignment",$F292="called_away"),$F292&lt;&gt;"roll"),$AE292,0))</f>
        <v/>
      </c>
      <c r="AR292" t="str">
        <f t="shared" si="81"/>
        <v/>
      </c>
      <c r="AS292" s="50" t="str">
        <f t="shared" si="82"/>
        <v/>
      </c>
      <c r="AT292" s="50" t="str">
        <f>IF($A292="","",MAX(IF($T292=IFERROR(LOOKUP(2,1/($B$9:$B$291=$B292),$T$9:$T291),0),IFERROR(LOOKUP(2,1/($B$9:$B$291=$B292),$AT$9:$AT291),0),0),$AS292))</f>
        <v/>
      </c>
      <c r="AU292" t="str">
        <f t="shared" si="83"/>
        <v/>
      </c>
      <c r="AV292" s="51">
        <f>IF($AU292="",0,IF(AND(IFERROR(LOOKUP(2,1/($B$9:$B$291=$B292),$AR$9:$AR291),1),NOT(AND(OR($F292="dividend",$F292="fee"),IFERROR(LOOKUP(2,1/($B$9:$B$291=$B292),$T$9:$T291),0)&gt;0))),ROW(),0))</f>
        <v>0</v>
      </c>
      <c r="AW292">
        <f>IF($A292="",0,IF($AV292&gt;0,MAX($AW$9:$AW$291)+1,MAX($AW$9:$AW$291)))</f>
        <v>0</v>
      </c>
      <c r="AX292">
        <f>IF($AU292="",0,IF(AND($AR292,OR(NOT(IFERROR(LOOKUP(2,1/($B$9:$B$291=$B292),$AR$9:$AR291),1)),IFERROR(LOOKUP(2,1/($B$9:$B$291=$B292),$T$9:$T291),0)=0)),ROW(),0))</f>
        <v>0</v>
      </c>
      <c r="AY292" t="str">
        <f t="shared" si="84"/>
        <v/>
      </c>
    </row>
    <row r="293" spans="1:51" ht="15" x14ac:dyDescent="0.25">
      <c r="A293" s="41" t="str">
        <f>IF(Trades!$A293="","",Trades!O293)</f>
        <v/>
      </c>
      <c r="B293" s="41" t="str">
        <f>IF(Trades!$A293="","",Trades!B293)</f>
        <v/>
      </c>
      <c r="C293" s="41" t="str">
        <f>IF(Trades!$A293="","",Trades!C293)</f>
        <v/>
      </c>
      <c r="D293" s="42" t="str">
        <f>IF(Trades!$A293="","",IF(Trades!$L293&gt;0,Trades!$L293,Trades!$C$6))</f>
        <v/>
      </c>
      <c r="E293" s="43" t="str">
        <f>IF(Trades!$A293="","",Trades!A293)</f>
        <v/>
      </c>
      <c r="F293" s="41" t="str">
        <f>IF(Trades!$A293="","",IFERROR(INDEX(Trades!$V$2:$V$14,MATCH(Trades!$E293,Trades!$U$2:$U$14,0)),""))</f>
        <v/>
      </c>
      <c r="G293" s="41" t="str">
        <f>IF(Trades!$A293="","",Trades!N293)</f>
        <v/>
      </c>
      <c r="H293" s="42" t="str">
        <f>IF(Trades!$A293="","",Trades!F293)</f>
        <v/>
      </c>
      <c r="I293" s="44" t="str">
        <f>IF(Trades!$A293="","",Trades!G293)</f>
        <v/>
      </c>
      <c r="J293" s="44" t="str">
        <f>IF(Trades!$A293="","",Trades!I293)</f>
        <v/>
      </c>
      <c r="K293" s="44" t="str">
        <f>IF(Trades!$A293="","",Trades!Q293)</f>
        <v/>
      </c>
      <c r="L293" s="42" t="str">
        <f>IF(Trades!$A293="","",Trades!F293)</f>
        <v/>
      </c>
      <c r="M293" s="44" t="str">
        <f>IF(Trades!$A293="","",Trades!M293)</f>
        <v/>
      </c>
      <c r="N293" s="44" t="str">
        <f>IF(Trades!$A293="","",Trades!R293)</f>
        <v/>
      </c>
      <c r="O293" s="44" t="str">
        <f>IF(Trades!$A293="","",Trades!J293)</f>
        <v/>
      </c>
      <c r="P293" s="43" t="str">
        <f>IF(Trades!$A293="","",Trades!H293)</f>
        <v/>
      </c>
      <c r="Q293" s="41" t="str">
        <f>IF(Trades!$A293="","",Trades!P293)</f>
        <v/>
      </c>
      <c r="R293" s="45" t="str">
        <f t="shared" si="68"/>
        <v/>
      </c>
      <c r="S293" s="45" t="str">
        <f t="shared" si="69"/>
        <v/>
      </c>
      <c r="T293" s="46" t="str">
        <f>IF(OR($A293="",$B293=""),"",IF(AND(IFERROR(LOOKUP(2,1/($B$9:$B$292=$B293),$AR$9:$AR292),1),NOT(AND(OR($F293="dividend",$F293="fee"),IFERROR(LOOKUP(2,1/($B$9:$B$292=$B293),$T$9:$T292),0)&gt;0))),IFERROR(LOOKUP(2,1/($B$9:$B$292=$B293),$T$9:$T292),0)+1,IFERROR(LOOKUP(2,1/($B$9:$B$292=$B293),$T$9:$T292),0)))</f>
        <v/>
      </c>
      <c r="U293" s="47" t="str">
        <f t="shared" si="70"/>
        <v/>
      </c>
      <c r="V293" s="47" t="str">
        <f>IF($A293="","",IF(OR($B293="",$C293="",$D293="",$E293="",$F293=""),"Missing required field",IF(COUNTIFS($A$9:$A293,$A293,$B$9:$B293,$B293)&gt;1,"Duplicate event ID",IF(AND($E293&lt;&gt;IFERROR(LOOKUP(2,1/($B$9:$B$292=$B293),$E$9:$E292),0),IFERROR(LOOKUP(2,1/($B$9:$B$292=$B293),$E$9:$E292),0)&gt;$E293),"Date out of order",IF(AND(OR($F293="buy_to_close",$F293="expire",$F293="roll",$F293="assignment",$F293="called_away"),$AF293=0),"Unknown lot",IF(OR(AND($F293="assignment",$AF293&gt;0,IF($AF293&gt;0,INDEX($AG$9:$AG$292,$AF293),"")&lt;&gt;"put"),AND($F293="called_away",$AF293&gt;0,IF($AF293&gt;0,INDEX($AG$9:$AG$292,$AF293),"")&lt;&gt;"call")),"Wrong option leg",IF(OR(AND(OR($F293="sell_put",$F293="sell_call"),OR($H293&lt;=0,$I293&lt;=0,$J293&lt;0)),AND(OR($F293="buy_to_close",$F293="expire",$F293="assignment",$F293="called_away"),OR($H293&lt;=0,$J293&lt;0)),AND($F293="roll",OR($H293&lt;=0,$I293&lt;=0,$J293&lt;0,$K293&lt;0)),AND(OR($F293="buy_shares",$F293="sell_shares"),OR($L293&lt;=0,$M293&lt;0)),AND(OR($F293="dividend",$F293="fee"),$N293&lt;0)),"Invalid value",IF(AND(OR($F293="sell_shares",$F293="called_away"),$AL293&lt;IF($F293="called_away",$AE293*$D293,$L293)),"Insufficient shares (capped)",IF(AND(OR($F293="buy_to_close",$F293="expire",$F293="roll",$F293="assignment",$F293="called_away"),$AF293&gt;0,$H293&gt;IF($AF293&gt;0,MAX(0,INDEX($AI$9:$AI$292,$AF293)-SUMIFS($AE$9:$AE$292,$G$9:$G$292,$G293,$B$9:$B$292,$B293)),0)),"Close quantity capped","OK")))))))))</f>
        <v/>
      </c>
      <c r="W293" s="48" t="str">
        <f t="shared" si="71"/>
        <v/>
      </c>
      <c r="X293" s="49" t="str">
        <f t="shared" si="72"/>
        <v/>
      </c>
      <c r="Y293" s="50" t="str">
        <f t="shared" si="73"/>
        <v/>
      </c>
      <c r="Z293" s="50" t="str">
        <f t="shared" si="74"/>
        <v/>
      </c>
      <c r="AA293" s="50" t="str">
        <f t="shared" si="75"/>
        <v/>
      </c>
      <c r="AB293" s="50" t="str">
        <f t="shared" si="76"/>
        <v/>
      </c>
      <c r="AC293" s="50" t="str">
        <f>IF($A293="","",IF($F293="assignment",IF($AF293&gt;0,INDEX($AH$9:$AH$292,$AF293),0)*$AE293*$D293,IF($F293="buy_shares",$M293*$AL293,0)))</f>
        <v/>
      </c>
      <c r="AD293" s="50" t="str">
        <f>IF($A293="","",IF($F293="called_away",IF($AF293&gt;0,INDEX($AH$9:$AH$292,$AF293),0)*$AL293,IF($F293="sell_shares",$M293*$AL293,0)))</f>
        <v/>
      </c>
      <c r="AE293" s="51" t="str">
        <f>IF($A293="","",IF(OR($F293="sell_put",$F293="sell_call"),IF(AND($H293&gt;0,$I293&gt;0,$J293&gt;=0),$H293,0),IF(OR($F293="buy_to_close",$F293="expire",$F293="roll",$F293="assignment",$F293="called_away"),IF(AND($AF293&gt;0,$H293&gt;0,IF($F293="assignment",IF($AF293&gt;0,INDEX($AG$9:$AG$292,$AF293),"")="put",TRUE),IF($F293="called_away",IF($AF293&gt;0,INDEX($AG$9:$AG$292,$AF293),"")="call",TRUE)),MIN($H293,IF($AF293&gt;0,MAX(0,INDEX($AI$9:$AI$292,$AF293)-SUMIFS($AE$9:$AE$292,$G$9:$G$292,$G293,$B$9:$B$292,$B293)),0)),0),0)))</f>
        <v/>
      </c>
      <c r="AF293" t="str">
        <f>IF($A293="","",IFERROR(MATCH(LEN($B293)&amp;":"&amp;$B293&amp;$G293,$AY$9:$AY$292,0),0))</f>
        <v/>
      </c>
      <c r="AG293" t="str">
        <f>IF($A293="","",IF($F293="sell_put","put",IF($F293="sell_call","call",IF($F293="roll",IF($AF293&gt;0,IF($AF293&gt;0,INDEX($AG$9:$AG$292,$AF293),""),""),IF($AF293&gt;0,IF($AF293&gt;0,INDEX($AG$9:$AG$292,$AF293),""),"")))))</f>
        <v/>
      </c>
      <c r="AH293" t="str">
        <f>IF($A293="","",IF(OR($F293="sell_put",$F293="sell_call",$F293="roll"),$I293,IF($AF293&gt;0,IF($AF293&gt;0,INDEX($AH$9:$AH$292,$AF293),0),0)))</f>
        <v/>
      </c>
      <c r="AI293" s="51" t="str">
        <f t="shared" si="77"/>
        <v/>
      </c>
      <c r="AJ293" s="51" t="str">
        <f>IF($A293="","",IFERROR(LOOKUP(2,1/($B$9:$B$292=$B293),$AM$9:$AM292),0))</f>
        <v/>
      </c>
      <c r="AK293" t="str">
        <f>IF($A293="","",IFERROR(LOOKUP(2,1/($B$9:$B$292=$B293),$AN$9:$AN292),0))</f>
        <v/>
      </c>
      <c r="AL293" s="51" t="str">
        <f t="shared" si="78"/>
        <v/>
      </c>
      <c r="AM293" s="51" t="str">
        <f t="shared" si="79"/>
        <v/>
      </c>
      <c r="AN293" t="str">
        <f t="shared" si="80"/>
        <v/>
      </c>
      <c r="AO293" s="50" t="str">
        <f>IF($A293="","",IFERROR(LOOKUP(2,1/($B$9:$B$292=$B293),$AO$9:$AO292),0)+IF($F293="sell_put",$I293*$AE293*$D293,IF($F293="roll",IF($AG293="put",($I293-IF($AF293&gt;0,INDEX($AH$9:$AH$292,$AF293),0))*$AE293*$D293,0),IF(AND(OR($F293="buy_to_close",$F293="expire",$F293="roll",$F293="assignment",$F293="called_away"),$F293&lt;&gt;"roll",$AG293="put"),-IF($AF293&gt;0,INDEX($AH$9:$AH$292,$AF293),0)*$AE293*$D293,0))))</f>
        <v/>
      </c>
      <c r="AP293" s="51" t="str">
        <f>IF($A293="","",IFERROR(LOOKUP(2,1/($B$9:$B$292=$B293),$AP$9:$AP292),0)+IF($F293="sell_put",$AE293*$D293,IF(AND(OR($F293="buy_to_close",$F293="expire",$F293="roll",$F293="assignment",$F293="called_away"),$F293&lt;&gt;"roll",$AG293="put"),-$AE293*$D293,0)))</f>
        <v/>
      </c>
      <c r="AQ293" s="51" t="str">
        <f>IF($A293="","",IFERROR(LOOKUP(2,1/($B$9:$B$292=$B293),$AQ$9:$AQ292),0)+IF(OR($F293="sell_put",$F293="sell_call"),$AE293,0)-IF(AND(OR($F293="buy_to_close",$F293="expire",$F293="roll",$F293="assignment",$F293="called_away"),$F293&lt;&gt;"roll"),$AE293,0))</f>
        <v/>
      </c>
      <c r="AR293" t="str">
        <f t="shared" si="81"/>
        <v/>
      </c>
      <c r="AS293" s="50" t="str">
        <f t="shared" si="82"/>
        <v/>
      </c>
      <c r="AT293" s="50" t="str">
        <f>IF($A293="","",MAX(IF($T293=IFERROR(LOOKUP(2,1/($B$9:$B$292=$B293),$T$9:$T292),0),IFERROR(LOOKUP(2,1/($B$9:$B$292=$B293),$AT$9:$AT292),0),0),$AS293))</f>
        <v/>
      </c>
      <c r="AU293" t="str">
        <f t="shared" si="83"/>
        <v/>
      </c>
      <c r="AV293" s="51">
        <f>IF($AU293="",0,IF(AND(IFERROR(LOOKUP(2,1/($B$9:$B$292=$B293),$AR$9:$AR292),1),NOT(AND(OR($F293="dividend",$F293="fee"),IFERROR(LOOKUP(2,1/($B$9:$B$292=$B293),$T$9:$T292),0)&gt;0))),ROW(),0))</f>
        <v>0</v>
      </c>
      <c r="AW293">
        <f>IF($A293="",0,IF($AV293&gt;0,MAX($AW$9:$AW$292)+1,MAX($AW$9:$AW$292)))</f>
        <v>0</v>
      </c>
      <c r="AX293">
        <f>IF($AU293="",0,IF(AND($AR293,OR(NOT(IFERROR(LOOKUP(2,1/($B$9:$B$292=$B293),$AR$9:$AR292),1)),IFERROR(LOOKUP(2,1/($B$9:$B$292=$B293),$T$9:$T292),0)=0)),ROW(),0))</f>
        <v>0</v>
      </c>
      <c r="AY293" t="str">
        <f t="shared" si="84"/>
        <v/>
      </c>
    </row>
    <row r="294" spans="1:51" ht="15" x14ac:dyDescent="0.25">
      <c r="A294" s="52" t="str">
        <f>IF(Trades!$A294="","",Trades!O294)</f>
        <v/>
      </c>
      <c r="B294" s="52" t="str">
        <f>IF(Trades!$A294="","",Trades!B294)</f>
        <v/>
      </c>
      <c r="C294" s="52" t="str">
        <f>IF(Trades!$A294="","",Trades!C294)</f>
        <v/>
      </c>
      <c r="D294" s="53" t="str">
        <f>IF(Trades!$A294="","",IF(Trades!$L294&gt;0,Trades!$L294,Trades!$C$6))</f>
        <v/>
      </c>
      <c r="E294" s="54" t="str">
        <f>IF(Trades!$A294="","",Trades!A294)</f>
        <v/>
      </c>
      <c r="F294" s="52" t="str">
        <f>IF(Trades!$A294="","",IFERROR(INDEX(Trades!$V$2:$V$14,MATCH(Trades!$E294,Trades!$U$2:$U$14,0)),""))</f>
        <v/>
      </c>
      <c r="G294" s="52" t="str">
        <f>IF(Trades!$A294="","",Trades!N294)</f>
        <v/>
      </c>
      <c r="H294" s="53" t="str">
        <f>IF(Trades!$A294="","",Trades!F294)</f>
        <v/>
      </c>
      <c r="I294" s="55" t="str">
        <f>IF(Trades!$A294="","",Trades!G294)</f>
        <v/>
      </c>
      <c r="J294" s="55" t="str">
        <f>IF(Trades!$A294="","",Trades!I294)</f>
        <v/>
      </c>
      <c r="K294" s="55" t="str">
        <f>IF(Trades!$A294="","",Trades!Q294)</f>
        <v/>
      </c>
      <c r="L294" s="53" t="str">
        <f>IF(Trades!$A294="","",Trades!F294)</f>
        <v/>
      </c>
      <c r="M294" s="55" t="str">
        <f>IF(Trades!$A294="","",Trades!M294)</f>
        <v/>
      </c>
      <c r="N294" s="55" t="str">
        <f>IF(Trades!$A294="","",Trades!R294)</f>
        <v/>
      </c>
      <c r="O294" s="55" t="str">
        <f>IF(Trades!$A294="","",Trades!J294)</f>
        <v/>
      </c>
      <c r="P294" s="54" t="str">
        <f>IF(Trades!$A294="","",Trades!H294)</f>
        <v/>
      </c>
      <c r="Q294" s="52" t="str">
        <f>IF(Trades!$A294="","",Trades!P294)</f>
        <v/>
      </c>
      <c r="R294" s="56" t="str">
        <f t="shared" si="68"/>
        <v/>
      </c>
      <c r="S294" s="56" t="str">
        <f t="shared" si="69"/>
        <v/>
      </c>
      <c r="T294" s="57" t="str">
        <f>IF(OR($A294="",$B294=""),"",IF(AND(IFERROR(LOOKUP(2,1/($B$9:$B$293=$B294),$AR$9:$AR293),1),NOT(AND(OR($F294="dividend",$F294="fee"),IFERROR(LOOKUP(2,1/($B$9:$B$293=$B294),$T$9:$T293),0)&gt;0))),IFERROR(LOOKUP(2,1/($B$9:$B$293=$B294),$T$9:$T293),0)+1,IFERROR(LOOKUP(2,1/($B$9:$B$293=$B294),$T$9:$T293),0)))</f>
        <v/>
      </c>
      <c r="U294" s="58" t="str">
        <f t="shared" si="70"/>
        <v/>
      </c>
      <c r="V294" s="58" t="str">
        <f>IF($A294="","",IF(OR($B294="",$C294="",$D294="",$E294="",$F294=""),"Missing required field",IF(COUNTIFS($A$9:$A294,$A294,$B$9:$B294,$B294)&gt;1,"Duplicate event ID",IF(AND($E294&lt;&gt;IFERROR(LOOKUP(2,1/($B$9:$B$293=$B294),$E$9:$E293),0),IFERROR(LOOKUP(2,1/($B$9:$B$293=$B294),$E$9:$E293),0)&gt;$E294),"Date out of order",IF(AND(OR($F294="buy_to_close",$F294="expire",$F294="roll",$F294="assignment",$F294="called_away"),$AF294=0),"Unknown lot",IF(OR(AND($F294="assignment",$AF294&gt;0,IF($AF294&gt;0,INDEX($AG$9:$AG$293,$AF294),"")&lt;&gt;"put"),AND($F294="called_away",$AF294&gt;0,IF($AF294&gt;0,INDEX($AG$9:$AG$293,$AF294),"")&lt;&gt;"call")),"Wrong option leg",IF(OR(AND(OR($F294="sell_put",$F294="sell_call"),OR($H294&lt;=0,$I294&lt;=0,$J294&lt;0)),AND(OR($F294="buy_to_close",$F294="expire",$F294="assignment",$F294="called_away"),OR($H294&lt;=0,$J294&lt;0)),AND($F294="roll",OR($H294&lt;=0,$I294&lt;=0,$J294&lt;0,$K294&lt;0)),AND(OR($F294="buy_shares",$F294="sell_shares"),OR($L294&lt;=0,$M294&lt;0)),AND(OR($F294="dividend",$F294="fee"),$N294&lt;0)),"Invalid value",IF(AND(OR($F294="sell_shares",$F294="called_away"),$AL294&lt;IF($F294="called_away",$AE294*$D294,$L294)),"Insufficient shares (capped)",IF(AND(OR($F294="buy_to_close",$F294="expire",$F294="roll",$F294="assignment",$F294="called_away"),$AF294&gt;0,$H294&gt;IF($AF294&gt;0,MAX(0,INDEX($AI$9:$AI$293,$AF294)-SUMIFS($AE$9:$AE$293,$G$9:$G$293,$G294,$B$9:$B$293,$B294)),0)),"Close quantity capped","OK")))))))))</f>
        <v/>
      </c>
      <c r="W294" s="59" t="str">
        <f t="shared" si="71"/>
        <v/>
      </c>
      <c r="X294" s="60" t="str">
        <f t="shared" si="72"/>
        <v/>
      </c>
      <c r="Y294" s="50" t="str">
        <f t="shared" si="73"/>
        <v/>
      </c>
      <c r="Z294" s="50" t="str">
        <f t="shared" si="74"/>
        <v/>
      </c>
      <c r="AA294" s="50" t="str">
        <f t="shared" si="75"/>
        <v/>
      </c>
      <c r="AB294" s="50" t="str">
        <f t="shared" si="76"/>
        <v/>
      </c>
      <c r="AC294" s="50" t="str">
        <f>IF($A294="","",IF($F294="assignment",IF($AF294&gt;0,INDEX($AH$9:$AH$293,$AF294),0)*$AE294*$D294,IF($F294="buy_shares",$M294*$AL294,0)))</f>
        <v/>
      </c>
      <c r="AD294" s="50" t="str">
        <f>IF($A294="","",IF($F294="called_away",IF($AF294&gt;0,INDEX($AH$9:$AH$293,$AF294),0)*$AL294,IF($F294="sell_shares",$M294*$AL294,0)))</f>
        <v/>
      </c>
      <c r="AE294" s="51" t="str">
        <f>IF($A294="","",IF(OR($F294="sell_put",$F294="sell_call"),IF(AND($H294&gt;0,$I294&gt;0,$J294&gt;=0),$H294,0),IF(OR($F294="buy_to_close",$F294="expire",$F294="roll",$F294="assignment",$F294="called_away"),IF(AND($AF294&gt;0,$H294&gt;0,IF($F294="assignment",IF($AF294&gt;0,INDEX($AG$9:$AG$293,$AF294),"")="put",TRUE),IF($F294="called_away",IF($AF294&gt;0,INDEX($AG$9:$AG$293,$AF294),"")="call",TRUE)),MIN($H294,IF($AF294&gt;0,MAX(0,INDEX($AI$9:$AI$293,$AF294)-SUMIFS($AE$9:$AE$293,$G$9:$G$293,$G294,$B$9:$B$293,$B294)),0)),0),0)))</f>
        <v/>
      </c>
      <c r="AF294" t="str">
        <f>IF($A294="","",IFERROR(MATCH(LEN($B294)&amp;":"&amp;$B294&amp;$G294,$AY$9:$AY$293,0),0))</f>
        <v/>
      </c>
      <c r="AG294" t="str">
        <f>IF($A294="","",IF($F294="sell_put","put",IF($F294="sell_call","call",IF($F294="roll",IF($AF294&gt;0,IF($AF294&gt;0,INDEX($AG$9:$AG$293,$AF294),""),""),IF($AF294&gt;0,IF($AF294&gt;0,INDEX($AG$9:$AG$293,$AF294),""),"")))))</f>
        <v/>
      </c>
      <c r="AH294" t="str">
        <f>IF($A294="","",IF(OR($F294="sell_put",$F294="sell_call",$F294="roll"),$I294,IF($AF294&gt;0,IF($AF294&gt;0,INDEX($AH$9:$AH$293,$AF294),0),0)))</f>
        <v/>
      </c>
      <c r="AI294" s="51" t="str">
        <f t="shared" si="77"/>
        <v/>
      </c>
      <c r="AJ294" s="51" t="str">
        <f>IF($A294="","",IFERROR(LOOKUP(2,1/($B$9:$B$293=$B294),$AM$9:$AM293),0))</f>
        <v/>
      </c>
      <c r="AK294" t="str">
        <f>IF($A294="","",IFERROR(LOOKUP(2,1/($B$9:$B$293=$B294),$AN$9:$AN293),0))</f>
        <v/>
      </c>
      <c r="AL294" s="51" t="str">
        <f t="shared" si="78"/>
        <v/>
      </c>
      <c r="AM294" s="51" t="str">
        <f t="shared" si="79"/>
        <v/>
      </c>
      <c r="AN294" t="str">
        <f t="shared" si="80"/>
        <v/>
      </c>
      <c r="AO294" s="50" t="str">
        <f>IF($A294="","",IFERROR(LOOKUP(2,1/($B$9:$B$293=$B294),$AO$9:$AO293),0)+IF($F294="sell_put",$I294*$AE294*$D294,IF($F294="roll",IF($AG294="put",($I294-IF($AF294&gt;0,INDEX($AH$9:$AH$293,$AF294),0))*$AE294*$D294,0),IF(AND(OR($F294="buy_to_close",$F294="expire",$F294="roll",$F294="assignment",$F294="called_away"),$F294&lt;&gt;"roll",$AG294="put"),-IF($AF294&gt;0,INDEX($AH$9:$AH$293,$AF294),0)*$AE294*$D294,0))))</f>
        <v/>
      </c>
      <c r="AP294" s="51" t="str">
        <f>IF($A294="","",IFERROR(LOOKUP(2,1/($B$9:$B$293=$B294),$AP$9:$AP293),0)+IF($F294="sell_put",$AE294*$D294,IF(AND(OR($F294="buy_to_close",$F294="expire",$F294="roll",$F294="assignment",$F294="called_away"),$F294&lt;&gt;"roll",$AG294="put"),-$AE294*$D294,0)))</f>
        <v/>
      </c>
      <c r="AQ294" s="51" t="str">
        <f>IF($A294="","",IFERROR(LOOKUP(2,1/($B$9:$B$293=$B294),$AQ$9:$AQ293),0)+IF(OR($F294="sell_put",$F294="sell_call"),$AE294,0)-IF(AND(OR($F294="buy_to_close",$F294="expire",$F294="roll",$F294="assignment",$F294="called_away"),$F294&lt;&gt;"roll"),$AE294,0))</f>
        <v/>
      </c>
      <c r="AR294" t="str">
        <f t="shared" si="81"/>
        <v/>
      </c>
      <c r="AS294" s="50" t="str">
        <f t="shared" si="82"/>
        <v/>
      </c>
      <c r="AT294" s="50" t="str">
        <f>IF($A294="","",MAX(IF($T294=IFERROR(LOOKUP(2,1/($B$9:$B$293=$B294),$T$9:$T293),0),IFERROR(LOOKUP(2,1/($B$9:$B$293=$B294),$AT$9:$AT293),0),0),$AS294))</f>
        <v/>
      </c>
      <c r="AU294" t="str">
        <f t="shared" si="83"/>
        <v/>
      </c>
      <c r="AV294" s="51">
        <f>IF($AU294="",0,IF(AND(IFERROR(LOOKUP(2,1/($B$9:$B$293=$B294),$AR$9:$AR293),1),NOT(AND(OR($F294="dividend",$F294="fee"),IFERROR(LOOKUP(2,1/($B$9:$B$293=$B294),$T$9:$T293),0)&gt;0))),ROW(),0))</f>
        <v>0</v>
      </c>
      <c r="AW294">
        <f>IF($A294="",0,IF($AV294&gt;0,MAX($AW$9:$AW$293)+1,MAX($AW$9:$AW$293)))</f>
        <v>0</v>
      </c>
      <c r="AX294">
        <f>IF($AU294="",0,IF(AND($AR294,OR(NOT(IFERROR(LOOKUP(2,1/($B$9:$B$293=$B294),$AR$9:$AR293),1)),IFERROR(LOOKUP(2,1/($B$9:$B$293=$B294),$T$9:$T293),0)=0)),ROW(),0))</f>
        <v>0</v>
      </c>
      <c r="AY294" t="str">
        <f t="shared" si="84"/>
        <v/>
      </c>
    </row>
    <row r="295" spans="1:51" ht="15" x14ac:dyDescent="0.25">
      <c r="A295" s="41" t="str">
        <f>IF(Trades!$A295="","",Trades!O295)</f>
        <v/>
      </c>
      <c r="B295" s="41" t="str">
        <f>IF(Trades!$A295="","",Trades!B295)</f>
        <v/>
      </c>
      <c r="C295" s="41" t="str">
        <f>IF(Trades!$A295="","",Trades!C295)</f>
        <v/>
      </c>
      <c r="D295" s="42" t="str">
        <f>IF(Trades!$A295="","",IF(Trades!$L295&gt;0,Trades!$L295,Trades!$C$6))</f>
        <v/>
      </c>
      <c r="E295" s="43" t="str">
        <f>IF(Trades!$A295="","",Trades!A295)</f>
        <v/>
      </c>
      <c r="F295" s="41" t="str">
        <f>IF(Trades!$A295="","",IFERROR(INDEX(Trades!$V$2:$V$14,MATCH(Trades!$E295,Trades!$U$2:$U$14,0)),""))</f>
        <v/>
      </c>
      <c r="G295" s="41" t="str">
        <f>IF(Trades!$A295="","",Trades!N295)</f>
        <v/>
      </c>
      <c r="H295" s="42" t="str">
        <f>IF(Trades!$A295="","",Trades!F295)</f>
        <v/>
      </c>
      <c r="I295" s="44" t="str">
        <f>IF(Trades!$A295="","",Trades!G295)</f>
        <v/>
      </c>
      <c r="J295" s="44" t="str">
        <f>IF(Trades!$A295="","",Trades!I295)</f>
        <v/>
      </c>
      <c r="K295" s="44" t="str">
        <f>IF(Trades!$A295="","",Trades!Q295)</f>
        <v/>
      </c>
      <c r="L295" s="42" t="str">
        <f>IF(Trades!$A295="","",Trades!F295)</f>
        <v/>
      </c>
      <c r="M295" s="44" t="str">
        <f>IF(Trades!$A295="","",Trades!M295)</f>
        <v/>
      </c>
      <c r="N295" s="44" t="str">
        <f>IF(Trades!$A295="","",Trades!R295)</f>
        <v/>
      </c>
      <c r="O295" s="44" t="str">
        <f>IF(Trades!$A295="","",Trades!J295)</f>
        <v/>
      </c>
      <c r="P295" s="43" t="str">
        <f>IF(Trades!$A295="","",Trades!H295)</f>
        <v/>
      </c>
      <c r="Q295" s="41" t="str">
        <f>IF(Trades!$A295="","",Trades!P295)</f>
        <v/>
      </c>
      <c r="R295" s="45" t="str">
        <f t="shared" si="68"/>
        <v/>
      </c>
      <c r="S295" s="45" t="str">
        <f t="shared" si="69"/>
        <v/>
      </c>
      <c r="T295" s="46" t="str">
        <f>IF(OR($A295="",$B295=""),"",IF(AND(IFERROR(LOOKUP(2,1/($B$9:$B$294=$B295),$AR$9:$AR294),1),NOT(AND(OR($F295="dividend",$F295="fee"),IFERROR(LOOKUP(2,1/($B$9:$B$294=$B295),$T$9:$T294),0)&gt;0))),IFERROR(LOOKUP(2,1/($B$9:$B$294=$B295),$T$9:$T294),0)+1,IFERROR(LOOKUP(2,1/($B$9:$B$294=$B295),$T$9:$T294),0)))</f>
        <v/>
      </c>
      <c r="U295" s="47" t="str">
        <f t="shared" si="70"/>
        <v/>
      </c>
      <c r="V295" s="47" t="str">
        <f>IF($A295="","",IF(OR($B295="",$C295="",$D295="",$E295="",$F295=""),"Missing required field",IF(COUNTIFS($A$9:$A295,$A295,$B$9:$B295,$B295)&gt;1,"Duplicate event ID",IF(AND($E295&lt;&gt;IFERROR(LOOKUP(2,1/($B$9:$B$294=$B295),$E$9:$E294),0),IFERROR(LOOKUP(2,1/($B$9:$B$294=$B295),$E$9:$E294),0)&gt;$E295),"Date out of order",IF(AND(OR($F295="buy_to_close",$F295="expire",$F295="roll",$F295="assignment",$F295="called_away"),$AF295=0),"Unknown lot",IF(OR(AND($F295="assignment",$AF295&gt;0,IF($AF295&gt;0,INDEX($AG$9:$AG$294,$AF295),"")&lt;&gt;"put"),AND($F295="called_away",$AF295&gt;0,IF($AF295&gt;0,INDEX($AG$9:$AG$294,$AF295),"")&lt;&gt;"call")),"Wrong option leg",IF(OR(AND(OR($F295="sell_put",$F295="sell_call"),OR($H295&lt;=0,$I295&lt;=0,$J295&lt;0)),AND(OR($F295="buy_to_close",$F295="expire",$F295="assignment",$F295="called_away"),OR($H295&lt;=0,$J295&lt;0)),AND($F295="roll",OR($H295&lt;=0,$I295&lt;=0,$J295&lt;0,$K295&lt;0)),AND(OR($F295="buy_shares",$F295="sell_shares"),OR($L295&lt;=0,$M295&lt;0)),AND(OR($F295="dividend",$F295="fee"),$N295&lt;0)),"Invalid value",IF(AND(OR($F295="sell_shares",$F295="called_away"),$AL295&lt;IF($F295="called_away",$AE295*$D295,$L295)),"Insufficient shares (capped)",IF(AND(OR($F295="buy_to_close",$F295="expire",$F295="roll",$F295="assignment",$F295="called_away"),$AF295&gt;0,$H295&gt;IF($AF295&gt;0,MAX(0,INDEX($AI$9:$AI$294,$AF295)-SUMIFS($AE$9:$AE$294,$G$9:$G$294,$G295,$B$9:$B$294,$B295)),0)),"Close quantity capped","OK")))))))))</f>
        <v/>
      </c>
      <c r="W295" s="48" t="str">
        <f t="shared" si="71"/>
        <v/>
      </c>
      <c r="X295" s="49" t="str">
        <f t="shared" si="72"/>
        <v/>
      </c>
      <c r="Y295" s="50" t="str">
        <f t="shared" si="73"/>
        <v/>
      </c>
      <c r="Z295" s="50" t="str">
        <f t="shared" si="74"/>
        <v/>
      </c>
      <c r="AA295" s="50" t="str">
        <f t="shared" si="75"/>
        <v/>
      </c>
      <c r="AB295" s="50" t="str">
        <f t="shared" si="76"/>
        <v/>
      </c>
      <c r="AC295" s="50" t="str">
        <f>IF($A295="","",IF($F295="assignment",IF($AF295&gt;0,INDEX($AH$9:$AH$294,$AF295),0)*$AE295*$D295,IF($F295="buy_shares",$M295*$AL295,0)))</f>
        <v/>
      </c>
      <c r="AD295" s="50" t="str">
        <f>IF($A295="","",IF($F295="called_away",IF($AF295&gt;0,INDEX($AH$9:$AH$294,$AF295),0)*$AL295,IF($F295="sell_shares",$M295*$AL295,0)))</f>
        <v/>
      </c>
      <c r="AE295" s="51" t="str">
        <f>IF($A295="","",IF(OR($F295="sell_put",$F295="sell_call"),IF(AND($H295&gt;0,$I295&gt;0,$J295&gt;=0),$H295,0),IF(OR($F295="buy_to_close",$F295="expire",$F295="roll",$F295="assignment",$F295="called_away"),IF(AND($AF295&gt;0,$H295&gt;0,IF($F295="assignment",IF($AF295&gt;0,INDEX($AG$9:$AG$294,$AF295),"")="put",TRUE),IF($F295="called_away",IF($AF295&gt;0,INDEX($AG$9:$AG$294,$AF295),"")="call",TRUE)),MIN($H295,IF($AF295&gt;0,MAX(0,INDEX($AI$9:$AI$294,$AF295)-SUMIFS($AE$9:$AE$294,$G$9:$G$294,$G295,$B$9:$B$294,$B295)),0)),0),0)))</f>
        <v/>
      </c>
      <c r="AF295" t="str">
        <f>IF($A295="","",IFERROR(MATCH(LEN($B295)&amp;":"&amp;$B295&amp;$G295,$AY$9:$AY$294,0),0))</f>
        <v/>
      </c>
      <c r="AG295" t="str">
        <f>IF($A295="","",IF($F295="sell_put","put",IF($F295="sell_call","call",IF($F295="roll",IF($AF295&gt;0,IF($AF295&gt;0,INDEX($AG$9:$AG$294,$AF295),""),""),IF($AF295&gt;0,IF($AF295&gt;0,INDEX($AG$9:$AG$294,$AF295),""),"")))))</f>
        <v/>
      </c>
      <c r="AH295" t="str">
        <f>IF($A295="","",IF(OR($F295="sell_put",$F295="sell_call",$F295="roll"),$I295,IF($AF295&gt;0,IF($AF295&gt;0,INDEX($AH$9:$AH$294,$AF295),0),0)))</f>
        <v/>
      </c>
      <c r="AI295" s="51" t="str">
        <f t="shared" si="77"/>
        <v/>
      </c>
      <c r="AJ295" s="51" t="str">
        <f>IF($A295="","",IFERROR(LOOKUP(2,1/($B$9:$B$294=$B295),$AM$9:$AM294),0))</f>
        <v/>
      </c>
      <c r="AK295" t="str">
        <f>IF($A295="","",IFERROR(LOOKUP(2,1/($B$9:$B$294=$B295),$AN$9:$AN294),0))</f>
        <v/>
      </c>
      <c r="AL295" s="51" t="str">
        <f t="shared" si="78"/>
        <v/>
      </c>
      <c r="AM295" s="51" t="str">
        <f t="shared" si="79"/>
        <v/>
      </c>
      <c r="AN295" t="str">
        <f t="shared" si="80"/>
        <v/>
      </c>
      <c r="AO295" s="50" t="str">
        <f>IF($A295="","",IFERROR(LOOKUP(2,1/($B$9:$B$294=$B295),$AO$9:$AO294),0)+IF($F295="sell_put",$I295*$AE295*$D295,IF($F295="roll",IF($AG295="put",($I295-IF($AF295&gt;0,INDEX($AH$9:$AH$294,$AF295),0))*$AE295*$D295,0),IF(AND(OR($F295="buy_to_close",$F295="expire",$F295="roll",$F295="assignment",$F295="called_away"),$F295&lt;&gt;"roll",$AG295="put"),-IF($AF295&gt;0,INDEX($AH$9:$AH$294,$AF295),0)*$AE295*$D295,0))))</f>
        <v/>
      </c>
      <c r="AP295" s="51" t="str">
        <f>IF($A295="","",IFERROR(LOOKUP(2,1/($B$9:$B$294=$B295),$AP$9:$AP294),0)+IF($F295="sell_put",$AE295*$D295,IF(AND(OR($F295="buy_to_close",$F295="expire",$F295="roll",$F295="assignment",$F295="called_away"),$F295&lt;&gt;"roll",$AG295="put"),-$AE295*$D295,0)))</f>
        <v/>
      </c>
      <c r="AQ295" s="51" t="str">
        <f>IF($A295="","",IFERROR(LOOKUP(2,1/($B$9:$B$294=$B295),$AQ$9:$AQ294),0)+IF(OR($F295="sell_put",$F295="sell_call"),$AE295,0)-IF(AND(OR($F295="buy_to_close",$F295="expire",$F295="roll",$F295="assignment",$F295="called_away"),$F295&lt;&gt;"roll"),$AE295,0))</f>
        <v/>
      </c>
      <c r="AR295" t="str">
        <f t="shared" si="81"/>
        <v/>
      </c>
      <c r="AS295" s="50" t="str">
        <f t="shared" si="82"/>
        <v/>
      </c>
      <c r="AT295" s="50" t="str">
        <f>IF($A295="","",MAX(IF($T295=IFERROR(LOOKUP(2,1/($B$9:$B$294=$B295),$T$9:$T294),0),IFERROR(LOOKUP(2,1/($B$9:$B$294=$B295),$AT$9:$AT294),0),0),$AS295))</f>
        <v/>
      </c>
      <c r="AU295" t="str">
        <f t="shared" si="83"/>
        <v/>
      </c>
      <c r="AV295" s="51">
        <f>IF($AU295="",0,IF(AND(IFERROR(LOOKUP(2,1/($B$9:$B$294=$B295),$AR$9:$AR294),1),NOT(AND(OR($F295="dividend",$F295="fee"),IFERROR(LOOKUP(2,1/($B$9:$B$294=$B295),$T$9:$T294),0)&gt;0))),ROW(),0))</f>
        <v>0</v>
      </c>
      <c r="AW295">
        <f>IF($A295="",0,IF($AV295&gt;0,MAX($AW$9:$AW$294)+1,MAX($AW$9:$AW$294)))</f>
        <v>0</v>
      </c>
      <c r="AX295">
        <f>IF($AU295="",0,IF(AND($AR295,OR(NOT(IFERROR(LOOKUP(2,1/($B$9:$B$294=$B295),$AR$9:$AR294),1)),IFERROR(LOOKUP(2,1/($B$9:$B$294=$B295),$T$9:$T294),0)=0)),ROW(),0))</f>
        <v>0</v>
      </c>
      <c r="AY295" t="str">
        <f t="shared" si="84"/>
        <v/>
      </c>
    </row>
    <row r="296" spans="1:51" ht="15" x14ac:dyDescent="0.25">
      <c r="A296" s="52" t="str">
        <f>IF(Trades!$A296="","",Trades!O296)</f>
        <v/>
      </c>
      <c r="B296" s="52" t="str">
        <f>IF(Trades!$A296="","",Trades!B296)</f>
        <v/>
      </c>
      <c r="C296" s="52" t="str">
        <f>IF(Trades!$A296="","",Trades!C296)</f>
        <v/>
      </c>
      <c r="D296" s="53" t="str">
        <f>IF(Trades!$A296="","",IF(Trades!$L296&gt;0,Trades!$L296,Trades!$C$6))</f>
        <v/>
      </c>
      <c r="E296" s="54" t="str">
        <f>IF(Trades!$A296="","",Trades!A296)</f>
        <v/>
      </c>
      <c r="F296" s="52" t="str">
        <f>IF(Trades!$A296="","",IFERROR(INDEX(Trades!$V$2:$V$14,MATCH(Trades!$E296,Trades!$U$2:$U$14,0)),""))</f>
        <v/>
      </c>
      <c r="G296" s="52" t="str">
        <f>IF(Trades!$A296="","",Trades!N296)</f>
        <v/>
      </c>
      <c r="H296" s="53" t="str">
        <f>IF(Trades!$A296="","",Trades!F296)</f>
        <v/>
      </c>
      <c r="I296" s="55" t="str">
        <f>IF(Trades!$A296="","",Trades!G296)</f>
        <v/>
      </c>
      <c r="J296" s="55" t="str">
        <f>IF(Trades!$A296="","",Trades!I296)</f>
        <v/>
      </c>
      <c r="K296" s="55" t="str">
        <f>IF(Trades!$A296="","",Trades!Q296)</f>
        <v/>
      </c>
      <c r="L296" s="53" t="str">
        <f>IF(Trades!$A296="","",Trades!F296)</f>
        <v/>
      </c>
      <c r="M296" s="55" t="str">
        <f>IF(Trades!$A296="","",Trades!M296)</f>
        <v/>
      </c>
      <c r="N296" s="55" t="str">
        <f>IF(Trades!$A296="","",Trades!R296)</f>
        <v/>
      </c>
      <c r="O296" s="55" t="str">
        <f>IF(Trades!$A296="","",Trades!J296)</f>
        <v/>
      </c>
      <c r="P296" s="54" t="str">
        <f>IF(Trades!$A296="","",Trades!H296)</f>
        <v/>
      </c>
      <c r="Q296" s="52" t="str">
        <f>IF(Trades!$A296="","",Trades!P296)</f>
        <v/>
      </c>
      <c r="R296" s="56" t="str">
        <f t="shared" si="68"/>
        <v/>
      </c>
      <c r="S296" s="56" t="str">
        <f t="shared" si="69"/>
        <v/>
      </c>
      <c r="T296" s="57" t="str">
        <f>IF(OR($A296="",$B296=""),"",IF(AND(IFERROR(LOOKUP(2,1/($B$9:$B$295=$B296),$AR$9:$AR295),1),NOT(AND(OR($F296="dividend",$F296="fee"),IFERROR(LOOKUP(2,1/($B$9:$B$295=$B296),$T$9:$T295),0)&gt;0))),IFERROR(LOOKUP(2,1/($B$9:$B$295=$B296),$T$9:$T295),0)+1,IFERROR(LOOKUP(2,1/($B$9:$B$295=$B296),$T$9:$T295),0)))</f>
        <v/>
      </c>
      <c r="U296" s="58" t="str">
        <f t="shared" si="70"/>
        <v/>
      </c>
      <c r="V296" s="58" t="str">
        <f>IF($A296="","",IF(OR($B296="",$C296="",$D296="",$E296="",$F296=""),"Missing required field",IF(COUNTIFS($A$9:$A296,$A296,$B$9:$B296,$B296)&gt;1,"Duplicate event ID",IF(AND($E296&lt;&gt;IFERROR(LOOKUP(2,1/($B$9:$B$295=$B296),$E$9:$E295),0),IFERROR(LOOKUP(2,1/($B$9:$B$295=$B296),$E$9:$E295),0)&gt;$E296),"Date out of order",IF(AND(OR($F296="buy_to_close",$F296="expire",$F296="roll",$F296="assignment",$F296="called_away"),$AF296=0),"Unknown lot",IF(OR(AND($F296="assignment",$AF296&gt;0,IF($AF296&gt;0,INDEX($AG$9:$AG$295,$AF296),"")&lt;&gt;"put"),AND($F296="called_away",$AF296&gt;0,IF($AF296&gt;0,INDEX($AG$9:$AG$295,$AF296),"")&lt;&gt;"call")),"Wrong option leg",IF(OR(AND(OR($F296="sell_put",$F296="sell_call"),OR($H296&lt;=0,$I296&lt;=0,$J296&lt;0)),AND(OR($F296="buy_to_close",$F296="expire",$F296="assignment",$F296="called_away"),OR($H296&lt;=0,$J296&lt;0)),AND($F296="roll",OR($H296&lt;=0,$I296&lt;=0,$J296&lt;0,$K296&lt;0)),AND(OR($F296="buy_shares",$F296="sell_shares"),OR($L296&lt;=0,$M296&lt;0)),AND(OR($F296="dividend",$F296="fee"),$N296&lt;0)),"Invalid value",IF(AND(OR($F296="sell_shares",$F296="called_away"),$AL296&lt;IF($F296="called_away",$AE296*$D296,$L296)),"Insufficient shares (capped)",IF(AND(OR($F296="buy_to_close",$F296="expire",$F296="roll",$F296="assignment",$F296="called_away"),$AF296&gt;0,$H296&gt;IF($AF296&gt;0,MAX(0,INDEX($AI$9:$AI$295,$AF296)-SUMIFS($AE$9:$AE$295,$G$9:$G$295,$G296,$B$9:$B$295,$B296)),0)),"Close quantity capped","OK")))))))))</f>
        <v/>
      </c>
      <c r="W296" s="59" t="str">
        <f t="shared" si="71"/>
        <v/>
      </c>
      <c r="X296" s="60" t="str">
        <f t="shared" si="72"/>
        <v/>
      </c>
      <c r="Y296" s="50" t="str">
        <f t="shared" si="73"/>
        <v/>
      </c>
      <c r="Z296" s="50" t="str">
        <f t="shared" si="74"/>
        <v/>
      </c>
      <c r="AA296" s="50" t="str">
        <f t="shared" si="75"/>
        <v/>
      </c>
      <c r="AB296" s="50" t="str">
        <f t="shared" si="76"/>
        <v/>
      </c>
      <c r="AC296" s="50" t="str">
        <f>IF($A296="","",IF($F296="assignment",IF($AF296&gt;0,INDEX($AH$9:$AH$295,$AF296),0)*$AE296*$D296,IF($F296="buy_shares",$M296*$AL296,0)))</f>
        <v/>
      </c>
      <c r="AD296" s="50" t="str">
        <f>IF($A296="","",IF($F296="called_away",IF($AF296&gt;0,INDEX($AH$9:$AH$295,$AF296),0)*$AL296,IF($F296="sell_shares",$M296*$AL296,0)))</f>
        <v/>
      </c>
      <c r="AE296" s="51" t="str">
        <f>IF($A296="","",IF(OR($F296="sell_put",$F296="sell_call"),IF(AND($H296&gt;0,$I296&gt;0,$J296&gt;=0),$H296,0),IF(OR($F296="buy_to_close",$F296="expire",$F296="roll",$F296="assignment",$F296="called_away"),IF(AND($AF296&gt;0,$H296&gt;0,IF($F296="assignment",IF($AF296&gt;0,INDEX($AG$9:$AG$295,$AF296),"")="put",TRUE),IF($F296="called_away",IF($AF296&gt;0,INDEX($AG$9:$AG$295,$AF296),"")="call",TRUE)),MIN($H296,IF($AF296&gt;0,MAX(0,INDEX($AI$9:$AI$295,$AF296)-SUMIFS($AE$9:$AE$295,$G$9:$G$295,$G296,$B$9:$B$295,$B296)),0)),0),0)))</f>
        <v/>
      </c>
      <c r="AF296" t="str">
        <f>IF($A296="","",IFERROR(MATCH(LEN($B296)&amp;":"&amp;$B296&amp;$G296,$AY$9:$AY$295,0),0))</f>
        <v/>
      </c>
      <c r="AG296" t="str">
        <f>IF($A296="","",IF($F296="sell_put","put",IF($F296="sell_call","call",IF($F296="roll",IF($AF296&gt;0,IF($AF296&gt;0,INDEX($AG$9:$AG$295,$AF296),""),""),IF($AF296&gt;0,IF($AF296&gt;0,INDEX($AG$9:$AG$295,$AF296),""),"")))))</f>
        <v/>
      </c>
      <c r="AH296" t="str">
        <f>IF($A296="","",IF(OR($F296="sell_put",$F296="sell_call",$F296="roll"),$I296,IF($AF296&gt;0,IF($AF296&gt;0,INDEX($AH$9:$AH$295,$AF296),0),0)))</f>
        <v/>
      </c>
      <c r="AI296" s="51" t="str">
        <f t="shared" si="77"/>
        <v/>
      </c>
      <c r="AJ296" s="51" t="str">
        <f>IF($A296="","",IFERROR(LOOKUP(2,1/($B$9:$B$295=$B296),$AM$9:$AM295),0))</f>
        <v/>
      </c>
      <c r="AK296" t="str">
        <f>IF($A296="","",IFERROR(LOOKUP(2,1/($B$9:$B$295=$B296),$AN$9:$AN295),0))</f>
        <v/>
      </c>
      <c r="AL296" s="51" t="str">
        <f t="shared" si="78"/>
        <v/>
      </c>
      <c r="AM296" s="51" t="str">
        <f t="shared" si="79"/>
        <v/>
      </c>
      <c r="AN296" t="str">
        <f t="shared" si="80"/>
        <v/>
      </c>
      <c r="AO296" s="50" t="str">
        <f>IF($A296="","",IFERROR(LOOKUP(2,1/($B$9:$B$295=$B296),$AO$9:$AO295),0)+IF($F296="sell_put",$I296*$AE296*$D296,IF($F296="roll",IF($AG296="put",($I296-IF($AF296&gt;0,INDEX($AH$9:$AH$295,$AF296),0))*$AE296*$D296,0),IF(AND(OR($F296="buy_to_close",$F296="expire",$F296="roll",$F296="assignment",$F296="called_away"),$F296&lt;&gt;"roll",$AG296="put"),-IF($AF296&gt;0,INDEX($AH$9:$AH$295,$AF296),0)*$AE296*$D296,0))))</f>
        <v/>
      </c>
      <c r="AP296" s="51" t="str">
        <f>IF($A296="","",IFERROR(LOOKUP(2,1/($B$9:$B$295=$B296),$AP$9:$AP295),0)+IF($F296="sell_put",$AE296*$D296,IF(AND(OR($F296="buy_to_close",$F296="expire",$F296="roll",$F296="assignment",$F296="called_away"),$F296&lt;&gt;"roll",$AG296="put"),-$AE296*$D296,0)))</f>
        <v/>
      </c>
      <c r="AQ296" s="51" t="str">
        <f>IF($A296="","",IFERROR(LOOKUP(2,1/($B$9:$B$295=$B296),$AQ$9:$AQ295),0)+IF(OR($F296="sell_put",$F296="sell_call"),$AE296,0)-IF(AND(OR($F296="buy_to_close",$F296="expire",$F296="roll",$F296="assignment",$F296="called_away"),$F296&lt;&gt;"roll"),$AE296,0))</f>
        <v/>
      </c>
      <c r="AR296" t="str">
        <f t="shared" si="81"/>
        <v/>
      </c>
      <c r="AS296" s="50" t="str">
        <f t="shared" si="82"/>
        <v/>
      </c>
      <c r="AT296" s="50" t="str">
        <f>IF($A296="","",MAX(IF($T296=IFERROR(LOOKUP(2,1/($B$9:$B$295=$B296),$T$9:$T295),0),IFERROR(LOOKUP(2,1/($B$9:$B$295=$B296),$AT$9:$AT295),0),0),$AS296))</f>
        <v/>
      </c>
      <c r="AU296" t="str">
        <f t="shared" si="83"/>
        <v/>
      </c>
      <c r="AV296" s="51">
        <f>IF($AU296="",0,IF(AND(IFERROR(LOOKUP(2,1/($B$9:$B$295=$B296),$AR$9:$AR295),1),NOT(AND(OR($F296="dividend",$F296="fee"),IFERROR(LOOKUP(2,1/($B$9:$B$295=$B296),$T$9:$T295),0)&gt;0))),ROW(),0))</f>
        <v>0</v>
      </c>
      <c r="AW296">
        <f>IF($A296="",0,IF($AV296&gt;0,MAX($AW$9:$AW$295)+1,MAX($AW$9:$AW$295)))</f>
        <v>0</v>
      </c>
      <c r="AX296">
        <f>IF($AU296="",0,IF(AND($AR296,OR(NOT(IFERROR(LOOKUP(2,1/($B$9:$B$295=$B296),$AR$9:$AR295),1)),IFERROR(LOOKUP(2,1/($B$9:$B$295=$B296),$T$9:$T295),0)=0)),ROW(),0))</f>
        <v>0</v>
      </c>
      <c r="AY296" t="str">
        <f t="shared" si="84"/>
        <v/>
      </c>
    </row>
    <row r="297" spans="1:51" ht="15" x14ac:dyDescent="0.25">
      <c r="A297" s="41" t="str">
        <f>IF(Trades!$A297="","",Trades!O297)</f>
        <v/>
      </c>
      <c r="B297" s="41" t="str">
        <f>IF(Trades!$A297="","",Trades!B297)</f>
        <v/>
      </c>
      <c r="C297" s="41" t="str">
        <f>IF(Trades!$A297="","",Trades!C297)</f>
        <v/>
      </c>
      <c r="D297" s="42" t="str">
        <f>IF(Trades!$A297="","",IF(Trades!$L297&gt;0,Trades!$L297,Trades!$C$6))</f>
        <v/>
      </c>
      <c r="E297" s="43" t="str">
        <f>IF(Trades!$A297="","",Trades!A297)</f>
        <v/>
      </c>
      <c r="F297" s="41" t="str">
        <f>IF(Trades!$A297="","",IFERROR(INDEX(Trades!$V$2:$V$14,MATCH(Trades!$E297,Trades!$U$2:$U$14,0)),""))</f>
        <v/>
      </c>
      <c r="G297" s="41" t="str">
        <f>IF(Trades!$A297="","",Trades!N297)</f>
        <v/>
      </c>
      <c r="H297" s="42" t="str">
        <f>IF(Trades!$A297="","",Trades!F297)</f>
        <v/>
      </c>
      <c r="I297" s="44" t="str">
        <f>IF(Trades!$A297="","",Trades!G297)</f>
        <v/>
      </c>
      <c r="J297" s="44" t="str">
        <f>IF(Trades!$A297="","",Trades!I297)</f>
        <v/>
      </c>
      <c r="K297" s="44" t="str">
        <f>IF(Trades!$A297="","",Trades!Q297)</f>
        <v/>
      </c>
      <c r="L297" s="42" t="str">
        <f>IF(Trades!$A297="","",Trades!F297)</f>
        <v/>
      </c>
      <c r="M297" s="44" t="str">
        <f>IF(Trades!$A297="","",Trades!M297)</f>
        <v/>
      </c>
      <c r="N297" s="44" t="str">
        <f>IF(Trades!$A297="","",Trades!R297)</f>
        <v/>
      </c>
      <c r="O297" s="44" t="str">
        <f>IF(Trades!$A297="","",Trades!J297)</f>
        <v/>
      </c>
      <c r="P297" s="43" t="str">
        <f>IF(Trades!$A297="","",Trades!H297)</f>
        <v/>
      </c>
      <c r="Q297" s="41" t="str">
        <f>IF(Trades!$A297="","",Trades!P297)</f>
        <v/>
      </c>
      <c r="R297" s="45" t="str">
        <f t="shared" si="68"/>
        <v/>
      </c>
      <c r="S297" s="45" t="str">
        <f t="shared" si="69"/>
        <v/>
      </c>
      <c r="T297" s="46" t="str">
        <f>IF(OR($A297="",$B297=""),"",IF(AND(IFERROR(LOOKUP(2,1/($B$9:$B$296=$B297),$AR$9:$AR296),1),NOT(AND(OR($F297="dividend",$F297="fee"),IFERROR(LOOKUP(2,1/($B$9:$B$296=$B297),$T$9:$T296),0)&gt;0))),IFERROR(LOOKUP(2,1/($B$9:$B$296=$B297),$T$9:$T296),0)+1,IFERROR(LOOKUP(2,1/($B$9:$B$296=$B297),$T$9:$T296),0)))</f>
        <v/>
      </c>
      <c r="U297" s="47" t="str">
        <f t="shared" si="70"/>
        <v/>
      </c>
      <c r="V297" s="47" t="str">
        <f>IF($A297="","",IF(OR($B297="",$C297="",$D297="",$E297="",$F297=""),"Missing required field",IF(COUNTIFS($A$9:$A297,$A297,$B$9:$B297,$B297)&gt;1,"Duplicate event ID",IF(AND($E297&lt;&gt;IFERROR(LOOKUP(2,1/($B$9:$B$296=$B297),$E$9:$E296),0),IFERROR(LOOKUP(2,1/($B$9:$B$296=$B297),$E$9:$E296),0)&gt;$E297),"Date out of order",IF(AND(OR($F297="buy_to_close",$F297="expire",$F297="roll",$F297="assignment",$F297="called_away"),$AF297=0),"Unknown lot",IF(OR(AND($F297="assignment",$AF297&gt;0,IF($AF297&gt;0,INDEX($AG$9:$AG$296,$AF297),"")&lt;&gt;"put"),AND($F297="called_away",$AF297&gt;0,IF($AF297&gt;0,INDEX($AG$9:$AG$296,$AF297),"")&lt;&gt;"call")),"Wrong option leg",IF(OR(AND(OR($F297="sell_put",$F297="sell_call"),OR($H297&lt;=0,$I297&lt;=0,$J297&lt;0)),AND(OR($F297="buy_to_close",$F297="expire",$F297="assignment",$F297="called_away"),OR($H297&lt;=0,$J297&lt;0)),AND($F297="roll",OR($H297&lt;=0,$I297&lt;=0,$J297&lt;0,$K297&lt;0)),AND(OR($F297="buy_shares",$F297="sell_shares"),OR($L297&lt;=0,$M297&lt;0)),AND(OR($F297="dividend",$F297="fee"),$N297&lt;0)),"Invalid value",IF(AND(OR($F297="sell_shares",$F297="called_away"),$AL297&lt;IF($F297="called_away",$AE297*$D297,$L297)),"Insufficient shares (capped)",IF(AND(OR($F297="buy_to_close",$F297="expire",$F297="roll",$F297="assignment",$F297="called_away"),$AF297&gt;0,$H297&gt;IF($AF297&gt;0,MAX(0,INDEX($AI$9:$AI$296,$AF297)-SUMIFS($AE$9:$AE$296,$G$9:$G$296,$G297,$B$9:$B$296,$B297)),0)),"Close quantity capped","OK")))))))))</f>
        <v/>
      </c>
      <c r="W297" s="48" t="str">
        <f t="shared" si="71"/>
        <v/>
      </c>
      <c r="X297" s="49" t="str">
        <f t="shared" si="72"/>
        <v/>
      </c>
      <c r="Y297" s="50" t="str">
        <f t="shared" si="73"/>
        <v/>
      </c>
      <c r="Z297" s="50" t="str">
        <f t="shared" si="74"/>
        <v/>
      </c>
      <c r="AA297" s="50" t="str">
        <f t="shared" si="75"/>
        <v/>
      </c>
      <c r="AB297" s="50" t="str">
        <f t="shared" si="76"/>
        <v/>
      </c>
      <c r="AC297" s="50" t="str">
        <f>IF($A297="","",IF($F297="assignment",IF($AF297&gt;0,INDEX($AH$9:$AH$296,$AF297),0)*$AE297*$D297,IF($F297="buy_shares",$M297*$AL297,0)))</f>
        <v/>
      </c>
      <c r="AD297" s="50" t="str">
        <f>IF($A297="","",IF($F297="called_away",IF($AF297&gt;0,INDEX($AH$9:$AH$296,$AF297),0)*$AL297,IF($F297="sell_shares",$M297*$AL297,0)))</f>
        <v/>
      </c>
      <c r="AE297" s="51" t="str">
        <f>IF($A297="","",IF(OR($F297="sell_put",$F297="sell_call"),IF(AND($H297&gt;0,$I297&gt;0,$J297&gt;=0),$H297,0),IF(OR($F297="buy_to_close",$F297="expire",$F297="roll",$F297="assignment",$F297="called_away"),IF(AND($AF297&gt;0,$H297&gt;0,IF($F297="assignment",IF($AF297&gt;0,INDEX($AG$9:$AG$296,$AF297),"")="put",TRUE),IF($F297="called_away",IF($AF297&gt;0,INDEX($AG$9:$AG$296,$AF297),"")="call",TRUE)),MIN($H297,IF($AF297&gt;0,MAX(0,INDEX($AI$9:$AI$296,$AF297)-SUMIFS($AE$9:$AE$296,$G$9:$G$296,$G297,$B$9:$B$296,$B297)),0)),0),0)))</f>
        <v/>
      </c>
      <c r="AF297" t="str">
        <f>IF($A297="","",IFERROR(MATCH(LEN($B297)&amp;":"&amp;$B297&amp;$G297,$AY$9:$AY$296,0),0))</f>
        <v/>
      </c>
      <c r="AG297" t="str">
        <f>IF($A297="","",IF($F297="sell_put","put",IF($F297="sell_call","call",IF($F297="roll",IF($AF297&gt;0,IF($AF297&gt;0,INDEX($AG$9:$AG$296,$AF297),""),""),IF($AF297&gt;0,IF($AF297&gt;0,INDEX($AG$9:$AG$296,$AF297),""),"")))))</f>
        <v/>
      </c>
      <c r="AH297" t="str">
        <f>IF($A297="","",IF(OR($F297="sell_put",$F297="sell_call",$F297="roll"),$I297,IF($AF297&gt;0,IF($AF297&gt;0,INDEX($AH$9:$AH$296,$AF297),0),0)))</f>
        <v/>
      </c>
      <c r="AI297" s="51" t="str">
        <f t="shared" si="77"/>
        <v/>
      </c>
      <c r="AJ297" s="51" t="str">
        <f>IF($A297="","",IFERROR(LOOKUP(2,1/($B$9:$B$296=$B297),$AM$9:$AM296),0))</f>
        <v/>
      </c>
      <c r="AK297" t="str">
        <f>IF($A297="","",IFERROR(LOOKUP(2,1/($B$9:$B$296=$B297),$AN$9:$AN296),0))</f>
        <v/>
      </c>
      <c r="AL297" s="51" t="str">
        <f t="shared" si="78"/>
        <v/>
      </c>
      <c r="AM297" s="51" t="str">
        <f t="shared" si="79"/>
        <v/>
      </c>
      <c r="AN297" t="str">
        <f t="shared" si="80"/>
        <v/>
      </c>
      <c r="AO297" s="50" t="str">
        <f>IF($A297="","",IFERROR(LOOKUP(2,1/($B$9:$B$296=$B297),$AO$9:$AO296),0)+IF($F297="sell_put",$I297*$AE297*$D297,IF($F297="roll",IF($AG297="put",($I297-IF($AF297&gt;0,INDEX($AH$9:$AH$296,$AF297),0))*$AE297*$D297,0),IF(AND(OR($F297="buy_to_close",$F297="expire",$F297="roll",$F297="assignment",$F297="called_away"),$F297&lt;&gt;"roll",$AG297="put"),-IF($AF297&gt;0,INDEX($AH$9:$AH$296,$AF297),0)*$AE297*$D297,0))))</f>
        <v/>
      </c>
      <c r="AP297" s="51" t="str">
        <f>IF($A297="","",IFERROR(LOOKUP(2,1/($B$9:$B$296=$B297),$AP$9:$AP296),0)+IF($F297="sell_put",$AE297*$D297,IF(AND(OR($F297="buy_to_close",$F297="expire",$F297="roll",$F297="assignment",$F297="called_away"),$F297&lt;&gt;"roll",$AG297="put"),-$AE297*$D297,0)))</f>
        <v/>
      </c>
      <c r="AQ297" s="51" t="str">
        <f>IF($A297="","",IFERROR(LOOKUP(2,1/($B$9:$B$296=$B297),$AQ$9:$AQ296),0)+IF(OR($F297="sell_put",$F297="sell_call"),$AE297,0)-IF(AND(OR($F297="buy_to_close",$F297="expire",$F297="roll",$F297="assignment",$F297="called_away"),$F297&lt;&gt;"roll"),$AE297,0))</f>
        <v/>
      </c>
      <c r="AR297" t="str">
        <f t="shared" si="81"/>
        <v/>
      </c>
      <c r="AS297" s="50" t="str">
        <f t="shared" si="82"/>
        <v/>
      </c>
      <c r="AT297" s="50" t="str">
        <f>IF($A297="","",MAX(IF($T297=IFERROR(LOOKUP(2,1/($B$9:$B$296=$B297),$T$9:$T296),0),IFERROR(LOOKUP(2,1/($B$9:$B$296=$B297),$AT$9:$AT296),0),0),$AS297))</f>
        <v/>
      </c>
      <c r="AU297" t="str">
        <f t="shared" si="83"/>
        <v/>
      </c>
      <c r="AV297" s="51">
        <f>IF($AU297="",0,IF(AND(IFERROR(LOOKUP(2,1/($B$9:$B$296=$B297),$AR$9:$AR296),1),NOT(AND(OR($F297="dividend",$F297="fee"),IFERROR(LOOKUP(2,1/($B$9:$B$296=$B297),$T$9:$T296),0)&gt;0))),ROW(),0))</f>
        <v>0</v>
      </c>
      <c r="AW297">
        <f>IF($A297="",0,IF($AV297&gt;0,MAX($AW$9:$AW$296)+1,MAX($AW$9:$AW$296)))</f>
        <v>0</v>
      </c>
      <c r="AX297">
        <f>IF($AU297="",0,IF(AND($AR297,OR(NOT(IFERROR(LOOKUP(2,1/($B$9:$B$296=$B297),$AR$9:$AR296),1)),IFERROR(LOOKUP(2,1/($B$9:$B$296=$B297),$T$9:$T296),0)=0)),ROW(),0))</f>
        <v>0</v>
      </c>
      <c r="AY297" t="str">
        <f t="shared" si="84"/>
        <v/>
      </c>
    </row>
    <row r="298" spans="1:51" ht="15" x14ac:dyDescent="0.25">
      <c r="A298" s="52" t="str">
        <f>IF(Trades!$A298="","",Trades!O298)</f>
        <v/>
      </c>
      <c r="B298" s="52" t="str">
        <f>IF(Trades!$A298="","",Trades!B298)</f>
        <v/>
      </c>
      <c r="C298" s="52" t="str">
        <f>IF(Trades!$A298="","",Trades!C298)</f>
        <v/>
      </c>
      <c r="D298" s="53" t="str">
        <f>IF(Trades!$A298="","",IF(Trades!$L298&gt;0,Trades!$L298,Trades!$C$6))</f>
        <v/>
      </c>
      <c r="E298" s="54" t="str">
        <f>IF(Trades!$A298="","",Trades!A298)</f>
        <v/>
      </c>
      <c r="F298" s="52" t="str">
        <f>IF(Trades!$A298="","",IFERROR(INDEX(Trades!$V$2:$V$14,MATCH(Trades!$E298,Trades!$U$2:$U$14,0)),""))</f>
        <v/>
      </c>
      <c r="G298" s="52" t="str">
        <f>IF(Trades!$A298="","",Trades!N298)</f>
        <v/>
      </c>
      <c r="H298" s="53" t="str">
        <f>IF(Trades!$A298="","",Trades!F298)</f>
        <v/>
      </c>
      <c r="I298" s="55" t="str">
        <f>IF(Trades!$A298="","",Trades!G298)</f>
        <v/>
      </c>
      <c r="J298" s="55" t="str">
        <f>IF(Trades!$A298="","",Trades!I298)</f>
        <v/>
      </c>
      <c r="K298" s="55" t="str">
        <f>IF(Trades!$A298="","",Trades!Q298)</f>
        <v/>
      </c>
      <c r="L298" s="53" t="str">
        <f>IF(Trades!$A298="","",Trades!F298)</f>
        <v/>
      </c>
      <c r="M298" s="55" t="str">
        <f>IF(Trades!$A298="","",Trades!M298)</f>
        <v/>
      </c>
      <c r="N298" s="55" t="str">
        <f>IF(Trades!$A298="","",Trades!R298)</f>
        <v/>
      </c>
      <c r="O298" s="55" t="str">
        <f>IF(Trades!$A298="","",Trades!J298)</f>
        <v/>
      </c>
      <c r="P298" s="54" t="str">
        <f>IF(Trades!$A298="","",Trades!H298)</f>
        <v/>
      </c>
      <c r="Q298" s="52" t="str">
        <f>IF(Trades!$A298="","",Trades!P298)</f>
        <v/>
      </c>
      <c r="R298" s="56" t="str">
        <f t="shared" si="68"/>
        <v/>
      </c>
      <c r="S298" s="56" t="str">
        <f t="shared" si="69"/>
        <v/>
      </c>
      <c r="T298" s="57" t="str">
        <f>IF(OR($A298="",$B298=""),"",IF(AND(IFERROR(LOOKUP(2,1/($B$9:$B$297=$B298),$AR$9:$AR297),1),NOT(AND(OR($F298="dividend",$F298="fee"),IFERROR(LOOKUP(2,1/($B$9:$B$297=$B298),$T$9:$T297),0)&gt;0))),IFERROR(LOOKUP(2,1/($B$9:$B$297=$B298),$T$9:$T297),0)+1,IFERROR(LOOKUP(2,1/($B$9:$B$297=$B298),$T$9:$T297),0)))</f>
        <v/>
      </c>
      <c r="U298" s="58" t="str">
        <f t="shared" si="70"/>
        <v/>
      </c>
      <c r="V298" s="58" t="str">
        <f>IF($A298="","",IF(OR($B298="",$C298="",$D298="",$E298="",$F298=""),"Missing required field",IF(COUNTIFS($A$9:$A298,$A298,$B$9:$B298,$B298)&gt;1,"Duplicate event ID",IF(AND($E298&lt;&gt;IFERROR(LOOKUP(2,1/($B$9:$B$297=$B298),$E$9:$E297),0),IFERROR(LOOKUP(2,1/($B$9:$B$297=$B298),$E$9:$E297),0)&gt;$E298),"Date out of order",IF(AND(OR($F298="buy_to_close",$F298="expire",$F298="roll",$F298="assignment",$F298="called_away"),$AF298=0),"Unknown lot",IF(OR(AND($F298="assignment",$AF298&gt;0,IF($AF298&gt;0,INDEX($AG$9:$AG$297,$AF298),"")&lt;&gt;"put"),AND($F298="called_away",$AF298&gt;0,IF($AF298&gt;0,INDEX($AG$9:$AG$297,$AF298),"")&lt;&gt;"call")),"Wrong option leg",IF(OR(AND(OR($F298="sell_put",$F298="sell_call"),OR($H298&lt;=0,$I298&lt;=0,$J298&lt;0)),AND(OR($F298="buy_to_close",$F298="expire",$F298="assignment",$F298="called_away"),OR($H298&lt;=0,$J298&lt;0)),AND($F298="roll",OR($H298&lt;=0,$I298&lt;=0,$J298&lt;0,$K298&lt;0)),AND(OR($F298="buy_shares",$F298="sell_shares"),OR($L298&lt;=0,$M298&lt;0)),AND(OR($F298="dividend",$F298="fee"),$N298&lt;0)),"Invalid value",IF(AND(OR($F298="sell_shares",$F298="called_away"),$AL298&lt;IF($F298="called_away",$AE298*$D298,$L298)),"Insufficient shares (capped)",IF(AND(OR($F298="buy_to_close",$F298="expire",$F298="roll",$F298="assignment",$F298="called_away"),$AF298&gt;0,$H298&gt;IF($AF298&gt;0,MAX(0,INDEX($AI$9:$AI$297,$AF298)-SUMIFS($AE$9:$AE$297,$G$9:$G$297,$G298,$B$9:$B$297,$B298)),0)),"Close quantity capped","OK")))))))))</f>
        <v/>
      </c>
      <c r="W298" s="59" t="str">
        <f t="shared" si="71"/>
        <v/>
      </c>
      <c r="X298" s="60" t="str">
        <f t="shared" si="72"/>
        <v/>
      </c>
      <c r="Y298" s="50" t="str">
        <f t="shared" si="73"/>
        <v/>
      </c>
      <c r="Z298" s="50" t="str">
        <f t="shared" si="74"/>
        <v/>
      </c>
      <c r="AA298" s="50" t="str">
        <f t="shared" si="75"/>
        <v/>
      </c>
      <c r="AB298" s="50" t="str">
        <f t="shared" si="76"/>
        <v/>
      </c>
      <c r="AC298" s="50" t="str">
        <f>IF($A298="","",IF($F298="assignment",IF($AF298&gt;0,INDEX($AH$9:$AH$297,$AF298),0)*$AE298*$D298,IF($F298="buy_shares",$M298*$AL298,0)))</f>
        <v/>
      </c>
      <c r="AD298" s="50" t="str">
        <f>IF($A298="","",IF($F298="called_away",IF($AF298&gt;0,INDEX($AH$9:$AH$297,$AF298),0)*$AL298,IF($F298="sell_shares",$M298*$AL298,0)))</f>
        <v/>
      </c>
      <c r="AE298" s="51" t="str">
        <f>IF($A298="","",IF(OR($F298="sell_put",$F298="sell_call"),IF(AND($H298&gt;0,$I298&gt;0,$J298&gt;=0),$H298,0),IF(OR($F298="buy_to_close",$F298="expire",$F298="roll",$F298="assignment",$F298="called_away"),IF(AND($AF298&gt;0,$H298&gt;0,IF($F298="assignment",IF($AF298&gt;0,INDEX($AG$9:$AG$297,$AF298),"")="put",TRUE),IF($F298="called_away",IF($AF298&gt;0,INDEX($AG$9:$AG$297,$AF298),"")="call",TRUE)),MIN($H298,IF($AF298&gt;0,MAX(0,INDEX($AI$9:$AI$297,$AF298)-SUMIFS($AE$9:$AE$297,$G$9:$G$297,$G298,$B$9:$B$297,$B298)),0)),0),0)))</f>
        <v/>
      </c>
      <c r="AF298" t="str">
        <f>IF($A298="","",IFERROR(MATCH(LEN($B298)&amp;":"&amp;$B298&amp;$G298,$AY$9:$AY$297,0),0))</f>
        <v/>
      </c>
      <c r="AG298" t="str">
        <f>IF($A298="","",IF($F298="sell_put","put",IF($F298="sell_call","call",IF($F298="roll",IF($AF298&gt;0,IF($AF298&gt;0,INDEX($AG$9:$AG$297,$AF298),""),""),IF($AF298&gt;0,IF($AF298&gt;0,INDEX($AG$9:$AG$297,$AF298),""),"")))))</f>
        <v/>
      </c>
      <c r="AH298" t="str">
        <f>IF($A298="","",IF(OR($F298="sell_put",$F298="sell_call",$F298="roll"),$I298,IF($AF298&gt;0,IF($AF298&gt;0,INDEX($AH$9:$AH$297,$AF298),0),0)))</f>
        <v/>
      </c>
      <c r="AI298" s="51" t="str">
        <f t="shared" si="77"/>
        <v/>
      </c>
      <c r="AJ298" s="51" t="str">
        <f>IF($A298="","",IFERROR(LOOKUP(2,1/($B$9:$B$297=$B298),$AM$9:$AM297),0))</f>
        <v/>
      </c>
      <c r="AK298" t="str">
        <f>IF($A298="","",IFERROR(LOOKUP(2,1/($B$9:$B$297=$B298),$AN$9:$AN297),0))</f>
        <v/>
      </c>
      <c r="AL298" s="51" t="str">
        <f t="shared" si="78"/>
        <v/>
      </c>
      <c r="AM298" s="51" t="str">
        <f t="shared" si="79"/>
        <v/>
      </c>
      <c r="AN298" t="str">
        <f t="shared" si="80"/>
        <v/>
      </c>
      <c r="AO298" s="50" t="str">
        <f>IF($A298="","",IFERROR(LOOKUP(2,1/($B$9:$B$297=$B298),$AO$9:$AO297),0)+IF($F298="sell_put",$I298*$AE298*$D298,IF($F298="roll",IF($AG298="put",($I298-IF($AF298&gt;0,INDEX($AH$9:$AH$297,$AF298),0))*$AE298*$D298,0),IF(AND(OR($F298="buy_to_close",$F298="expire",$F298="roll",$F298="assignment",$F298="called_away"),$F298&lt;&gt;"roll",$AG298="put"),-IF($AF298&gt;0,INDEX($AH$9:$AH$297,$AF298),0)*$AE298*$D298,0))))</f>
        <v/>
      </c>
      <c r="AP298" s="51" t="str">
        <f>IF($A298="","",IFERROR(LOOKUP(2,1/($B$9:$B$297=$B298),$AP$9:$AP297),0)+IF($F298="sell_put",$AE298*$D298,IF(AND(OR($F298="buy_to_close",$F298="expire",$F298="roll",$F298="assignment",$F298="called_away"),$F298&lt;&gt;"roll",$AG298="put"),-$AE298*$D298,0)))</f>
        <v/>
      </c>
      <c r="AQ298" s="51" t="str">
        <f>IF($A298="","",IFERROR(LOOKUP(2,1/($B$9:$B$297=$B298),$AQ$9:$AQ297),0)+IF(OR($F298="sell_put",$F298="sell_call"),$AE298,0)-IF(AND(OR($F298="buy_to_close",$F298="expire",$F298="roll",$F298="assignment",$F298="called_away"),$F298&lt;&gt;"roll"),$AE298,0))</f>
        <v/>
      </c>
      <c r="AR298" t="str">
        <f t="shared" si="81"/>
        <v/>
      </c>
      <c r="AS298" s="50" t="str">
        <f t="shared" si="82"/>
        <v/>
      </c>
      <c r="AT298" s="50" t="str">
        <f>IF($A298="","",MAX(IF($T298=IFERROR(LOOKUP(2,1/($B$9:$B$297=$B298),$T$9:$T297),0),IFERROR(LOOKUP(2,1/($B$9:$B$297=$B298),$AT$9:$AT297),0),0),$AS298))</f>
        <v/>
      </c>
      <c r="AU298" t="str">
        <f t="shared" si="83"/>
        <v/>
      </c>
      <c r="AV298" s="51">
        <f>IF($AU298="",0,IF(AND(IFERROR(LOOKUP(2,1/($B$9:$B$297=$B298),$AR$9:$AR297),1),NOT(AND(OR($F298="dividend",$F298="fee"),IFERROR(LOOKUP(2,1/($B$9:$B$297=$B298),$T$9:$T297),0)&gt;0))),ROW(),0))</f>
        <v>0</v>
      </c>
      <c r="AW298">
        <f>IF($A298="",0,IF($AV298&gt;0,MAX($AW$9:$AW$297)+1,MAX($AW$9:$AW$297)))</f>
        <v>0</v>
      </c>
      <c r="AX298">
        <f>IF($AU298="",0,IF(AND($AR298,OR(NOT(IFERROR(LOOKUP(2,1/($B$9:$B$297=$B298),$AR$9:$AR297),1)),IFERROR(LOOKUP(2,1/($B$9:$B$297=$B298),$T$9:$T297),0)=0)),ROW(),0))</f>
        <v>0</v>
      </c>
      <c r="AY298" t="str">
        <f t="shared" si="84"/>
        <v/>
      </c>
    </row>
    <row r="299" spans="1:51" ht="15" x14ac:dyDescent="0.25">
      <c r="A299" s="41" t="str">
        <f>IF(Trades!$A299="","",Trades!O299)</f>
        <v/>
      </c>
      <c r="B299" s="41" t="str">
        <f>IF(Trades!$A299="","",Trades!B299)</f>
        <v/>
      </c>
      <c r="C299" s="41" t="str">
        <f>IF(Trades!$A299="","",Trades!C299)</f>
        <v/>
      </c>
      <c r="D299" s="42" t="str">
        <f>IF(Trades!$A299="","",IF(Trades!$L299&gt;0,Trades!$L299,Trades!$C$6))</f>
        <v/>
      </c>
      <c r="E299" s="43" t="str">
        <f>IF(Trades!$A299="","",Trades!A299)</f>
        <v/>
      </c>
      <c r="F299" s="41" t="str">
        <f>IF(Trades!$A299="","",IFERROR(INDEX(Trades!$V$2:$V$14,MATCH(Trades!$E299,Trades!$U$2:$U$14,0)),""))</f>
        <v/>
      </c>
      <c r="G299" s="41" t="str">
        <f>IF(Trades!$A299="","",Trades!N299)</f>
        <v/>
      </c>
      <c r="H299" s="42" t="str">
        <f>IF(Trades!$A299="","",Trades!F299)</f>
        <v/>
      </c>
      <c r="I299" s="44" t="str">
        <f>IF(Trades!$A299="","",Trades!G299)</f>
        <v/>
      </c>
      <c r="J299" s="44" t="str">
        <f>IF(Trades!$A299="","",Trades!I299)</f>
        <v/>
      </c>
      <c r="K299" s="44" t="str">
        <f>IF(Trades!$A299="","",Trades!Q299)</f>
        <v/>
      </c>
      <c r="L299" s="42" t="str">
        <f>IF(Trades!$A299="","",Trades!F299)</f>
        <v/>
      </c>
      <c r="M299" s="44" t="str">
        <f>IF(Trades!$A299="","",Trades!M299)</f>
        <v/>
      </c>
      <c r="N299" s="44" t="str">
        <f>IF(Trades!$A299="","",Trades!R299)</f>
        <v/>
      </c>
      <c r="O299" s="44" t="str">
        <f>IF(Trades!$A299="","",Trades!J299)</f>
        <v/>
      </c>
      <c r="P299" s="43" t="str">
        <f>IF(Trades!$A299="","",Trades!H299)</f>
        <v/>
      </c>
      <c r="Q299" s="41" t="str">
        <f>IF(Trades!$A299="","",Trades!P299)</f>
        <v/>
      </c>
      <c r="R299" s="45" t="str">
        <f t="shared" si="68"/>
        <v/>
      </c>
      <c r="S299" s="45" t="str">
        <f t="shared" si="69"/>
        <v/>
      </c>
      <c r="T299" s="46" t="str">
        <f>IF(OR($A299="",$B299=""),"",IF(AND(IFERROR(LOOKUP(2,1/($B$9:$B$298=$B299),$AR$9:$AR298),1),NOT(AND(OR($F299="dividend",$F299="fee"),IFERROR(LOOKUP(2,1/($B$9:$B$298=$B299),$T$9:$T298),0)&gt;0))),IFERROR(LOOKUP(2,1/($B$9:$B$298=$B299),$T$9:$T298),0)+1,IFERROR(LOOKUP(2,1/($B$9:$B$298=$B299),$T$9:$T298),0)))</f>
        <v/>
      </c>
      <c r="U299" s="47" t="str">
        <f t="shared" si="70"/>
        <v/>
      </c>
      <c r="V299" s="47" t="str">
        <f>IF($A299="","",IF(OR($B299="",$C299="",$D299="",$E299="",$F299=""),"Missing required field",IF(COUNTIFS($A$9:$A299,$A299,$B$9:$B299,$B299)&gt;1,"Duplicate event ID",IF(AND($E299&lt;&gt;IFERROR(LOOKUP(2,1/($B$9:$B$298=$B299),$E$9:$E298),0),IFERROR(LOOKUP(2,1/($B$9:$B$298=$B299),$E$9:$E298),0)&gt;$E299),"Date out of order",IF(AND(OR($F299="buy_to_close",$F299="expire",$F299="roll",$F299="assignment",$F299="called_away"),$AF299=0),"Unknown lot",IF(OR(AND($F299="assignment",$AF299&gt;0,IF($AF299&gt;0,INDEX($AG$9:$AG$298,$AF299),"")&lt;&gt;"put"),AND($F299="called_away",$AF299&gt;0,IF($AF299&gt;0,INDEX($AG$9:$AG$298,$AF299),"")&lt;&gt;"call")),"Wrong option leg",IF(OR(AND(OR($F299="sell_put",$F299="sell_call"),OR($H299&lt;=0,$I299&lt;=0,$J299&lt;0)),AND(OR($F299="buy_to_close",$F299="expire",$F299="assignment",$F299="called_away"),OR($H299&lt;=0,$J299&lt;0)),AND($F299="roll",OR($H299&lt;=0,$I299&lt;=0,$J299&lt;0,$K299&lt;0)),AND(OR($F299="buy_shares",$F299="sell_shares"),OR($L299&lt;=0,$M299&lt;0)),AND(OR($F299="dividend",$F299="fee"),$N299&lt;0)),"Invalid value",IF(AND(OR($F299="sell_shares",$F299="called_away"),$AL299&lt;IF($F299="called_away",$AE299*$D299,$L299)),"Insufficient shares (capped)",IF(AND(OR($F299="buy_to_close",$F299="expire",$F299="roll",$F299="assignment",$F299="called_away"),$AF299&gt;0,$H299&gt;IF($AF299&gt;0,MAX(0,INDEX($AI$9:$AI$298,$AF299)-SUMIFS($AE$9:$AE$298,$G$9:$G$298,$G299,$B$9:$B$298,$B299)),0)),"Close quantity capped","OK")))))))))</f>
        <v/>
      </c>
      <c r="W299" s="48" t="str">
        <f t="shared" si="71"/>
        <v/>
      </c>
      <c r="X299" s="49" t="str">
        <f t="shared" si="72"/>
        <v/>
      </c>
      <c r="Y299" s="50" t="str">
        <f t="shared" si="73"/>
        <v/>
      </c>
      <c r="Z299" s="50" t="str">
        <f t="shared" si="74"/>
        <v/>
      </c>
      <c r="AA299" s="50" t="str">
        <f t="shared" si="75"/>
        <v/>
      </c>
      <c r="AB299" s="50" t="str">
        <f t="shared" si="76"/>
        <v/>
      </c>
      <c r="AC299" s="50" t="str">
        <f>IF($A299="","",IF($F299="assignment",IF($AF299&gt;0,INDEX($AH$9:$AH$298,$AF299),0)*$AE299*$D299,IF($F299="buy_shares",$M299*$AL299,0)))</f>
        <v/>
      </c>
      <c r="AD299" s="50" t="str">
        <f>IF($A299="","",IF($F299="called_away",IF($AF299&gt;0,INDEX($AH$9:$AH$298,$AF299),0)*$AL299,IF($F299="sell_shares",$M299*$AL299,0)))</f>
        <v/>
      </c>
      <c r="AE299" s="51" t="str">
        <f>IF($A299="","",IF(OR($F299="sell_put",$F299="sell_call"),IF(AND($H299&gt;0,$I299&gt;0,$J299&gt;=0),$H299,0),IF(OR($F299="buy_to_close",$F299="expire",$F299="roll",$F299="assignment",$F299="called_away"),IF(AND($AF299&gt;0,$H299&gt;0,IF($F299="assignment",IF($AF299&gt;0,INDEX($AG$9:$AG$298,$AF299),"")="put",TRUE),IF($F299="called_away",IF($AF299&gt;0,INDEX($AG$9:$AG$298,$AF299),"")="call",TRUE)),MIN($H299,IF($AF299&gt;0,MAX(0,INDEX($AI$9:$AI$298,$AF299)-SUMIFS($AE$9:$AE$298,$G$9:$G$298,$G299,$B$9:$B$298,$B299)),0)),0),0)))</f>
        <v/>
      </c>
      <c r="AF299" t="str">
        <f>IF($A299="","",IFERROR(MATCH(LEN($B299)&amp;":"&amp;$B299&amp;$G299,$AY$9:$AY$298,0),0))</f>
        <v/>
      </c>
      <c r="AG299" t="str">
        <f>IF($A299="","",IF($F299="sell_put","put",IF($F299="sell_call","call",IF($F299="roll",IF($AF299&gt;0,IF($AF299&gt;0,INDEX($AG$9:$AG$298,$AF299),""),""),IF($AF299&gt;0,IF($AF299&gt;0,INDEX($AG$9:$AG$298,$AF299),""),"")))))</f>
        <v/>
      </c>
      <c r="AH299" t="str">
        <f>IF($A299="","",IF(OR($F299="sell_put",$F299="sell_call",$F299="roll"),$I299,IF($AF299&gt;0,IF($AF299&gt;0,INDEX($AH$9:$AH$298,$AF299),0),0)))</f>
        <v/>
      </c>
      <c r="AI299" s="51" t="str">
        <f t="shared" si="77"/>
        <v/>
      </c>
      <c r="AJ299" s="51" t="str">
        <f>IF($A299="","",IFERROR(LOOKUP(2,1/($B$9:$B$298=$B299),$AM$9:$AM298),0))</f>
        <v/>
      </c>
      <c r="AK299" t="str">
        <f>IF($A299="","",IFERROR(LOOKUP(2,1/($B$9:$B$298=$B299),$AN$9:$AN298),0))</f>
        <v/>
      </c>
      <c r="AL299" s="51" t="str">
        <f t="shared" si="78"/>
        <v/>
      </c>
      <c r="AM299" s="51" t="str">
        <f t="shared" si="79"/>
        <v/>
      </c>
      <c r="AN299" t="str">
        <f t="shared" si="80"/>
        <v/>
      </c>
      <c r="AO299" s="50" t="str">
        <f>IF($A299="","",IFERROR(LOOKUP(2,1/($B$9:$B$298=$B299),$AO$9:$AO298),0)+IF($F299="sell_put",$I299*$AE299*$D299,IF($F299="roll",IF($AG299="put",($I299-IF($AF299&gt;0,INDEX($AH$9:$AH$298,$AF299),0))*$AE299*$D299,0),IF(AND(OR($F299="buy_to_close",$F299="expire",$F299="roll",$F299="assignment",$F299="called_away"),$F299&lt;&gt;"roll",$AG299="put"),-IF($AF299&gt;0,INDEX($AH$9:$AH$298,$AF299),0)*$AE299*$D299,0))))</f>
        <v/>
      </c>
      <c r="AP299" s="51" t="str">
        <f>IF($A299="","",IFERROR(LOOKUP(2,1/($B$9:$B$298=$B299),$AP$9:$AP298),0)+IF($F299="sell_put",$AE299*$D299,IF(AND(OR($F299="buy_to_close",$F299="expire",$F299="roll",$F299="assignment",$F299="called_away"),$F299&lt;&gt;"roll",$AG299="put"),-$AE299*$D299,0)))</f>
        <v/>
      </c>
      <c r="AQ299" s="51" t="str">
        <f>IF($A299="","",IFERROR(LOOKUP(2,1/($B$9:$B$298=$B299),$AQ$9:$AQ298),0)+IF(OR($F299="sell_put",$F299="sell_call"),$AE299,0)-IF(AND(OR($F299="buy_to_close",$F299="expire",$F299="roll",$F299="assignment",$F299="called_away"),$F299&lt;&gt;"roll"),$AE299,0))</f>
        <v/>
      </c>
      <c r="AR299" t="str">
        <f t="shared" si="81"/>
        <v/>
      </c>
      <c r="AS299" s="50" t="str">
        <f t="shared" si="82"/>
        <v/>
      </c>
      <c r="AT299" s="50" t="str">
        <f>IF($A299="","",MAX(IF($T299=IFERROR(LOOKUP(2,1/($B$9:$B$298=$B299),$T$9:$T298),0),IFERROR(LOOKUP(2,1/($B$9:$B$298=$B299),$AT$9:$AT298),0),0),$AS299))</f>
        <v/>
      </c>
      <c r="AU299" t="str">
        <f t="shared" si="83"/>
        <v/>
      </c>
      <c r="AV299" s="51">
        <f>IF($AU299="",0,IF(AND(IFERROR(LOOKUP(2,1/($B$9:$B$298=$B299),$AR$9:$AR298),1),NOT(AND(OR($F299="dividend",$F299="fee"),IFERROR(LOOKUP(2,1/($B$9:$B$298=$B299),$T$9:$T298),0)&gt;0))),ROW(),0))</f>
        <v>0</v>
      </c>
      <c r="AW299">
        <f>IF($A299="",0,IF($AV299&gt;0,MAX($AW$9:$AW$298)+1,MAX($AW$9:$AW$298)))</f>
        <v>0</v>
      </c>
      <c r="AX299">
        <f>IF($AU299="",0,IF(AND($AR299,OR(NOT(IFERROR(LOOKUP(2,1/($B$9:$B$298=$B299),$AR$9:$AR298),1)),IFERROR(LOOKUP(2,1/($B$9:$B$298=$B299),$T$9:$T298),0)=0)),ROW(),0))</f>
        <v>0</v>
      </c>
      <c r="AY299" t="str">
        <f t="shared" si="84"/>
        <v/>
      </c>
    </row>
    <row r="300" spans="1:51" ht="15" x14ac:dyDescent="0.25">
      <c r="A300" s="52" t="str">
        <f>IF(Trades!$A300="","",Trades!O300)</f>
        <v/>
      </c>
      <c r="B300" s="52" t="str">
        <f>IF(Trades!$A300="","",Trades!B300)</f>
        <v/>
      </c>
      <c r="C300" s="52" t="str">
        <f>IF(Trades!$A300="","",Trades!C300)</f>
        <v/>
      </c>
      <c r="D300" s="53" t="str">
        <f>IF(Trades!$A300="","",IF(Trades!$L300&gt;0,Trades!$L300,Trades!$C$6))</f>
        <v/>
      </c>
      <c r="E300" s="54" t="str">
        <f>IF(Trades!$A300="","",Trades!A300)</f>
        <v/>
      </c>
      <c r="F300" s="52" t="str">
        <f>IF(Trades!$A300="","",IFERROR(INDEX(Trades!$V$2:$V$14,MATCH(Trades!$E300,Trades!$U$2:$U$14,0)),""))</f>
        <v/>
      </c>
      <c r="G300" s="52" t="str">
        <f>IF(Trades!$A300="","",Trades!N300)</f>
        <v/>
      </c>
      <c r="H300" s="53" t="str">
        <f>IF(Trades!$A300="","",Trades!F300)</f>
        <v/>
      </c>
      <c r="I300" s="55" t="str">
        <f>IF(Trades!$A300="","",Trades!G300)</f>
        <v/>
      </c>
      <c r="J300" s="55" t="str">
        <f>IF(Trades!$A300="","",Trades!I300)</f>
        <v/>
      </c>
      <c r="K300" s="55" t="str">
        <f>IF(Trades!$A300="","",Trades!Q300)</f>
        <v/>
      </c>
      <c r="L300" s="53" t="str">
        <f>IF(Trades!$A300="","",Trades!F300)</f>
        <v/>
      </c>
      <c r="M300" s="55" t="str">
        <f>IF(Trades!$A300="","",Trades!M300)</f>
        <v/>
      </c>
      <c r="N300" s="55" t="str">
        <f>IF(Trades!$A300="","",Trades!R300)</f>
        <v/>
      </c>
      <c r="O300" s="55" t="str">
        <f>IF(Trades!$A300="","",Trades!J300)</f>
        <v/>
      </c>
      <c r="P300" s="54" t="str">
        <f>IF(Trades!$A300="","",Trades!H300)</f>
        <v/>
      </c>
      <c r="Q300" s="52" t="str">
        <f>IF(Trades!$A300="","",Trades!P300)</f>
        <v/>
      </c>
      <c r="R300" s="56" t="str">
        <f t="shared" si="68"/>
        <v/>
      </c>
      <c r="S300" s="56" t="str">
        <f t="shared" si="69"/>
        <v/>
      </c>
      <c r="T300" s="57" t="str">
        <f>IF(OR($A300="",$B300=""),"",IF(AND(IFERROR(LOOKUP(2,1/($B$9:$B$299=$B300),$AR$9:$AR299),1),NOT(AND(OR($F300="dividend",$F300="fee"),IFERROR(LOOKUP(2,1/($B$9:$B$299=$B300),$T$9:$T299),0)&gt;0))),IFERROR(LOOKUP(2,1/($B$9:$B$299=$B300),$T$9:$T299),0)+1,IFERROR(LOOKUP(2,1/($B$9:$B$299=$B300),$T$9:$T299),0)))</f>
        <v/>
      </c>
      <c r="U300" s="58" t="str">
        <f t="shared" si="70"/>
        <v/>
      </c>
      <c r="V300" s="58" t="str">
        <f>IF($A300="","",IF(OR($B300="",$C300="",$D300="",$E300="",$F300=""),"Missing required field",IF(COUNTIFS($A$9:$A300,$A300,$B$9:$B300,$B300)&gt;1,"Duplicate event ID",IF(AND($E300&lt;&gt;IFERROR(LOOKUP(2,1/($B$9:$B$299=$B300),$E$9:$E299),0),IFERROR(LOOKUP(2,1/($B$9:$B$299=$B300),$E$9:$E299),0)&gt;$E300),"Date out of order",IF(AND(OR($F300="buy_to_close",$F300="expire",$F300="roll",$F300="assignment",$F300="called_away"),$AF300=0),"Unknown lot",IF(OR(AND($F300="assignment",$AF300&gt;0,IF($AF300&gt;0,INDEX($AG$9:$AG$299,$AF300),"")&lt;&gt;"put"),AND($F300="called_away",$AF300&gt;0,IF($AF300&gt;0,INDEX($AG$9:$AG$299,$AF300),"")&lt;&gt;"call")),"Wrong option leg",IF(OR(AND(OR($F300="sell_put",$F300="sell_call"),OR($H300&lt;=0,$I300&lt;=0,$J300&lt;0)),AND(OR($F300="buy_to_close",$F300="expire",$F300="assignment",$F300="called_away"),OR($H300&lt;=0,$J300&lt;0)),AND($F300="roll",OR($H300&lt;=0,$I300&lt;=0,$J300&lt;0,$K300&lt;0)),AND(OR($F300="buy_shares",$F300="sell_shares"),OR($L300&lt;=0,$M300&lt;0)),AND(OR($F300="dividend",$F300="fee"),$N300&lt;0)),"Invalid value",IF(AND(OR($F300="sell_shares",$F300="called_away"),$AL300&lt;IF($F300="called_away",$AE300*$D300,$L300)),"Insufficient shares (capped)",IF(AND(OR($F300="buy_to_close",$F300="expire",$F300="roll",$F300="assignment",$F300="called_away"),$AF300&gt;0,$H300&gt;IF($AF300&gt;0,MAX(0,INDEX($AI$9:$AI$299,$AF300)-SUMIFS($AE$9:$AE$299,$G$9:$G$299,$G300,$B$9:$B$299,$B300)),0)),"Close quantity capped","OK")))))))))</f>
        <v/>
      </c>
      <c r="W300" s="59" t="str">
        <f t="shared" si="71"/>
        <v/>
      </c>
      <c r="X300" s="60" t="str">
        <f t="shared" si="72"/>
        <v/>
      </c>
      <c r="Y300" s="50" t="str">
        <f t="shared" si="73"/>
        <v/>
      </c>
      <c r="Z300" s="50" t="str">
        <f t="shared" si="74"/>
        <v/>
      </c>
      <c r="AA300" s="50" t="str">
        <f t="shared" si="75"/>
        <v/>
      </c>
      <c r="AB300" s="50" t="str">
        <f t="shared" si="76"/>
        <v/>
      </c>
      <c r="AC300" s="50" t="str">
        <f>IF($A300="","",IF($F300="assignment",IF($AF300&gt;0,INDEX($AH$9:$AH$299,$AF300),0)*$AE300*$D300,IF($F300="buy_shares",$M300*$AL300,0)))</f>
        <v/>
      </c>
      <c r="AD300" s="50" t="str">
        <f>IF($A300="","",IF($F300="called_away",IF($AF300&gt;0,INDEX($AH$9:$AH$299,$AF300),0)*$AL300,IF($F300="sell_shares",$M300*$AL300,0)))</f>
        <v/>
      </c>
      <c r="AE300" s="51" t="str">
        <f>IF($A300="","",IF(OR($F300="sell_put",$F300="sell_call"),IF(AND($H300&gt;0,$I300&gt;0,$J300&gt;=0),$H300,0),IF(OR($F300="buy_to_close",$F300="expire",$F300="roll",$F300="assignment",$F300="called_away"),IF(AND($AF300&gt;0,$H300&gt;0,IF($F300="assignment",IF($AF300&gt;0,INDEX($AG$9:$AG$299,$AF300),"")="put",TRUE),IF($F300="called_away",IF($AF300&gt;0,INDEX($AG$9:$AG$299,$AF300),"")="call",TRUE)),MIN($H300,IF($AF300&gt;0,MAX(0,INDEX($AI$9:$AI$299,$AF300)-SUMIFS($AE$9:$AE$299,$G$9:$G$299,$G300,$B$9:$B$299,$B300)),0)),0),0)))</f>
        <v/>
      </c>
      <c r="AF300" t="str">
        <f>IF($A300="","",IFERROR(MATCH(LEN($B300)&amp;":"&amp;$B300&amp;$G300,$AY$9:$AY$299,0),0))</f>
        <v/>
      </c>
      <c r="AG300" t="str">
        <f>IF($A300="","",IF($F300="sell_put","put",IF($F300="sell_call","call",IF($F300="roll",IF($AF300&gt;0,IF($AF300&gt;0,INDEX($AG$9:$AG$299,$AF300),""),""),IF($AF300&gt;0,IF($AF300&gt;0,INDEX($AG$9:$AG$299,$AF300),""),"")))))</f>
        <v/>
      </c>
      <c r="AH300" t="str">
        <f>IF($A300="","",IF(OR($F300="sell_put",$F300="sell_call",$F300="roll"),$I300,IF($AF300&gt;0,IF($AF300&gt;0,INDEX($AH$9:$AH$299,$AF300),0),0)))</f>
        <v/>
      </c>
      <c r="AI300" s="51" t="str">
        <f t="shared" si="77"/>
        <v/>
      </c>
      <c r="AJ300" s="51" t="str">
        <f>IF($A300="","",IFERROR(LOOKUP(2,1/($B$9:$B$299=$B300),$AM$9:$AM299),0))</f>
        <v/>
      </c>
      <c r="AK300" t="str">
        <f>IF($A300="","",IFERROR(LOOKUP(2,1/($B$9:$B$299=$B300),$AN$9:$AN299),0))</f>
        <v/>
      </c>
      <c r="AL300" s="51" t="str">
        <f t="shared" si="78"/>
        <v/>
      </c>
      <c r="AM300" s="51" t="str">
        <f t="shared" si="79"/>
        <v/>
      </c>
      <c r="AN300" t="str">
        <f t="shared" si="80"/>
        <v/>
      </c>
      <c r="AO300" s="50" t="str">
        <f>IF($A300="","",IFERROR(LOOKUP(2,1/($B$9:$B$299=$B300),$AO$9:$AO299),0)+IF($F300="sell_put",$I300*$AE300*$D300,IF($F300="roll",IF($AG300="put",($I300-IF($AF300&gt;0,INDEX($AH$9:$AH$299,$AF300),0))*$AE300*$D300,0),IF(AND(OR($F300="buy_to_close",$F300="expire",$F300="roll",$F300="assignment",$F300="called_away"),$F300&lt;&gt;"roll",$AG300="put"),-IF($AF300&gt;0,INDEX($AH$9:$AH$299,$AF300),0)*$AE300*$D300,0))))</f>
        <v/>
      </c>
      <c r="AP300" s="51" t="str">
        <f>IF($A300="","",IFERROR(LOOKUP(2,1/($B$9:$B$299=$B300),$AP$9:$AP299),0)+IF($F300="sell_put",$AE300*$D300,IF(AND(OR($F300="buy_to_close",$F300="expire",$F300="roll",$F300="assignment",$F300="called_away"),$F300&lt;&gt;"roll",$AG300="put"),-$AE300*$D300,0)))</f>
        <v/>
      </c>
      <c r="AQ300" s="51" t="str">
        <f>IF($A300="","",IFERROR(LOOKUP(2,1/($B$9:$B$299=$B300),$AQ$9:$AQ299),0)+IF(OR($F300="sell_put",$F300="sell_call"),$AE300,0)-IF(AND(OR($F300="buy_to_close",$F300="expire",$F300="roll",$F300="assignment",$F300="called_away"),$F300&lt;&gt;"roll"),$AE300,0))</f>
        <v/>
      </c>
      <c r="AR300" t="str">
        <f t="shared" si="81"/>
        <v/>
      </c>
      <c r="AS300" s="50" t="str">
        <f t="shared" si="82"/>
        <v/>
      </c>
      <c r="AT300" s="50" t="str">
        <f>IF($A300="","",MAX(IF($T300=IFERROR(LOOKUP(2,1/($B$9:$B$299=$B300),$T$9:$T299),0),IFERROR(LOOKUP(2,1/($B$9:$B$299=$B300),$AT$9:$AT299),0),0),$AS300))</f>
        <v/>
      </c>
      <c r="AU300" t="str">
        <f t="shared" si="83"/>
        <v/>
      </c>
      <c r="AV300" s="51">
        <f>IF($AU300="",0,IF(AND(IFERROR(LOOKUP(2,1/($B$9:$B$299=$B300),$AR$9:$AR299),1),NOT(AND(OR($F300="dividend",$F300="fee"),IFERROR(LOOKUP(2,1/($B$9:$B$299=$B300),$T$9:$T299),0)&gt;0))),ROW(),0))</f>
        <v>0</v>
      </c>
      <c r="AW300">
        <f>IF($A300="",0,IF($AV300&gt;0,MAX($AW$9:$AW$299)+1,MAX($AW$9:$AW$299)))</f>
        <v>0</v>
      </c>
      <c r="AX300">
        <f>IF($AU300="",0,IF(AND($AR300,OR(NOT(IFERROR(LOOKUP(2,1/($B$9:$B$299=$B300),$AR$9:$AR299),1)),IFERROR(LOOKUP(2,1/($B$9:$B$299=$B300),$T$9:$T299),0)=0)),ROW(),0))</f>
        <v>0</v>
      </c>
      <c r="AY300" t="str">
        <f t="shared" si="84"/>
        <v/>
      </c>
    </row>
    <row r="301" spans="1:51" ht="15" x14ac:dyDescent="0.25">
      <c r="A301" s="41" t="str">
        <f>IF(Trades!$A301="","",Trades!O301)</f>
        <v/>
      </c>
      <c r="B301" s="41" t="str">
        <f>IF(Trades!$A301="","",Trades!B301)</f>
        <v/>
      </c>
      <c r="C301" s="41" t="str">
        <f>IF(Trades!$A301="","",Trades!C301)</f>
        <v/>
      </c>
      <c r="D301" s="42" t="str">
        <f>IF(Trades!$A301="","",IF(Trades!$L301&gt;0,Trades!$L301,Trades!$C$6))</f>
        <v/>
      </c>
      <c r="E301" s="43" t="str">
        <f>IF(Trades!$A301="","",Trades!A301)</f>
        <v/>
      </c>
      <c r="F301" s="41" t="str">
        <f>IF(Trades!$A301="","",IFERROR(INDEX(Trades!$V$2:$V$14,MATCH(Trades!$E301,Trades!$U$2:$U$14,0)),""))</f>
        <v/>
      </c>
      <c r="G301" s="41" t="str">
        <f>IF(Trades!$A301="","",Trades!N301)</f>
        <v/>
      </c>
      <c r="H301" s="42" t="str">
        <f>IF(Trades!$A301="","",Trades!F301)</f>
        <v/>
      </c>
      <c r="I301" s="44" t="str">
        <f>IF(Trades!$A301="","",Trades!G301)</f>
        <v/>
      </c>
      <c r="J301" s="44" t="str">
        <f>IF(Trades!$A301="","",Trades!I301)</f>
        <v/>
      </c>
      <c r="K301" s="44" t="str">
        <f>IF(Trades!$A301="","",Trades!Q301)</f>
        <v/>
      </c>
      <c r="L301" s="42" t="str">
        <f>IF(Trades!$A301="","",Trades!F301)</f>
        <v/>
      </c>
      <c r="M301" s="44" t="str">
        <f>IF(Trades!$A301="","",Trades!M301)</f>
        <v/>
      </c>
      <c r="N301" s="44" t="str">
        <f>IF(Trades!$A301="","",Trades!R301)</f>
        <v/>
      </c>
      <c r="O301" s="44" t="str">
        <f>IF(Trades!$A301="","",Trades!J301)</f>
        <v/>
      </c>
      <c r="P301" s="43" t="str">
        <f>IF(Trades!$A301="","",Trades!H301)</f>
        <v/>
      </c>
      <c r="Q301" s="41" t="str">
        <f>IF(Trades!$A301="","",Trades!P301)</f>
        <v/>
      </c>
      <c r="R301" s="45" t="str">
        <f t="shared" si="68"/>
        <v/>
      </c>
      <c r="S301" s="45" t="str">
        <f t="shared" si="69"/>
        <v/>
      </c>
      <c r="T301" s="46" t="str">
        <f>IF(OR($A301="",$B301=""),"",IF(AND(IFERROR(LOOKUP(2,1/($B$9:$B$300=$B301),$AR$9:$AR300),1),NOT(AND(OR($F301="dividend",$F301="fee"),IFERROR(LOOKUP(2,1/($B$9:$B$300=$B301),$T$9:$T300),0)&gt;0))),IFERROR(LOOKUP(2,1/($B$9:$B$300=$B301),$T$9:$T300),0)+1,IFERROR(LOOKUP(2,1/($B$9:$B$300=$B301),$T$9:$T300),0)))</f>
        <v/>
      </c>
      <c r="U301" s="47" t="str">
        <f t="shared" si="70"/>
        <v/>
      </c>
      <c r="V301" s="47" t="str">
        <f>IF($A301="","",IF(OR($B301="",$C301="",$D301="",$E301="",$F301=""),"Missing required field",IF(COUNTIFS($A$9:$A301,$A301,$B$9:$B301,$B301)&gt;1,"Duplicate event ID",IF(AND($E301&lt;&gt;IFERROR(LOOKUP(2,1/($B$9:$B$300=$B301),$E$9:$E300),0),IFERROR(LOOKUP(2,1/($B$9:$B$300=$B301),$E$9:$E300),0)&gt;$E301),"Date out of order",IF(AND(OR($F301="buy_to_close",$F301="expire",$F301="roll",$F301="assignment",$F301="called_away"),$AF301=0),"Unknown lot",IF(OR(AND($F301="assignment",$AF301&gt;0,IF($AF301&gt;0,INDEX($AG$9:$AG$300,$AF301),"")&lt;&gt;"put"),AND($F301="called_away",$AF301&gt;0,IF($AF301&gt;0,INDEX($AG$9:$AG$300,$AF301),"")&lt;&gt;"call")),"Wrong option leg",IF(OR(AND(OR($F301="sell_put",$F301="sell_call"),OR($H301&lt;=0,$I301&lt;=0,$J301&lt;0)),AND(OR($F301="buy_to_close",$F301="expire",$F301="assignment",$F301="called_away"),OR($H301&lt;=0,$J301&lt;0)),AND($F301="roll",OR($H301&lt;=0,$I301&lt;=0,$J301&lt;0,$K301&lt;0)),AND(OR($F301="buy_shares",$F301="sell_shares"),OR($L301&lt;=0,$M301&lt;0)),AND(OR($F301="dividend",$F301="fee"),$N301&lt;0)),"Invalid value",IF(AND(OR($F301="sell_shares",$F301="called_away"),$AL301&lt;IF($F301="called_away",$AE301*$D301,$L301)),"Insufficient shares (capped)",IF(AND(OR($F301="buy_to_close",$F301="expire",$F301="roll",$F301="assignment",$F301="called_away"),$AF301&gt;0,$H301&gt;IF($AF301&gt;0,MAX(0,INDEX($AI$9:$AI$300,$AF301)-SUMIFS($AE$9:$AE$300,$G$9:$G$300,$G301,$B$9:$B$300,$B301)),0)),"Close quantity capped","OK")))))))))</f>
        <v/>
      </c>
      <c r="W301" s="48" t="str">
        <f t="shared" si="71"/>
        <v/>
      </c>
      <c r="X301" s="49" t="str">
        <f t="shared" si="72"/>
        <v/>
      </c>
      <c r="Y301" s="50" t="str">
        <f t="shared" si="73"/>
        <v/>
      </c>
      <c r="Z301" s="50" t="str">
        <f t="shared" si="74"/>
        <v/>
      </c>
      <c r="AA301" s="50" t="str">
        <f t="shared" si="75"/>
        <v/>
      </c>
      <c r="AB301" s="50" t="str">
        <f t="shared" si="76"/>
        <v/>
      </c>
      <c r="AC301" s="50" t="str">
        <f>IF($A301="","",IF($F301="assignment",IF($AF301&gt;0,INDEX($AH$9:$AH$300,$AF301),0)*$AE301*$D301,IF($F301="buy_shares",$M301*$AL301,0)))</f>
        <v/>
      </c>
      <c r="AD301" s="50" t="str">
        <f>IF($A301="","",IF($F301="called_away",IF($AF301&gt;0,INDEX($AH$9:$AH$300,$AF301),0)*$AL301,IF($F301="sell_shares",$M301*$AL301,0)))</f>
        <v/>
      </c>
      <c r="AE301" s="51" t="str">
        <f>IF($A301="","",IF(OR($F301="sell_put",$F301="sell_call"),IF(AND($H301&gt;0,$I301&gt;0,$J301&gt;=0),$H301,0),IF(OR($F301="buy_to_close",$F301="expire",$F301="roll",$F301="assignment",$F301="called_away"),IF(AND($AF301&gt;0,$H301&gt;0,IF($F301="assignment",IF($AF301&gt;0,INDEX($AG$9:$AG$300,$AF301),"")="put",TRUE),IF($F301="called_away",IF($AF301&gt;0,INDEX($AG$9:$AG$300,$AF301),"")="call",TRUE)),MIN($H301,IF($AF301&gt;0,MAX(0,INDEX($AI$9:$AI$300,$AF301)-SUMIFS($AE$9:$AE$300,$G$9:$G$300,$G301,$B$9:$B$300,$B301)),0)),0),0)))</f>
        <v/>
      </c>
      <c r="AF301" t="str">
        <f>IF($A301="","",IFERROR(MATCH(LEN($B301)&amp;":"&amp;$B301&amp;$G301,$AY$9:$AY$300,0),0))</f>
        <v/>
      </c>
      <c r="AG301" t="str">
        <f>IF($A301="","",IF($F301="sell_put","put",IF($F301="sell_call","call",IF($F301="roll",IF($AF301&gt;0,IF($AF301&gt;0,INDEX($AG$9:$AG$300,$AF301),""),""),IF($AF301&gt;0,IF($AF301&gt;0,INDEX($AG$9:$AG$300,$AF301),""),"")))))</f>
        <v/>
      </c>
      <c r="AH301" t="str">
        <f>IF($A301="","",IF(OR($F301="sell_put",$F301="sell_call",$F301="roll"),$I301,IF($AF301&gt;0,IF($AF301&gt;0,INDEX($AH$9:$AH$300,$AF301),0),0)))</f>
        <v/>
      </c>
      <c r="AI301" s="51" t="str">
        <f t="shared" si="77"/>
        <v/>
      </c>
      <c r="AJ301" s="51" t="str">
        <f>IF($A301="","",IFERROR(LOOKUP(2,1/($B$9:$B$300=$B301),$AM$9:$AM300),0))</f>
        <v/>
      </c>
      <c r="AK301" t="str">
        <f>IF($A301="","",IFERROR(LOOKUP(2,1/($B$9:$B$300=$B301),$AN$9:$AN300),0))</f>
        <v/>
      </c>
      <c r="AL301" s="51" t="str">
        <f t="shared" si="78"/>
        <v/>
      </c>
      <c r="AM301" s="51" t="str">
        <f t="shared" si="79"/>
        <v/>
      </c>
      <c r="AN301" t="str">
        <f t="shared" si="80"/>
        <v/>
      </c>
      <c r="AO301" s="50" t="str">
        <f>IF($A301="","",IFERROR(LOOKUP(2,1/($B$9:$B$300=$B301),$AO$9:$AO300),0)+IF($F301="sell_put",$I301*$AE301*$D301,IF($F301="roll",IF($AG301="put",($I301-IF($AF301&gt;0,INDEX($AH$9:$AH$300,$AF301),0))*$AE301*$D301,0),IF(AND(OR($F301="buy_to_close",$F301="expire",$F301="roll",$F301="assignment",$F301="called_away"),$F301&lt;&gt;"roll",$AG301="put"),-IF($AF301&gt;0,INDEX($AH$9:$AH$300,$AF301),0)*$AE301*$D301,0))))</f>
        <v/>
      </c>
      <c r="AP301" s="51" t="str">
        <f>IF($A301="","",IFERROR(LOOKUP(2,1/($B$9:$B$300=$B301),$AP$9:$AP300),0)+IF($F301="sell_put",$AE301*$D301,IF(AND(OR($F301="buy_to_close",$F301="expire",$F301="roll",$F301="assignment",$F301="called_away"),$F301&lt;&gt;"roll",$AG301="put"),-$AE301*$D301,0)))</f>
        <v/>
      </c>
      <c r="AQ301" s="51" t="str">
        <f>IF($A301="","",IFERROR(LOOKUP(2,1/($B$9:$B$300=$B301),$AQ$9:$AQ300),0)+IF(OR($F301="sell_put",$F301="sell_call"),$AE301,0)-IF(AND(OR($F301="buy_to_close",$F301="expire",$F301="roll",$F301="assignment",$F301="called_away"),$F301&lt;&gt;"roll"),$AE301,0))</f>
        <v/>
      </c>
      <c r="AR301" t="str">
        <f t="shared" si="81"/>
        <v/>
      </c>
      <c r="AS301" s="50" t="str">
        <f t="shared" si="82"/>
        <v/>
      </c>
      <c r="AT301" s="50" t="str">
        <f>IF($A301="","",MAX(IF($T301=IFERROR(LOOKUP(2,1/($B$9:$B$300=$B301),$T$9:$T300),0),IFERROR(LOOKUP(2,1/($B$9:$B$300=$B301),$AT$9:$AT300),0),0),$AS301))</f>
        <v/>
      </c>
      <c r="AU301" t="str">
        <f t="shared" si="83"/>
        <v/>
      </c>
      <c r="AV301" s="51">
        <f>IF($AU301="",0,IF(AND(IFERROR(LOOKUP(2,1/($B$9:$B$300=$B301),$AR$9:$AR300),1),NOT(AND(OR($F301="dividend",$F301="fee"),IFERROR(LOOKUP(2,1/($B$9:$B$300=$B301),$T$9:$T300),0)&gt;0))),ROW(),0))</f>
        <v>0</v>
      </c>
      <c r="AW301">
        <f>IF($A301="",0,IF($AV301&gt;0,MAX($AW$9:$AW$300)+1,MAX($AW$9:$AW$300)))</f>
        <v>0</v>
      </c>
      <c r="AX301">
        <f>IF($AU301="",0,IF(AND($AR301,OR(NOT(IFERROR(LOOKUP(2,1/($B$9:$B$300=$B301),$AR$9:$AR300),1)),IFERROR(LOOKUP(2,1/($B$9:$B$300=$B301),$T$9:$T300),0)=0)),ROW(),0))</f>
        <v>0</v>
      </c>
      <c r="AY301" t="str">
        <f t="shared" si="84"/>
        <v/>
      </c>
    </row>
    <row r="302" spans="1:51" ht="15" x14ac:dyDescent="0.25">
      <c r="A302" s="52" t="str">
        <f>IF(Trades!$A302="","",Trades!O302)</f>
        <v/>
      </c>
      <c r="B302" s="52" t="str">
        <f>IF(Trades!$A302="","",Trades!B302)</f>
        <v/>
      </c>
      <c r="C302" s="52" t="str">
        <f>IF(Trades!$A302="","",Trades!C302)</f>
        <v/>
      </c>
      <c r="D302" s="53" t="str">
        <f>IF(Trades!$A302="","",IF(Trades!$L302&gt;0,Trades!$L302,Trades!$C$6))</f>
        <v/>
      </c>
      <c r="E302" s="54" t="str">
        <f>IF(Trades!$A302="","",Trades!A302)</f>
        <v/>
      </c>
      <c r="F302" s="52" t="str">
        <f>IF(Trades!$A302="","",IFERROR(INDEX(Trades!$V$2:$V$14,MATCH(Trades!$E302,Trades!$U$2:$U$14,0)),""))</f>
        <v/>
      </c>
      <c r="G302" s="52" t="str">
        <f>IF(Trades!$A302="","",Trades!N302)</f>
        <v/>
      </c>
      <c r="H302" s="53" t="str">
        <f>IF(Trades!$A302="","",Trades!F302)</f>
        <v/>
      </c>
      <c r="I302" s="55" t="str">
        <f>IF(Trades!$A302="","",Trades!G302)</f>
        <v/>
      </c>
      <c r="J302" s="55" t="str">
        <f>IF(Trades!$A302="","",Trades!I302)</f>
        <v/>
      </c>
      <c r="K302" s="55" t="str">
        <f>IF(Trades!$A302="","",Trades!Q302)</f>
        <v/>
      </c>
      <c r="L302" s="53" t="str">
        <f>IF(Trades!$A302="","",Trades!F302)</f>
        <v/>
      </c>
      <c r="M302" s="55" t="str">
        <f>IF(Trades!$A302="","",Trades!M302)</f>
        <v/>
      </c>
      <c r="N302" s="55" t="str">
        <f>IF(Trades!$A302="","",Trades!R302)</f>
        <v/>
      </c>
      <c r="O302" s="55" t="str">
        <f>IF(Trades!$A302="","",Trades!J302)</f>
        <v/>
      </c>
      <c r="P302" s="54" t="str">
        <f>IF(Trades!$A302="","",Trades!H302)</f>
        <v/>
      </c>
      <c r="Q302" s="52" t="str">
        <f>IF(Trades!$A302="","",Trades!P302)</f>
        <v/>
      </c>
      <c r="R302" s="56" t="str">
        <f t="shared" si="68"/>
        <v/>
      </c>
      <c r="S302" s="56" t="str">
        <f t="shared" si="69"/>
        <v/>
      </c>
      <c r="T302" s="57" t="str">
        <f>IF(OR($A302="",$B302=""),"",IF(AND(IFERROR(LOOKUP(2,1/($B$9:$B$301=$B302),$AR$9:$AR301),1),NOT(AND(OR($F302="dividend",$F302="fee"),IFERROR(LOOKUP(2,1/($B$9:$B$301=$B302),$T$9:$T301),0)&gt;0))),IFERROR(LOOKUP(2,1/($B$9:$B$301=$B302),$T$9:$T301),0)+1,IFERROR(LOOKUP(2,1/($B$9:$B$301=$B302),$T$9:$T301),0)))</f>
        <v/>
      </c>
      <c r="U302" s="58" t="str">
        <f t="shared" si="70"/>
        <v/>
      </c>
      <c r="V302" s="58" t="str">
        <f>IF($A302="","",IF(OR($B302="",$C302="",$D302="",$E302="",$F302=""),"Missing required field",IF(COUNTIFS($A$9:$A302,$A302,$B$9:$B302,$B302)&gt;1,"Duplicate event ID",IF(AND($E302&lt;&gt;IFERROR(LOOKUP(2,1/($B$9:$B$301=$B302),$E$9:$E301),0),IFERROR(LOOKUP(2,1/($B$9:$B$301=$B302),$E$9:$E301),0)&gt;$E302),"Date out of order",IF(AND(OR($F302="buy_to_close",$F302="expire",$F302="roll",$F302="assignment",$F302="called_away"),$AF302=0),"Unknown lot",IF(OR(AND($F302="assignment",$AF302&gt;0,IF($AF302&gt;0,INDEX($AG$9:$AG$301,$AF302),"")&lt;&gt;"put"),AND($F302="called_away",$AF302&gt;0,IF($AF302&gt;0,INDEX($AG$9:$AG$301,$AF302),"")&lt;&gt;"call")),"Wrong option leg",IF(OR(AND(OR($F302="sell_put",$F302="sell_call"),OR($H302&lt;=0,$I302&lt;=0,$J302&lt;0)),AND(OR($F302="buy_to_close",$F302="expire",$F302="assignment",$F302="called_away"),OR($H302&lt;=0,$J302&lt;0)),AND($F302="roll",OR($H302&lt;=0,$I302&lt;=0,$J302&lt;0,$K302&lt;0)),AND(OR($F302="buy_shares",$F302="sell_shares"),OR($L302&lt;=0,$M302&lt;0)),AND(OR($F302="dividend",$F302="fee"),$N302&lt;0)),"Invalid value",IF(AND(OR($F302="sell_shares",$F302="called_away"),$AL302&lt;IF($F302="called_away",$AE302*$D302,$L302)),"Insufficient shares (capped)",IF(AND(OR($F302="buy_to_close",$F302="expire",$F302="roll",$F302="assignment",$F302="called_away"),$AF302&gt;0,$H302&gt;IF($AF302&gt;0,MAX(0,INDEX($AI$9:$AI$301,$AF302)-SUMIFS($AE$9:$AE$301,$G$9:$G$301,$G302,$B$9:$B$301,$B302)),0)),"Close quantity capped","OK")))))))))</f>
        <v/>
      </c>
      <c r="W302" s="59" t="str">
        <f t="shared" si="71"/>
        <v/>
      </c>
      <c r="X302" s="60" t="str">
        <f t="shared" si="72"/>
        <v/>
      </c>
      <c r="Y302" s="50" t="str">
        <f t="shared" si="73"/>
        <v/>
      </c>
      <c r="Z302" s="50" t="str">
        <f t="shared" si="74"/>
        <v/>
      </c>
      <c r="AA302" s="50" t="str">
        <f t="shared" si="75"/>
        <v/>
      </c>
      <c r="AB302" s="50" t="str">
        <f t="shared" si="76"/>
        <v/>
      </c>
      <c r="AC302" s="50" t="str">
        <f>IF($A302="","",IF($F302="assignment",IF($AF302&gt;0,INDEX($AH$9:$AH$301,$AF302),0)*$AE302*$D302,IF($F302="buy_shares",$M302*$AL302,0)))</f>
        <v/>
      </c>
      <c r="AD302" s="50" t="str">
        <f>IF($A302="","",IF($F302="called_away",IF($AF302&gt;0,INDEX($AH$9:$AH$301,$AF302),0)*$AL302,IF($F302="sell_shares",$M302*$AL302,0)))</f>
        <v/>
      </c>
      <c r="AE302" s="51" t="str">
        <f>IF($A302="","",IF(OR($F302="sell_put",$F302="sell_call"),IF(AND($H302&gt;0,$I302&gt;0,$J302&gt;=0),$H302,0),IF(OR($F302="buy_to_close",$F302="expire",$F302="roll",$F302="assignment",$F302="called_away"),IF(AND($AF302&gt;0,$H302&gt;0,IF($F302="assignment",IF($AF302&gt;0,INDEX($AG$9:$AG$301,$AF302),"")="put",TRUE),IF($F302="called_away",IF($AF302&gt;0,INDEX($AG$9:$AG$301,$AF302),"")="call",TRUE)),MIN($H302,IF($AF302&gt;0,MAX(0,INDEX($AI$9:$AI$301,$AF302)-SUMIFS($AE$9:$AE$301,$G$9:$G$301,$G302,$B$9:$B$301,$B302)),0)),0),0)))</f>
        <v/>
      </c>
      <c r="AF302" t="str">
        <f>IF($A302="","",IFERROR(MATCH(LEN($B302)&amp;":"&amp;$B302&amp;$G302,$AY$9:$AY$301,0),0))</f>
        <v/>
      </c>
      <c r="AG302" t="str">
        <f>IF($A302="","",IF($F302="sell_put","put",IF($F302="sell_call","call",IF($F302="roll",IF($AF302&gt;0,IF($AF302&gt;0,INDEX($AG$9:$AG$301,$AF302),""),""),IF($AF302&gt;0,IF($AF302&gt;0,INDEX($AG$9:$AG$301,$AF302),""),"")))))</f>
        <v/>
      </c>
      <c r="AH302" t="str">
        <f>IF($A302="","",IF(OR($F302="sell_put",$F302="sell_call",$F302="roll"),$I302,IF($AF302&gt;0,IF($AF302&gt;0,INDEX($AH$9:$AH$301,$AF302),0),0)))</f>
        <v/>
      </c>
      <c r="AI302" s="51" t="str">
        <f t="shared" si="77"/>
        <v/>
      </c>
      <c r="AJ302" s="51" t="str">
        <f>IF($A302="","",IFERROR(LOOKUP(2,1/($B$9:$B$301=$B302),$AM$9:$AM301),0))</f>
        <v/>
      </c>
      <c r="AK302" t="str">
        <f>IF($A302="","",IFERROR(LOOKUP(2,1/($B$9:$B$301=$B302),$AN$9:$AN301),0))</f>
        <v/>
      </c>
      <c r="AL302" s="51" t="str">
        <f t="shared" si="78"/>
        <v/>
      </c>
      <c r="AM302" s="51" t="str">
        <f t="shared" si="79"/>
        <v/>
      </c>
      <c r="AN302" t="str">
        <f t="shared" si="80"/>
        <v/>
      </c>
      <c r="AO302" s="50" t="str">
        <f>IF($A302="","",IFERROR(LOOKUP(2,1/($B$9:$B$301=$B302),$AO$9:$AO301),0)+IF($F302="sell_put",$I302*$AE302*$D302,IF($F302="roll",IF($AG302="put",($I302-IF($AF302&gt;0,INDEX($AH$9:$AH$301,$AF302),0))*$AE302*$D302,0),IF(AND(OR($F302="buy_to_close",$F302="expire",$F302="roll",$F302="assignment",$F302="called_away"),$F302&lt;&gt;"roll",$AG302="put"),-IF($AF302&gt;0,INDEX($AH$9:$AH$301,$AF302),0)*$AE302*$D302,0))))</f>
        <v/>
      </c>
      <c r="AP302" s="51" t="str">
        <f>IF($A302="","",IFERROR(LOOKUP(2,1/($B$9:$B$301=$B302),$AP$9:$AP301),0)+IF($F302="sell_put",$AE302*$D302,IF(AND(OR($F302="buy_to_close",$F302="expire",$F302="roll",$F302="assignment",$F302="called_away"),$F302&lt;&gt;"roll",$AG302="put"),-$AE302*$D302,0)))</f>
        <v/>
      </c>
      <c r="AQ302" s="51" t="str">
        <f>IF($A302="","",IFERROR(LOOKUP(2,1/($B$9:$B$301=$B302),$AQ$9:$AQ301),0)+IF(OR($F302="sell_put",$F302="sell_call"),$AE302,0)-IF(AND(OR($F302="buy_to_close",$F302="expire",$F302="roll",$F302="assignment",$F302="called_away"),$F302&lt;&gt;"roll"),$AE302,0))</f>
        <v/>
      </c>
      <c r="AR302" t="str">
        <f t="shared" si="81"/>
        <v/>
      </c>
      <c r="AS302" s="50" t="str">
        <f t="shared" si="82"/>
        <v/>
      </c>
      <c r="AT302" s="50" t="str">
        <f>IF($A302="","",MAX(IF($T302=IFERROR(LOOKUP(2,1/($B$9:$B$301=$B302),$T$9:$T301),0),IFERROR(LOOKUP(2,1/($B$9:$B$301=$B302),$AT$9:$AT301),0),0),$AS302))</f>
        <v/>
      </c>
      <c r="AU302" t="str">
        <f t="shared" si="83"/>
        <v/>
      </c>
      <c r="AV302" s="51">
        <f>IF($AU302="",0,IF(AND(IFERROR(LOOKUP(2,1/($B$9:$B$301=$B302),$AR$9:$AR301),1),NOT(AND(OR($F302="dividend",$F302="fee"),IFERROR(LOOKUP(2,1/($B$9:$B$301=$B302),$T$9:$T301),0)&gt;0))),ROW(),0))</f>
        <v>0</v>
      </c>
      <c r="AW302">
        <f>IF($A302="",0,IF($AV302&gt;0,MAX($AW$9:$AW$301)+1,MAX($AW$9:$AW$301)))</f>
        <v>0</v>
      </c>
      <c r="AX302">
        <f>IF($AU302="",0,IF(AND($AR302,OR(NOT(IFERROR(LOOKUP(2,1/($B$9:$B$301=$B302),$AR$9:$AR301),1)),IFERROR(LOOKUP(2,1/($B$9:$B$301=$B302),$T$9:$T301),0)=0)),ROW(),0))</f>
        <v>0</v>
      </c>
      <c r="AY302" t="str">
        <f t="shared" si="84"/>
        <v/>
      </c>
    </row>
    <row r="303" spans="1:51" ht="15" x14ac:dyDescent="0.25">
      <c r="A303" s="41" t="str">
        <f>IF(Trades!$A303="","",Trades!O303)</f>
        <v/>
      </c>
      <c r="B303" s="41" t="str">
        <f>IF(Trades!$A303="","",Trades!B303)</f>
        <v/>
      </c>
      <c r="C303" s="41" t="str">
        <f>IF(Trades!$A303="","",Trades!C303)</f>
        <v/>
      </c>
      <c r="D303" s="42" t="str">
        <f>IF(Trades!$A303="","",IF(Trades!$L303&gt;0,Trades!$L303,Trades!$C$6))</f>
        <v/>
      </c>
      <c r="E303" s="43" t="str">
        <f>IF(Trades!$A303="","",Trades!A303)</f>
        <v/>
      </c>
      <c r="F303" s="41" t="str">
        <f>IF(Trades!$A303="","",IFERROR(INDEX(Trades!$V$2:$V$14,MATCH(Trades!$E303,Trades!$U$2:$U$14,0)),""))</f>
        <v/>
      </c>
      <c r="G303" s="41" t="str">
        <f>IF(Trades!$A303="","",Trades!N303)</f>
        <v/>
      </c>
      <c r="H303" s="42" t="str">
        <f>IF(Trades!$A303="","",Trades!F303)</f>
        <v/>
      </c>
      <c r="I303" s="44" t="str">
        <f>IF(Trades!$A303="","",Trades!G303)</f>
        <v/>
      </c>
      <c r="J303" s="44" t="str">
        <f>IF(Trades!$A303="","",Trades!I303)</f>
        <v/>
      </c>
      <c r="K303" s="44" t="str">
        <f>IF(Trades!$A303="","",Trades!Q303)</f>
        <v/>
      </c>
      <c r="L303" s="42" t="str">
        <f>IF(Trades!$A303="","",Trades!F303)</f>
        <v/>
      </c>
      <c r="M303" s="44" t="str">
        <f>IF(Trades!$A303="","",Trades!M303)</f>
        <v/>
      </c>
      <c r="N303" s="44" t="str">
        <f>IF(Trades!$A303="","",Trades!R303)</f>
        <v/>
      </c>
      <c r="O303" s="44" t="str">
        <f>IF(Trades!$A303="","",Trades!J303)</f>
        <v/>
      </c>
      <c r="P303" s="43" t="str">
        <f>IF(Trades!$A303="","",Trades!H303)</f>
        <v/>
      </c>
      <c r="Q303" s="41" t="str">
        <f>IF(Trades!$A303="","",Trades!P303)</f>
        <v/>
      </c>
      <c r="R303" s="45" t="str">
        <f t="shared" si="68"/>
        <v/>
      </c>
      <c r="S303" s="45" t="str">
        <f t="shared" si="69"/>
        <v/>
      </c>
      <c r="T303" s="46" t="str">
        <f>IF(OR($A303="",$B303=""),"",IF(AND(IFERROR(LOOKUP(2,1/($B$9:$B$302=$B303),$AR$9:$AR302),1),NOT(AND(OR($F303="dividend",$F303="fee"),IFERROR(LOOKUP(2,1/($B$9:$B$302=$B303),$T$9:$T302),0)&gt;0))),IFERROR(LOOKUP(2,1/($B$9:$B$302=$B303),$T$9:$T302),0)+1,IFERROR(LOOKUP(2,1/($B$9:$B$302=$B303),$T$9:$T302),0)))</f>
        <v/>
      </c>
      <c r="U303" s="47" t="str">
        <f t="shared" si="70"/>
        <v/>
      </c>
      <c r="V303" s="47" t="str">
        <f>IF($A303="","",IF(OR($B303="",$C303="",$D303="",$E303="",$F303=""),"Missing required field",IF(COUNTIFS($A$9:$A303,$A303,$B$9:$B303,$B303)&gt;1,"Duplicate event ID",IF(AND($E303&lt;&gt;IFERROR(LOOKUP(2,1/($B$9:$B$302=$B303),$E$9:$E302),0),IFERROR(LOOKUP(2,1/($B$9:$B$302=$B303),$E$9:$E302),0)&gt;$E303),"Date out of order",IF(AND(OR($F303="buy_to_close",$F303="expire",$F303="roll",$F303="assignment",$F303="called_away"),$AF303=0),"Unknown lot",IF(OR(AND($F303="assignment",$AF303&gt;0,IF($AF303&gt;0,INDEX($AG$9:$AG$302,$AF303),"")&lt;&gt;"put"),AND($F303="called_away",$AF303&gt;0,IF($AF303&gt;0,INDEX($AG$9:$AG$302,$AF303),"")&lt;&gt;"call")),"Wrong option leg",IF(OR(AND(OR($F303="sell_put",$F303="sell_call"),OR($H303&lt;=0,$I303&lt;=0,$J303&lt;0)),AND(OR($F303="buy_to_close",$F303="expire",$F303="assignment",$F303="called_away"),OR($H303&lt;=0,$J303&lt;0)),AND($F303="roll",OR($H303&lt;=0,$I303&lt;=0,$J303&lt;0,$K303&lt;0)),AND(OR($F303="buy_shares",$F303="sell_shares"),OR($L303&lt;=0,$M303&lt;0)),AND(OR($F303="dividend",$F303="fee"),$N303&lt;0)),"Invalid value",IF(AND(OR($F303="sell_shares",$F303="called_away"),$AL303&lt;IF($F303="called_away",$AE303*$D303,$L303)),"Insufficient shares (capped)",IF(AND(OR($F303="buy_to_close",$F303="expire",$F303="roll",$F303="assignment",$F303="called_away"),$AF303&gt;0,$H303&gt;IF($AF303&gt;0,MAX(0,INDEX($AI$9:$AI$302,$AF303)-SUMIFS($AE$9:$AE$302,$G$9:$G$302,$G303,$B$9:$B$302,$B303)),0)),"Close quantity capped","OK")))))))))</f>
        <v/>
      </c>
      <c r="W303" s="48" t="str">
        <f t="shared" si="71"/>
        <v/>
      </c>
      <c r="X303" s="49" t="str">
        <f t="shared" si="72"/>
        <v/>
      </c>
      <c r="Y303" s="50" t="str">
        <f t="shared" si="73"/>
        <v/>
      </c>
      <c r="Z303" s="50" t="str">
        <f t="shared" si="74"/>
        <v/>
      </c>
      <c r="AA303" s="50" t="str">
        <f t="shared" si="75"/>
        <v/>
      </c>
      <c r="AB303" s="50" t="str">
        <f t="shared" si="76"/>
        <v/>
      </c>
      <c r="AC303" s="50" t="str">
        <f>IF($A303="","",IF($F303="assignment",IF($AF303&gt;0,INDEX($AH$9:$AH$302,$AF303),0)*$AE303*$D303,IF($F303="buy_shares",$M303*$AL303,0)))</f>
        <v/>
      </c>
      <c r="AD303" s="50" t="str">
        <f>IF($A303="","",IF($F303="called_away",IF($AF303&gt;0,INDEX($AH$9:$AH$302,$AF303),0)*$AL303,IF($F303="sell_shares",$M303*$AL303,0)))</f>
        <v/>
      </c>
      <c r="AE303" s="51" t="str">
        <f>IF($A303="","",IF(OR($F303="sell_put",$F303="sell_call"),IF(AND($H303&gt;0,$I303&gt;0,$J303&gt;=0),$H303,0),IF(OR($F303="buy_to_close",$F303="expire",$F303="roll",$F303="assignment",$F303="called_away"),IF(AND($AF303&gt;0,$H303&gt;0,IF($F303="assignment",IF($AF303&gt;0,INDEX($AG$9:$AG$302,$AF303),"")="put",TRUE),IF($F303="called_away",IF($AF303&gt;0,INDEX($AG$9:$AG$302,$AF303),"")="call",TRUE)),MIN($H303,IF($AF303&gt;0,MAX(0,INDEX($AI$9:$AI$302,$AF303)-SUMIFS($AE$9:$AE$302,$G$9:$G$302,$G303,$B$9:$B$302,$B303)),0)),0),0)))</f>
        <v/>
      </c>
      <c r="AF303" t="str">
        <f>IF($A303="","",IFERROR(MATCH(LEN($B303)&amp;":"&amp;$B303&amp;$G303,$AY$9:$AY$302,0),0))</f>
        <v/>
      </c>
      <c r="AG303" t="str">
        <f>IF($A303="","",IF($F303="sell_put","put",IF($F303="sell_call","call",IF($F303="roll",IF($AF303&gt;0,IF($AF303&gt;0,INDEX($AG$9:$AG$302,$AF303),""),""),IF($AF303&gt;0,IF($AF303&gt;0,INDEX($AG$9:$AG$302,$AF303),""),"")))))</f>
        <v/>
      </c>
      <c r="AH303" t="str">
        <f>IF($A303="","",IF(OR($F303="sell_put",$F303="sell_call",$F303="roll"),$I303,IF($AF303&gt;0,IF($AF303&gt;0,INDEX($AH$9:$AH$302,$AF303),0),0)))</f>
        <v/>
      </c>
      <c r="AI303" s="51" t="str">
        <f t="shared" si="77"/>
        <v/>
      </c>
      <c r="AJ303" s="51" t="str">
        <f>IF($A303="","",IFERROR(LOOKUP(2,1/($B$9:$B$302=$B303),$AM$9:$AM302),0))</f>
        <v/>
      </c>
      <c r="AK303" t="str">
        <f>IF($A303="","",IFERROR(LOOKUP(2,1/($B$9:$B$302=$B303),$AN$9:$AN302),0))</f>
        <v/>
      </c>
      <c r="AL303" s="51" t="str">
        <f t="shared" si="78"/>
        <v/>
      </c>
      <c r="AM303" s="51" t="str">
        <f t="shared" si="79"/>
        <v/>
      </c>
      <c r="AN303" t="str">
        <f t="shared" si="80"/>
        <v/>
      </c>
      <c r="AO303" s="50" t="str">
        <f>IF($A303="","",IFERROR(LOOKUP(2,1/($B$9:$B$302=$B303),$AO$9:$AO302),0)+IF($F303="sell_put",$I303*$AE303*$D303,IF($F303="roll",IF($AG303="put",($I303-IF($AF303&gt;0,INDEX($AH$9:$AH$302,$AF303),0))*$AE303*$D303,0),IF(AND(OR($F303="buy_to_close",$F303="expire",$F303="roll",$F303="assignment",$F303="called_away"),$F303&lt;&gt;"roll",$AG303="put"),-IF($AF303&gt;0,INDEX($AH$9:$AH$302,$AF303),0)*$AE303*$D303,0))))</f>
        <v/>
      </c>
      <c r="AP303" s="51" t="str">
        <f>IF($A303="","",IFERROR(LOOKUP(2,1/($B$9:$B$302=$B303),$AP$9:$AP302),0)+IF($F303="sell_put",$AE303*$D303,IF(AND(OR($F303="buy_to_close",$F303="expire",$F303="roll",$F303="assignment",$F303="called_away"),$F303&lt;&gt;"roll",$AG303="put"),-$AE303*$D303,0)))</f>
        <v/>
      </c>
      <c r="AQ303" s="51" t="str">
        <f>IF($A303="","",IFERROR(LOOKUP(2,1/($B$9:$B$302=$B303),$AQ$9:$AQ302),0)+IF(OR($F303="sell_put",$F303="sell_call"),$AE303,0)-IF(AND(OR($F303="buy_to_close",$F303="expire",$F303="roll",$F303="assignment",$F303="called_away"),$F303&lt;&gt;"roll"),$AE303,0))</f>
        <v/>
      </c>
      <c r="AR303" t="str">
        <f t="shared" si="81"/>
        <v/>
      </c>
      <c r="AS303" s="50" t="str">
        <f t="shared" si="82"/>
        <v/>
      </c>
      <c r="AT303" s="50" t="str">
        <f>IF($A303="","",MAX(IF($T303=IFERROR(LOOKUP(2,1/($B$9:$B$302=$B303),$T$9:$T302),0),IFERROR(LOOKUP(2,1/($B$9:$B$302=$B303),$AT$9:$AT302),0),0),$AS303))</f>
        <v/>
      </c>
      <c r="AU303" t="str">
        <f t="shared" si="83"/>
        <v/>
      </c>
      <c r="AV303" s="51">
        <f>IF($AU303="",0,IF(AND(IFERROR(LOOKUP(2,1/($B$9:$B$302=$B303),$AR$9:$AR302),1),NOT(AND(OR($F303="dividend",$F303="fee"),IFERROR(LOOKUP(2,1/($B$9:$B$302=$B303),$T$9:$T302),0)&gt;0))),ROW(),0))</f>
        <v>0</v>
      </c>
      <c r="AW303">
        <f>IF($A303="",0,IF($AV303&gt;0,MAX($AW$9:$AW$302)+1,MAX($AW$9:$AW$302)))</f>
        <v>0</v>
      </c>
      <c r="AX303">
        <f>IF($AU303="",0,IF(AND($AR303,OR(NOT(IFERROR(LOOKUP(2,1/($B$9:$B$302=$B303),$AR$9:$AR302),1)),IFERROR(LOOKUP(2,1/($B$9:$B$302=$B303),$T$9:$T302),0)=0)),ROW(),0))</f>
        <v>0</v>
      </c>
      <c r="AY303" t="str">
        <f t="shared" si="84"/>
        <v/>
      </c>
    </row>
    <row r="304" spans="1:51" ht="15" x14ac:dyDescent="0.25">
      <c r="A304" s="52" t="str">
        <f>IF(Trades!$A304="","",Trades!O304)</f>
        <v/>
      </c>
      <c r="B304" s="52" t="str">
        <f>IF(Trades!$A304="","",Trades!B304)</f>
        <v/>
      </c>
      <c r="C304" s="52" t="str">
        <f>IF(Trades!$A304="","",Trades!C304)</f>
        <v/>
      </c>
      <c r="D304" s="53" t="str">
        <f>IF(Trades!$A304="","",IF(Trades!$L304&gt;0,Trades!$L304,Trades!$C$6))</f>
        <v/>
      </c>
      <c r="E304" s="54" t="str">
        <f>IF(Trades!$A304="","",Trades!A304)</f>
        <v/>
      </c>
      <c r="F304" s="52" t="str">
        <f>IF(Trades!$A304="","",IFERROR(INDEX(Trades!$V$2:$V$14,MATCH(Trades!$E304,Trades!$U$2:$U$14,0)),""))</f>
        <v/>
      </c>
      <c r="G304" s="52" t="str">
        <f>IF(Trades!$A304="","",Trades!N304)</f>
        <v/>
      </c>
      <c r="H304" s="53" t="str">
        <f>IF(Trades!$A304="","",Trades!F304)</f>
        <v/>
      </c>
      <c r="I304" s="55" t="str">
        <f>IF(Trades!$A304="","",Trades!G304)</f>
        <v/>
      </c>
      <c r="J304" s="55" t="str">
        <f>IF(Trades!$A304="","",Trades!I304)</f>
        <v/>
      </c>
      <c r="K304" s="55" t="str">
        <f>IF(Trades!$A304="","",Trades!Q304)</f>
        <v/>
      </c>
      <c r="L304" s="53" t="str">
        <f>IF(Trades!$A304="","",Trades!F304)</f>
        <v/>
      </c>
      <c r="M304" s="55" t="str">
        <f>IF(Trades!$A304="","",Trades!M304)</f>
        <v/>
      </c>
      <c r="N304" s="55" t="str">
        <f>IF(Trades!$A304="","",Trades!R304)</f>
        <v/>
      </c>
      <c r="O304" s="55" t="str">
        <f>IF(Trades!$A304="","",Trades!J304)</f>
        <v/>
      </c>
      <c r="P304" s="54" t="str">
        <f>IF(Trades!$A304="","",Trades!H304)</f>
        <v/>
      </c>
      <c r="Q304" s="52" t="str">
        <f>IF(Trades!$A304="","",Trades!P304)</f>
        <v/>
      </c>
      <c r="R304" s="56" t="str">
        <f t="shared" si="68"/>
        <v/>
      </c>
      <c r="S304" s="56" t="str">
        <f t="shared" si="69"/>
        <v/>
      </c>
      <c r="T304" s="57" t="str">
        <f>IF(OR($A304="",$B304=""),"",IF(AND(IFERROR(LOOKUP(2,1/($B$9:$B$303=$B304),$AR$9:$AR303),1),NOT(AND(OR($F304="dividend",$F304="fee"),IFERROR(LOOKUP(2,1/($B$9:$B$303=$B304),$T$9:$T303),0)&gt;0))),IFERROR(LOOKUP(2,1/($B$9:$B$303=$B304),$T$9:$T303),0)+1,IFERROR(LOOKUP(2,1/($B$9:$B$303=$B304),$T$9:$T303),0)))</f>
        <v/>
      </c>
      <c r="U304" s="58" t="str">
        <f t="shared" si="70"/>
        <v/>
      </c>
      <c r="V304" s="58" t="str">
        <f>IF($A304="","",IF(OR($B304="",$C304="",$D304="",$E304="",$F304=""),"Missing required field",IF(COUNTIFS($A$9:$A304,$A304,$B$9:$B304,$B304)&gt;1,"Duplicate event ID",IF(AND($E304&lt;&gt;IFERROR(LOOKUP(2,1/($B$9:$B$303=$B304),$E$9:$E303),0),IFERROR(LOOKUP(2,1/($B$9:$B$303=$B304),$E$9:$E303),0)&gt;$E304),"Date out of order",IF(AND(OR($F304="buy_to_close",$F304="expire",$F304="roll",$F304="assignment",$F304="called_away"),$AF304=0),"Unknown lot",IF(OR(AND($F304="assignment",$AF304&gt;0,IF($AF304&gt;0,INDEX($AG$9:$AG$303,$AF304),"")&lt;&gt;"put"),AND($F304="called_away",$AF304&gt;0,IF($AF304&gt;0,INDEX($AG$9:$AG$303,$AF304),"")&lt;&gt;"call")),"Wrong option leg",IF(OR(AND(OR($F304="sell_put",$F304="sell_call"),OR($H304&lt;=0,$I304&lt;=0,$J304&lt;0)),AND(OR($F304="buy_to_close",$F304="expire",$F304="assignment",$F304="called_away"),OR($H304&lt;=0,$J304&lt;0)),AND($F304="roll",OR($H304&lt;=0,$I304&lt;=0,$J304&lt;0,$K304&lt;0)),AND(OR($F304="buy_shares",$F304="sell_shares"),OR($L304&lt;=0,$M304&lt;0)),AND(OR($F304="dividend",$F304="fee"),$N304&lt;0)),"Invalid value",IF(AND(OR($F304="sell_shares",$F304="called_away"),$AL304&lt;IF($F304="called_away",$AE304*$D304,$L304)),"Insufficient shares (capped)",IF(AND(OR($F304="buy_to_close",$F304="expire",$F304="roll",$F304="assignment",$F304="called_away"),$AF304&gt;0,$H304&gt;IF($AF304&gt;0,MAX(0,INDEX($AI$9:$AI$303,$AF304)-SUMIFS($AE$9:$AE$303,$G$9:$G$303,$G304,$B$9:$B$303,$B304)),0)),"Close quantity capped","OK")))))))))</f>
        <v/>
      </c>
      <c r="W304" s="59" t="str">
        <f t="shared" si="71"/>
        <v/>
      </c>
      <c r="X304" s="60" t="str">
        <f t="shared" si="72"/>
        <v/>
      </c>
      <c r="Y304" s="50" t="str">
        <f t="shared" si="73"/>
        <v/>
      </c>
      <c r="Z304" s="50" t="str">
        <f t="shared" si="74"/>
        <v/>
      </c>
      <c r="AA304" s="50" t="str">
        <f t="shared" si="75"/>
        <v/>
      </c>
      <c r="AB304" s="50" t="str">
        <f t="shared" si="76"/>
        <v/>
      </c>
      <c r="AC304" s="50" t="str">
        <f>IF($A304="","",IF($F304="assignment",IF($AF304&gt;0,INDEX($AH$9:$AH$303,$AF304),0)*$AE304*$D304,IF($F304="buy_shares",$M304*$AL304,0)))</f>
        <v/>
      </c>
      <c r="AD304" s="50" t="str">
        <f>IF($A304="","",IF($F304="called_away",IF($AF304&gt;0,INDEX($AH$9:$AH$303,$AF304),0)*$AL304,IF($F304="sell_shares",$M304*$AL304,0)))</f>
        <v/>
      </c>
      <c r="AE304" s="51" t="str">
        <f>IF($A304="","",IF(OR($F304="sell_put",$F304="sell_call"),IF(AND($H304&gt;0,$I304&gt;0,$J304&gt;=0),$H304,0),IF(OR($F304="buy_to_close",$F304="expire",$F304="roll",$F304="assignment",$F304="called_away"),IF(AND($AF304&gt;0,$H304&gt;0,IF($F304="assignment",IF($AF304&gt;0,INDEX($AG$9:$AG$303,$AF304),"")="put",TRUE),IF($F304="called_away",IF($AF304&gt;0,INDEX($AG$9:$AG$303,$AF304),"")="call",TRUE)),MIN($H304,IF($AF304&gt;0,MAX(0,INDEX($AI$9:$AI$303,$AF304)-SUMIFS($AE$9:$AE$303,$G$9:$G$303,$G304,$B$9:$B$303,$B304)),0)),0),0)))</f>
        <v/>
      </c>
      <c r="AF304" t="str">
        <f>IF($A304="","",IFERROR(MATCH(LEN($B304)&amp;":"&amp;$B304&amp;$G304,$AY$9:$AY$303,0),0))</f>
        <v/>
      </c>
      <c r="AG304" t="str">
        <f>IF($A304="","",IF($F304="sell_put","put",IF($F304="sell_call","call",IF($F304="roll",IF($AF304&gt;0,IF($AF304&gt;0,INDEX($AG$9:$AG$303,$AF304),""),""),IF($AF304&gt;0,IF($AF304&gt;0,INDEX($AG$9:$AG$303,$AF304),""),"")))))</f>
        <v/>
      </c>
      <c r="AH304" t="str">
        <f>IF($A304="","",IF(OR($F304="sell_put",$F304="sell_call",$F304="roll"),$I304,IF($AF304&gt;0,IF($AF304&gt;0,INDEX($AH$9:$AH$303,$AF304),0),0)))</f>
        <v/>
      </c>
      <c r="AI304" s="51" t="str">
        <f t="shared" si="77"/>
        <v/>
      </c>
      <c r="AJ304" s="51" t="str">
        <f>IF($A304="","",IFERROR(LOOKUP(2,1/($B$9:$B$303=$B304),$AM$9:$AM303),0))</f>
        <v/>
      </c>
      <c r="AK304" t="str">
        <f>IF($A304="","",IFERROR(LOOKUP(2,1/($B$9:$B$303=$B304),$AN$9:$AN303),0))</f>
        <v/>
      </c>
      <c r="AL304" s="51" t="str">
        <f t="shared" si="78"/>
        <v/>
      </c>
      <c r="AM304" s="51" t="str">
        <f t="shared" si="79"/>
        <v/>
      </c>
      <c r="AN304" t="str">
        <f t="shared" si="80"/>
        <v/>
      </c>
      <c r="AO304" s="50" t="str">
        <f>IF($A304="","",IFERROR(LOOKUP(2,1/($B$9:$B$303=$B304),$AO$9:$AO303),0)+IF($F304="sell_put",$I304*$AE304*$D304,IF($F304="roll",IF($AG304="put",($I304-IF($AF304&gt;0,INDEX($AH$9:$AH$303,$AF304),0))*$AE304*$D304,0),IF(AND(OR($F304="buy_to_close",$F304="expire",$F304="roll",$F304="assignment",$F304="called_away"),$F304&lt;&gt;"roll",$AG304="put"),-IF($AF304&gt;0,INDEX($AH$9:$AH$303,$AF304),0)*$AE304*$D304,0))))</f>
        <v/>
      </c>
      <c r="AP304" s="51" t="str">
        <f>IF($A304="","",IFERROR(LOOKUP(2,1/($B$9:$B$303=$B304),$AP$9:$AP303),0)+IF($F304="sell_put",$AE304*$D304,IF(AND(OR($F304="buy_to_close",$F304="expire",$F304="roll",$F304="assignment",$F304="called_away"),$F304&lt;&gt;"roll",$AG304="put"),-$AE304*$D304,0)))</f>
        <v/>
      </c>
      <c r="AQ304" s="51" t="str">
        <f>IF($A304="","",IFERROR(LOOKUP(2,1/($B$9:$B$303=$B304),$AQ$9:$AQ303),0)+IF(OR($F304="sell_put",$F304="sell_call"),$AE304,0)-IF(AND(OR($F304="buy_to_close",$F304="expire",$F304="roll",$F304="assignment",$F304="called_away"),$F304&lt;&gt;"roll"),$AE304,0))</f>
        <v/>
      </c>
      <c r="AR304" t="str">
        <f t="shared" si="81"/>
        <v/>
      </c>
      <c r="AS304" s="50" t="str">
        <f t="shared" si="82"/>
        <v/>
      </c>
      <c r="AT304" s="50" t="str">
        <f>IF($A304="","",MAX(IF($T304=IFERROR(LOOKUP(2,1/($B$9:$B$303=$B304),$T$9:$T303),0),IFERROR(LOOKUP(2,1/($B$9:$B$303=$B304),$AT$9:$AT303),0),0),$AS304))</f>
        <v/>
      </c>
      <c r="AU304" t="str">
        <f t="shared" si="83"/>
        <v/>
      </c>
      <c r="AV304" s="51">
        <f>IF($AU304="",0,IF(AND(IFERROR(LOOKUP(2,1/($B$9:$B$303=$B304),$AR$9:$AR303),1),NOT(AND(OR($F304="dividend",$F304="fee"),IFERROR(LOOKUP(2,1/($B$9:$B$303=$B304),$T$9:$T303),0)&gt;0))),ROW(),0))</f>
        <v>0</v>
      </c>
      <c r="AW304">
        <f>IF($A304="",0,IF($AV304&gt;0,MAX($AW$9:$AW$303)+1,MAX($AW$9:$AW$303)))</f>
        <v>0</v>
      </c>
      <c r="AX304">
        <f>IF($AU304="",0,IF(AND($AR304,OR(NOT(IFERROR(LOOKUP(2,1/($B$9:$B$303=$B304),$AR$9:$AR303),1)),IFERROR(LOOKUP(2,1/($B$9:$B$303=$B304),$T$9:$T303),0)=0)),ROW(),0))</f>
        <v>0</v>
      </c>
      <c r="AY304" t="str">
        <f t="shared" si="84"/>
        <v/>
      </c>
    </row>
    <row r="305" spans="1:51" ht="15" x14ac:dyDescent="0.25">
      <c r="A305" s="41" t="str">
        <f>IF(Trades!$A305="","",Trades!O305)</f>
        <v/>
      </c>
      <c r="B305" s="41" t="str">
        <f>IF(Trades!$A305="","",Trades!B305)</f>
        <v/>
      </c>
      <c r="C305" s="41" t="str">
        <f>IF(Trades!$A305="","",Trades!C305)</f>
        <v/>
      </c>
      <c r="D305" s="42" t="str">
        <f>IF(Trades!$A305="","",IF(Trades!$L305&gt;0,Trades!$L305,Trades!$C$6))</f>
        <v/>
      </c>
      <c r="E305" s="43" t="str">
        <f>IF(Trades!$A305="","",Trades!A305)</f>
        <v/>
      </c>
      <c r="F305" s="41" t="str">
        <f>IF(Trades!$A305="","",IFERROR(INDEX(Trades!$V$2:$V$14,MATCH(Trades!$E305,Trades!$U$2:$U$14,0)),""))</f>
        <v/>
      </c>
      <c r="G305" s="41" t="str">
        <f>IF(Trades!$A305="","",Trades!N305)</f>
        <v/>
      </c>
      <c r="H305" s="42" t="str">
        <f>IF(Trades!$A305="","",Trades!F305)</f>
        <v/>
      </c>
      <c r="I305" s="44" t="str">
        <f>IF(Trades!$A305="","",Trades!G305)</f>
        <v/>
      </c>
      <c r="J305" s="44" t="str">
        <f>IF(Trades!$A305="","",Trades!I305)</f>
        <v/>
      </c>
      <c r="K305" s="44" t="str">
        <f>IF(Trades!$A305="","",Trades!Q305)</f>
        <v/>
      </c>
      <c r="L305" s="42" t="str">
        <f>IF(Trades!$A305="","",Trades!F305)</f>
        <v/>
      </c>
      <c r="M305" s="44" t="str">
        <f>IF(Trades!$A305="","",Trades!M305)</f>
        <v/>
      </c>
      <c r="N305" s="44" t="str">
        <f>IF(Trades!$A305="","",Trades!R305)</f>
        <v/>
      </c>
      <c r="O305" s="44" t="str">
        <f>IF(Trades!$A305="","",Trades!J305)</f>
        <v/>
      </c>
      <c r="P305" s="43" t="str">
        <f>IF(Trades!$A305="","",Trades!H305)</f>
        <v/>
      </c>
      <c r="Q305" s="41" t="str">
        <f>IF(Trades!$A305="","",Trades!P305)</f>
        <v/>
      </c>
      <c r="R305" s="45" t="str">
        <f t="shared" si="68"/>
        <v/>
      </c>
      <c r="S305" s="45" t="str">
        <f t="shared" si="69"/>
        <v/>
      </c>
      <c r="T305" s="46" t="str">
        <f>IF(OR($A305="",$B305=""),"",IF(AND(IFERROR(LOOKUP(2,1/($B$9:$B$304=$B305),$AR$9:$AR304),1),NOT(AND(OR($F305="dividend",$F305="fee"),IFERROR(LOOKUP(2,1/($B$9:$B$304=$B305),$T$9:$T304),0)&gt;0))),IFERROR(LOOKUP(2,1/($B$9:$B$304=$B305),$T$9:$T304),0)+1,IFERROR(LOOKUP(2,1/($B$9:$B$304=$B305),$T$9:$T304),0)))</f>
        <v/>
      </c>
      <c r="U305" s="47" t="str">
        <f t="shared" si="70"/>
        <v/>
      </c>
      <c r="V305" s="47" t="str">
        <f>IF($A305="","",IF(OR($B305="",$C305="",$D305="",$E305="",$F305=""),"Missing required field",IF(COUNTIFS($A$9:$A305,$A305,$B$9:$B305,$B305)&gt;1,"Duplicate event ID",IF(AND($E305&lt;&gt;IFERROR(LOOKUP(2,1/($B$9:$B$304=$B305),$E$9:$E304),0),IFERROR(LOOKUP(2,1/($B$9:$B$304=$B305),$E$9:$E304),0)&gt;$E305),"Date out of order",IF(AND(OR($F305="buy_to_close",$F305="expire",$F305="roll",$F305="assignment",$F305="called_away"),$AF305=0),"Unknown lot",IF(OR(AND($F305="assignment",$AF305&gt;0,IF($AF305&gt;0,INDEX($AG$9:$AG$304,$AF305),"")&lt;&gt;"put"),AND($F305="called_away",$AF305&gt;0,IF($AF305&gt;0,INDEX($AG$9:$AG$304,$AF305),"")&lt;&gt;"call")),"Wrong option leg",IF(OR(AND(OR($F305="sell_put",$F305="sell_call"),OR($H305&lt;=0,$I305&lt;=0,$J305&lt;0)),AND(OR($F305="buy_to_close",$F305="expire",$F305="assignment",$F305="called_away"),OR($H305&lt;=0,$J305&lt;0)),AND($F305="roll",OR($H305&lt;=0,$I305&lt;=0,$J305&lt;0,$K305&lt;0)),AND(OR($F305="buy_shares",$F305="sell_shares"),OR($L305&lt;=0,$M305&lt;0)),AND(OR($F305="dividend",$F305="fee"),$N305&lt;0)),"Invalid value",IF(AND(OR($F305="sell_shares",$F305="called_away"),$AL305&lt;IF($F305="called_away",$AE305*$D305,$L305)),"Insufficient shares (capped)",IF(AND(OR($F305="buy_to_close",$F305="expire",$F305="roll",$F305="assignment",$F305="called_away"),$AF305&gt;0,$H305&gt;IF($AF305&gt;0,MAX(0,INDEX($AI$9:$AI$304,$AF305)-SUMIFS($AE$9:$AE$304,$G$9:$G$304,$G305,$B$9:$B$304,$B305)),0)),"Close quantity capped","OK")))))))))</f>
        <v/>
      </c>
      <c r="W305" s="48" t="str">
        <f t="shared" si="71"/>
        <v/>
      </c>
      <c r="X305" s="49" t="str">
        <f t="shared" si="72"/>
        <v/>
      </c>
      <c r="Y305" s="50" t="str">
        <f t="shared" si="73"/>
        <v/>
      </c>
      <c r="Z305" s="50" t="str">
        <f t="shared" si="74"/>
        <v/>
      </c>
      <c r="AA305" s="50" t="str">
        <f t="shared" si="75"/>
        <v/>
      </c>
      <c r="AB305" s="50" t="str">
        <f t="shared" si="76"/>
        <v/>
      </c>
      <c r="AC305" s="50" t="str">
        <f>IF($A305="","",IF($F305="assignment",IF($AF305&gt;0,INDEX($AH$9:$AH$304,$AF305),0)*$AE305*$D305,IF($F305="buy_shares",$M305*$AL305,0)))</f>
        <v/>
      </c>
      <c r="AD305" s="50" t="str">
        <f>IF($A305="","",IF($F305="called_away",IF($AF305&gt;0,INDEX($AH$9:$AH$304,$AF305),0)*$AL305,IF($F305="sell_shares",$M305*$AL305,0)))</f>
        <v/>
      </c>
      <c r="AE305" s="51" t="str">
        <f>IF($A305="","",IF(OR($F305="sell_put",$F305="sell_call"),IF(AND($H305&gt;0,$I305&gt;0,$J305&gt;=0),$H305,0),IF(OR($F305="buy_to_close",$F305="expire",$F305="roll",$F305="assignment",$F305="called_away"),IF(AND($AF305&gt;0,$H305&gt;0,IF($F305="assignment",IF($AF305&gt;0,INDEX($AG$9:$AG$304,$AF305),"")="put",TRUE),IF($F305="called_away",IF($AF305&gt;0,INDEX($AG$9:$AG$304,$AF305),"")="call",TRUE)),MIN($H305,IF($AF305&gt;0,MAX(0,INDEX($AI$9:$AI$304,$AF305)-SUMIFS($AE$9:$AE$304,$G$9:$G$304,$G305,$B$9:$B$304,$B305)),0)),0),0)))</f>
        <v/>
      </c>
      <c r="AF305" t="str">
        <f>IF($A305="","",IFERROR(MATCH(LEN($B305)&amp;":"&amp;$B305&amp;$G305,$AY$9:$AY$304,0),0))</f>
        <v/>
      </c>
      <c r="AG305" t="str">
        <f>IF($A305="","",IF($F305="sell_put","put",IF($F305="sell_call","call",IF($F305="roll",IF($AF305&gt;0,IF($AF305&gt;0,INDEX($AG$9:$AG$304,$AF305),""),""),IF($AF305&gt;0,IF($AF305&gt;0,INDEX($AG$9:$AG$304,$AF305),""),"")))))</f>
        <v/>
      </c>
      <c r="AH305" t="str">
        <f>IF($A305="","",IF(OR($F305="sell_put",$F305="sell_call",$F305="roll"),$I305,IF($AF305&gt;0,IF($AF305&gt;0,INDEX($AH$9:$AH$304,$AF305),0),0)))</f>
        <v/>
      </c>
      <c r="AI305" s="51" t="str">
        <f t="shared" si="77"/>
        <v/>
      </c>
      <c r="AJ305" s="51" t="str">
        <f>IF($A305="","",IFERROR(LOOKUP(2,1/($B$9:$B$304=$B305),$AM$9:$AM304),0))</f>
        <v/>
      </c>
      <c r="AK305" t="str">
        <f>IF($A305="","",IFERROR(LOOKUP(2,1/($B$9:$B$304=$B305),$AN$9:$AN304),0))</f>
        <v/>
      </c>
      <c r="AL305" s="51" t="str">
        <f t="shared" si="78"/>
        <v/>
      </c>
      <c r="AM305" s="51" t="str">
        <f t="shared" si="79"/>
        <v/>
      </c>
      <c r="AN305" t="str">
        <f t="shared" si="80"/>
        <v/>
      </c>
      <c r="AO305" s="50" t="str">
        <f>IF($A305="","",IFERROR(LOOKUP(2,1/($B$9:$B$304=$B305),$AO$9:$AO304),0)+IF($F305="sell_put",$I305*$AE305*$D305,IF($F305="roll",IF($AG305="put",($I305-IF($AF305&gt;0,INDEX($AH$9:$AH$304,$AF305),0))*$AE305*$D305,0),IF(AND(OR($F305="buy_to_close",$F305="expire",$F305="roll",$F305="assignment",$F305="called_away"),$F305&lt;&gt;"roll",$AG305="put"),-IF($AF305&gt;0,INDEX($AH$9:$AH$304,$AF305),0)*$AE305*$D305,0))))</f>
        <v/>
      </c>
      <c r="AP305" s="51" t="str">
        <f>IF($A305="","",IFERROR(LOOKUP(2,1/($B$9:$B$304=$B305),$AP$9:$AP304),0)+IF($F305="sell_put",$AE305*$D305,IF(AND(OR($F305="buy_to_close",$F305="expire",$F305="roll",$F305="assignment",$F305="called_away"),$F305&lt;&gt;"roll",$AG305="put"),-$AE305*$D305,0)))</f>
        <v/>
      </c>
      <c r="AQ305" s="51" t="str">
        <f>IF($A305="","",IFERROR(LOOKUP(2,1/($B$9:$B$304=$B305),$AQ$9:$AQ304),0)+IF(OR($F305="sell_put",$F305="sell_call"),$AE305,0)-IF(AND(OR($F305="buy_to_close",$F305="expire",$F305="roll",$F305="assignment",$F305="called_away"),$F305&lt;&gt;"roll"),$AE305,0))</f>
        <v/>
      </c>
      <c r="AR305" t="str">
        <f t="shared" si="81"/>
        <v/>
      </c>
      <c r="AS305" s="50" t="str">
        <f t="shared" si="82"/>
        <v/>
      </c>
      <c r="AT305" s="50" t="str">
        <f>IF($A305="","",MAX(IF($T305=IFERROR(LOOKUP(2,1/($B$9:$B$304=$B305),$T$9:$T304),0),IFERROR(LOOKUP(2,1/($B$9:$B$304=$B305),$AT$9:$AT304),0),0),$AS305))</f>
        <v/>
      </c>
      <c r="AU305" t="str">
        <f t="shared" si="83"/>
        <v/>
      </c>
      <c r="AV305" s="51">
        <f>IF($AU305="",0,IF(AND(IFERROR(LOOKUP(2,1/($B$9:$B$304=$B305),$AR$9:$AR304),1),NOT(AND(OR($F305="dividend",$F305="fee"),IFERROR(LOOKUP(2,1/($B$9:$B$304=$B305),$T$9:$T304),0)&gt;0))),ROW(),0))</f>
        <v>0</v>
      </c>
      <c r="AW305">
        <f>IF($A305="",0,IF($AV305&gt;0,MAX($AW$9:$AW$304)+1,MAX($AW$9:$AW$304)))</f>
        <v>0</v>
      </c>
      <c r="AX305">
        <f>IF($AU305="",0,IF(AND($AR305,OR(NOT(IFERROR(LOOKUP(2,1/($B$9:$B$304=$B305),$AR$9:$AR304),1)),IFERROR(LOOKUP(2,1/($B$9:$B$304=$B305),$T$9:$T304),0)=0)),ROW(),0))</f>
        <v>0</v>
      </c>
      <c r="AY305" t="str">
        <f t="shared" si="84"/>
        <v/>
      </c>
    </row>
    <row r="306" spans="1:51" ht="15" x14ac:dyDescent="0.25">
      <c r="A306" s="52" t="str">
        <f>IF(Trades!$A306="","",Trades!O306)</f>
        <v/>
      </c>
      <c r="B306" s="52" t="str">
        <f>IF(Trades!$A306="","",Trades!B306)</f>
        <v/>
      </c>
      <c r="C306" s="52" t="str">
        <f>IF(Trades!$A306="","",Trades!C306)</f>
        <v/>
      </c>
      <c r="D306" s="53" t="str">
        <f>IF(Trades!$A306="","",IF(Trades!$L306&gt;0,Trades!$L306,Trades!$C$6))</f>
        <v/>
      </c>
      <c r="E306" s="54" t="str">
        <f>IF(Trades!$A306="","",Trades!A306)</f>
        <v/>
      </c>
      <c r="F306" s="52" t="str">
        <f>IF(Trades!$A306="","",IFERROR(INDEX(Trades!$V$2:$V$14,MATCH(Trades!$E306,Trades!$U$2:$U$14,0)),""))</f>
        <v/>
      </c>
      <c r="G306" s="52" t="str">
        <f>IF(Trades!$A306="","",Trades!N306)</f>
        <v/>
      </c>
      <c r="H306" s="53" t="str">
        <f>IF(Trades!$A306="","",Trades!F306)</f>
        <v/>
      </c>
      <c r="I306" s="55" t="str">
        <f>IF(Trades!$A306="","",Trades!G306)</f>
        <v/>
      </c>
      <c r="J306" s="55" t="str">
        <f>IF(Trades!$A306="","",Trades!I306)</f>
        <v/>
      </c>
      <c r="K306" s="55" t="str">
        <f>IF(Trades!$A306="","",Trades!Q306)</f>
        <v/>
      </c>
      <c r="L306" s="53" t="str">
        <f>IF(Trades!$A306="","",Trades!F306)</f>
        <v/>
      </c>
      <c r="M306" s="55" t="str">
        <f>IF(Trades!$A306="","",Trades!M306)</f>
        <v/>
      </c>
      <c r="N306" s="55" t="str">
        <f>IF(Trades!$A306="","",Trades!R306)</f>
        <v/>
      </c>
      <c r="O306" s="55" t="str">
        <f>IF(Trades!$A306="","",Trades!J306)</f>
        <v/>
      </c>
      <c r="P306" s="54" t="str">
        <f>IF(Trades!$A306="","",Trades!H306)</f>
        <v/>
      </c>
      <c r="Q306" s="52" t="str">
        <f>IF(Trades!$A306="","",Trades!P306)</f>
        <v/>
      </c>
      <c r="R306" s="56" t="str">
        <f t="shared" si="68"/>
        <v/>
      </c>
      <c r="S306" s="56" t="str">
        <f t="shared" si="69"/>
        <v/>
      </c>
      <c r="T306" s="57" t="str">
        <f>IF(OR($A306="",$B306=""),"",IF(AND(IFERROR(LOOKUP(2,1/($B$9:$B$305=$B306),$AR$9:$AR305),1),NOT(AND(OR($F306="dividend",$F306="fee"),IFERROR(LOOKUP(2,1/($B$9:$B$305=$B306),$T$9:$T305),0)&gt;0))),IFERROR(LOOKUP(2,1/($B$9:$B$305=$B306),$T$9:$T305),0)+1,IFERROR(LOOKUP(2,1/($B$9:$B$305=$B306),$T$9:$T305),0)))</f>
        <v/>
      </c>
      <c r="U306" s="58" t="str">
        <f t="shared" si="70"/>
        <v/>
      </c>
      <c r="V306" s="58" t="str">
        <f>IF($A306="","",IF(OR($B306="",$C306="",$D306="",$E306="",$F306=""),"Missing required field",IF(COUNTIFS($A$9:$A306,$A306,$B$9:$B306,$B306)&gt;1,"Duplicate event ID",IF(AND($E306&lt;&gt;IFERROR(LOOKUP(2,1/($B$9:$B$305=$B306),$E$9:$E305),0),IFERROR(LOOKUP(2,1/($B$9:$B$305=$B306),$E$9:$E305),0)&gt;$E306),"Date out of order",IF(AND(OR($F306="buy_to_close",$F306="expire",$F306="roll",$F306="assignment",$F306="called_away"),$AF306=0),"Unknown lot",IF(OR(AND($F306="assignment",$AF306&gt;0,IF($AF306&gt;0,INDEX($AG$9:$AG$305,$AF306),"")&lt;&gt;"put"),AND($F306="called_away",$AF306&gt;0,IF($AF306&gt;0,INDEX($AG$9:$AG$305,$AF306),"")&lt;&gt;"call")),"Wrong option leg",IF(OR(AND(OR($F306="sell_put",$F306="sell_call"),OR($H306&lt;=0,$I306&lt;=0,$J306&lt;0)),AND(OR($F306="buy_to_close",$F306="expire",$F306="assignment",$F306="called_away"),OR($H306&lt;=0,$J306&lt;0)),AND($F306="roll",OR($H306&lt;=0,$I306&lt;=0,$J306&lt;0,$K306&lt;0)),AND(OR($F306="buy_shares",$F306="sell_shares"),OR($L306&lt;=0,$M306&lt;0)),AND(OR($F306="dividend",$F306="fee"),$N306&lt;0)),"Invalid value",IF(AND(OR($F306="sell_shares",$F306="called_away"),$AL306&lt;IF($F306="called_away",$AE306*$D306,$L306)),"Insufficient shares (capped)",IF(AND(OR($F306="buy_to_close",$F306="expire",$F306="roll",$F306="assignment",$F306="called_away"),$AF306&gt;0,$H306&gt;IF($AF306&gt;0,MAX(0,INDEX($AI$9:$AI$305,$AF306)-SUMIFS($AE$9:$AE$305,$G$9:$G$305,$G306,$B$9:$B$305,$B306)),0)),"Close quantity capped","OK")))))))))</f>
        <v/>
      </c>
      <c r="W306" s="59" t="str">
        <f t="shared" si="71"/>
        <v/>
      </c>
      <c r="X306" s="60" t="str">
        <f t="shared" si="72"/>
        <v/>
      </c>
      <c r="Y306" s="50" t="str">
        <f t="shared" si="73"/>
        <v/>
      </c>
      <c r="Z306" s="50" t="str">
        <f t="shared" si="74"/>
        <v/>
      </c>
      <c r="AA306" s="50" t="str">
        <f t="shared" si="75"/>
        <v/>
      </c>
      <c r="AB306" s="50" t="str">
        <f t="shared" si="76"/>
        <v/>
      </c>
      <c r="AC306" s="50" t="str">
        <f>IF($A306="","",IF($F306="assignment",IF($AF306&gt;0,INDEX($AH$9:$AH$305,$AF306),0)*$AE306*$D306,IF($F306="buy_shares",$M306*$AL306,0)))</f>
        <v/>
      </c>
      <c r="AD306" s="50" t="str">
        <f>IF($A306="","",IF($F306="called_away",IF($AF306&gt;0,INDEX($AH$9:$AH$305,$AF306),0)*$AL306,IF($F306="sell_shares",$M306*$AL306,0)))</f>
        <v/>
      </c>
      <c r="AE306" s="51" t="str">
        <f>IF($A306="","",IF(OR($F306="sell_put",$F306="sell_call"),IF(AND($H306&gt;0,$I306&gt;0,$J306&gt;=0),$H306,0),IF(OR($F306="buy_to_close",$F306="expire",$F306="roll",$F306="assignment",$F306="called_away"),IF(AND($AF306&gt;0,$H306&gt;0,IF($F306="assignment",IF($AF306&gt;0,INDEX($AG$9:$AG$305,$AF306),"")="put",TRUE),IF($F306="called_away",IF($AF306&gt;0,INDEX($AG$9:$AG$305,$AF306),"")="call",TRUE)),MIN($H306,IF($AF306&gt;0,MAX(0,INDEX($AI$9:$AI$305,$AF306)-SUMIFS($AE$9:$AE$305,$G$9:$G$305,$G306,$B$9:$B$305,$B306)),0)),0),0)))</f>
        <v/>
      </c>
      <c r="AF306" t="str">
        <f>IF($A306="","",IFERROR(MATCH(LEN($B306)&amp;":"&amp;$B306&amp;$G306,$AY$9:$AY$305,0),0))</f>
        <v/>
      </c>
      <c r="AG306" t="str">
        <f>IF($A306="","",IF($F306="sell_put","put",IF($F306="sell_call","call",IF($F306="roll",IF($AF306&gt;0,IF($AF306&gt;0,INDEX($AG$9:$AG$305,$AF306),""),""),IF($AF306&gt;0,IF($AF306&gt;0,INDEX($AG$9:$AG$305,$AF306),""),"")))))</f>
        <v/>
      </c>
      <c r="AH306" t="str">
        <f>IF($A306="","",IF(OR($F306="sell_put",$F306="sell_call",$F306="roll"),$I306,IF($AF306&gt;0,IF($AF306&gt;0,INDEX($AH$9:$AH$305,$AF306),0),0)))</f>
        <v/>
      </c>
      <c r="AI306" s="51" t="str">
        <f t="shared" si="77"/>
        <v/>
      </c>
      <c r="AJ306" s="51" t="str">
        <f>IF($A306="","",IFERROR(LOOKUP(2,1/($B$9:$B$305=$B306),$AM$9:$AM305),0))</f>
        <v/>
      </c>
      <c r="AK306" t="str">
        <f>IF($A306="","",IFERROR(LOOKUP(2,1/($B$9:$B$305=$B306),$AN$9:$AN305),0))</f>
        <v/>
      </c>
      <c r="AL306" s="51" t="str">
        <f t="shared" si="78"/>
        <v/>
      </c>
      <c r="AM306" s="51" t="str">
        <f t="shared" si="79"/>
        <v/>
      </c>
      <c r="AN306" t="str">
        <f t="shared" si="80"/>
        <v/>
      </c>
      <c r="AO306" s="50" t="str">
        <f>IF($A306="","",IFERROR(LOOKUP(2,1/($B$9:$B$305=$B306),$AO$9:$AO305),0)+IF($F306="sell_put",$I306*$AE306*$D306,IF($F306="roll",IF($AG306="put",($I306-IF($AF306&gt;0,INDEX($AH$9:$AH$305,$AF306),0))*$AE306*$D306,0),IF(AND(OR($F306="buy_to_close",$F306="expire",$F306="roll",$F306="assignment",$F306="called_away"),$F306&lt;&gt;"roll",$AG306="put"),-IF($AF306&gt;0,INDEX($AH$9:$AH$305,$AF306),0)*$AE306*$D306,0))))</f>
        <v/>
      </c>
      <c r="AP306" s="51" t="str">
        <f>IF($A306="","",IFERROR(LOOKUP(2,1/($B$9:$B$305=$B306),$AP$9:$AP305),0)+IF($F306="sell_put",$AE306*$D306,IF(AND(OR($F306="buy_to_close",$F306="expire",$F306="roll",$F306="assignment",$F306="called_away"),$F306&lt;&gt;"roll",$AG306="put"),-$AE306*$D306,0)))</f>
        <v/>
      </c>
      <c r="AQ306" s="51" t="str">
        <f>IF($A306="","",IFERROR(LOOKUP(2,1/($B$9:$B$305=$B306),$AQ$9:$AQ305),0)+IF(OR($F306="sell_put",$F306="sell_call"),$AE306,0)-IF(AND(OR($F306="buy_to_close",$F306="expire",$F306="roll",$F306="assignment",$F306="called_away"),$F306&lt;&gt;"roll"),$AE306,0))</f>
        <v/>
      </c>
      <c r="AR306" t="str">
        <f t="shared" si="81"/>
        <v/>
      </c>
      <c r="AS306" s="50" t="str">
        <f t="shared" si="82"/>
        <v/>
      </c>
      <c r="AT306" s="50" t="str">
        <f>IF($A306="","",MAX(IF($T306=IFERROR(LOOKUP(2,1/($B$9:$B$305=$B306),$T$9:$T305),0),IFERROR(LOOKUP(2,1/($B$9:$B$305=$B306),$AT$9:$AT305),0),0),$AS306))</f>
        <v/>
      </c>
      <c r="AU306" t="str">
        <f t="shared" si="83"/>
        <v/>
      </c>
      <c r="AV306" s="51">
        <f>IF($AU306="",0,IF(AND(IFERROR(LOOKUP(2,1/($B$9:$B$305=$B306),$AR$9:$AR305),1),NOT(AND(OR($F306="dividend",$F306="fee"),IFERROR(LOOKUP(2,1/($B$9:$B$305=$B306),$T$9:$T305),0)&gt;0))),ROW(),0))</f>
        <v>0</v>
      </c>
      <c r="AW306">
        <f>IF($A306="",0,IF($AV306&gt;0,MAX($AW$9:$AW$305)+1,MAX($AW$9:$AW$305)))</f>
        <v>0</v>
      </c>
      <c r="AX306">
        <f>IF($AU306="",0,IF(AND($AR306,OR(NOT(IFERROR(LOOKUP(2,1/($B$9:$B$305=$B306),$AR$9:$AR305),1)),IFERROR(LOOKUP(2,1/($B$9:$B$305=$B306),$T$9:$T305),0)=0)),ROW(),0))</f>
        <v>0</v>
      </c>
      <c r="AY306" t="str">
        <f t="shared" si="84"/>
        <v/>
      </c>
    </row>
    <row r="307" spans="1:51" ht="15" x14ac:dyDescent="0.25">
      <c r="A307" s="41" t="str">
        <f>IF(Trades!$A307="","",Trades!O307)</f>
        <v/>
      </c>
      <c r="B307" s="41" t="str">
        <f>IF(Trades!$A307="","",Trades!B307)</f>
        <v/>
      </c>
      <c r="C307" s="41" t="str">
        <f>IF(Trades!$A307="","",Trades!C307)</f>
        <v/>
      </c>
      <c r="D307" s="42" t="str">
        <f>IF(Trades!$A307="","",IF(Trades!$L307&gt;0,Trades!$L307,Trades!$C$6))</f>
        <v/>
      </c>
      <c r="E307" s="43" t="str">
        <f>IF(Trades!$A307="","",Trades!A307)</f>
        <v/>
      </c>
      <c r="F307" s="41" t="str">
        <f>IF(Trades!$A307="","",IFERROR(INDEX(Trades!$V$2:$V$14,MATCH(Trades!$E307,Trades!$U$2:$U$14,0)),""))</f>
        <v/>
      </c>
      <c r="G307" s="41" t="str">
        <f>IF(Trades!$A307="","",Trades!N307)</f>
        <v/>
      </c>
      <c r="H307" s="42" t="str">
        <f>IF(Trades!$A307="","",Trades!F307)</f>
        <v/>
      </c>
      <c r="I307" s="44" t="str">
        <f>IF(Trades!$A307="","",Trades!G307)</f>
        <v/>
      </c>
      <c r="J307" s="44" t="str">
        <f>IF(Trades!$A307="","",Trades!I307)</f>
        <v/>
      </c>
      <c r="K307" s="44" t="str">
        <f>IF(Trades!$A307="","",Trades!Q307)</f>
        <v/>
      </c>
      <c r="L307" s="42" t="str">
        <f>IF(Trades!$A307="","",Trades!F307)</f>
        <v/>
      </c>
      <c r="M307" s="44" t="str">
        <f>IF(Trades!$A307="","",Trades!M307)</f>
        <v/>
      </c>
      <c r="N307" s="44" t="str">
        <f>IF(Trades!$A307="","",Trades!R307)</f>
        <v/>
      </c>
      <c r="O307" s="44" t="str">
        <f>IF(Trades!$A307="","",Trades!J307)</f>
        <v/>
      </c>
      <c r="P307" s="43" t="str">
        <f>IF(Trades!$A307="","",Trades!H307)</f>
        <v/>
      </c>
      <c r="Q307" s="41" t="str">
        <f>IF(Trades!$A307="","",Trades!P307)</f>
        <v/>
      </c>
      <c r="R307" s="45" t="str">
        <f t="shared" si="68"/>
        <v/>
      </c>
      <c r="S307" s="45" t="str">
        <f t="shared" si="69"/>
        <v/>
      </c>
      <c r="T307" s="46" t="str">
        <f>IF(OR($A307="",$B307=""),"",IF(AND(IFERROR(LOOKUP(2,1/($B$9:$B$306=$B307),$AR$9:$AR306),1),NOT(AND(OR($F307="dividend",$F307="fee"),IFERROR(LOOKUP(2,1/($B$9:$B$306=$B307),$T$9:$T306),0)&gt;0))),IFERROR(LOOKUP(2,1/($B$9:$B$306=$B307),$T$9:$T306),0)+1,IFERROR(LOOKUP(2,1/($B$9:$B$306=$B307),$T$9:$T306),0)))</f>
        <v/>
      </c>
      <c r="U307" s="47" t="str">
        <f t="shared" si="70"/>
        <v/>
      </c>
      <c r="V307" s="47" t="str">
        <f>IF($A307="","",IF(OR($B307="",$C307="",$D307="",$E307="",$F307=""),"Missing required field",IF(COUNTIFS($A$9:$A307,$A307,$B$9:$B307,$B307)&gt;1,"Duplicate event ID",IF(AND($E307&lt;&gt;IFERROR(LOOKUP(2,1/($B$9:$B$306=$B307),$E$9:$E306),0),IFERROR(LOOKUP(2,1/($B$9:$B$306=$B307),$E$9:$E306),0)&gt;$E307),"Date out of order",IF(AND(OR($F307="buy_to_close",$F307="expire",$F307="roll",$F307="assignment",$F307="called_away"),$AF307=0),"Unknown lot",IF(OR(AND($F307="assignment",$AF307&gt;0,IF($AF307&gt;0,INDEX($AG$9:$AG$306,$AF307),"")&lt;&gt;"put"),AND($F307="called_away",$AF307&gt;0,IF($AF307&gt;0,INDEX($AG$9:$AG$306,$AF307),"")&lt;&gt;"call")),"Wrong option leg",IF(OR(AND(OR($F307="sell_put",$F307="sell_call"),OR($H307&lt;=0,$I307&lt;=0,$J307&lt;0)),AND(OR($F307="buy_to_close",$F307="expire",$F307="assignment",$F307="called_away"),OR($H307&lt;=0,$J307&lt;0)),AND($F307="roll",OR($H307&lt;=0,$I307&lt;=0,$J307&lt;0,$K307&lt;0)),AND(OR($F307="buy_shares",$F307="sell_shares"),OR($L307&lt;=0,$M307&lt;0)),AND(OR($F307="dividend",$F307="fee"),$N307&lt;0)),"Invalid value",IF(AND(OR($F307="sell_shares",$F307="called_away"),$AL307&lt;IF($F307="called_away",$AE307*$D307,$L307)),"Insufficient shares (capped)",IF(AND(OR($F307="buy_to_close",$F307="expire",$F307="roll",$F307="assignment",$F307="called_away"),$AF307&gt;0,$H307&gt;IF($AF307&gt;0,MAX(0,INDEX($AI$9:$AI$306,$AF307)-SUMIFS($AE$9:$AE$306,$G$9:$G$306,$G307,$B$9:$B$306,$B307)),0)),"Close quantity capped","OK")))))))))</f>
        <v/>
      </c>
      <c r="W307" s="48" t="str">
        <f t="shared" si="71"/>
        <v/>
      </c>
      <c r="X307" s="49" t="str">
        <f t="shared" si="72"/>
        <v/>
      </c>
      <c r="Y307" s="50" t="str">
        <f t="shared" si="73"/>
        <v/>
      </c>
      <c r="Z307" s="50" t="str">
        <f t="shared" si="74"/>
        <v/>
      </c>
      <c r="AA307" s="50" t="str">
        <f t="shared" si="75"/>
        <v/>
      </c>
      <c r="AB307" s="50" t="str">
        <f t="shared" si="76"/>
        <v/>
      </c>
      <c r="AC307" s="50" t="str">
        <f>IF($A307="","",IF($F307="assignment",IF($AF307&gt;0,INDEX($AH$9:$AH$306,$AF307),0)*$AE307*$D307,IF($F307="buy_shares",$M307*$AL307,0)))</f>
        <v/>
      </c>
      <c r="AD307" s="50" t="str">
        <f>IF($A307="","",IF($F307="called_away",IF($AF307&gt;0,INDEX($AH$9:$AH$306,$AF307),0)*$AL307,IF($F307="sell_shares",$M307*$AL307,0)))</f>
        <v/>
      </c>
      <c r="AE307" s="51" t="str">
        <f>IF($A307="","",IF(OR($F307="sell_put",$F307="sell_call"),IF(AND($H307&gt;0,$I307&gt;0,$J307&gt;=0),$H307,0),IF(OR($F307="buy_to_close",$F307="expire",$F307="roll",$F307="assignment",$F307="called_away"),IF(AND($AF307&gt;0,$H307&gt;0,IF($F307="assignment",IF($AF307&gt;0,INDEX($AG$9:$AG$306,$AF307),"")="put",TRUE),IF($F307="called_away",IF($AF307&gt;0,INDEX($AG$9:$AG$306,$AF307),"")="call",TRUE)),MIN($H307,IF($AF307&gt;0,MAX(0,INDEX($AI$9:$AI$306,$AF307)-SUMIFS($AE$9:$AE$306,$G$9:$G$306,$G307,$B$9:$B$306,$B307)),0)),0),0)))</f>
        <v/>
      </c>
      <c r="AF307" t="str">
        <f>IF($A307="","",IFERROR(MATCH(LEN($B307)&amp;":"&amp;$B307&amp;$G307,$AY$9:$AY$306,0),0))</f>
        <v/>
      </c>
      <c r="AG307" t="str">
        <f>IF($A307="","",IF($F307="sell_put","put",IF($F307="sell_call","call",IF($F307="roll",IF($AF307&gt;0,IF($AF307&gt;0,INDEX($AG$9:$AG$306,$AF307),""),""),IF($AF307&gt;0,IF($AF307&gt;0,INDEX($AG$9:$AG$306,$AF307),""),"")))))</f>
        <v/>
      </c>
      <c r="AH307" t="str">
        <f>IF($A307="","",IF(OR($F307="sell_put",$F307="sell_call",$F307="roll"),$I307,IF($AF307&gt;0,IF($AF307&gt;0,INDEX($AH$9:$AH$306,$AF307),0),0)))</f>
        <v/>
      </c>
      <c r="AI307" s="51" t="str">
        <f t="shared" si="77"/>
        <v/>
      </c>
      <c r="AJ307" s="51" t="str">
        <f>IF($A307="","",IFERROR(LOOKUP(2,1/($B$9:$B$306=$B307),$AM$9:$AM306),0))</f>
        <v/>
      </c>
      <c r="AK307" t="str">
        <f>IF($A307="","",IFERROR(LOOKUP(2,1/($B$9:$B$306=$B307),$AN$9:$AN306),0))</f>
        <v/>
      </c>
      <c r="AL307" s="51" t="str">
        <f t="shared" si="78"/>
        <v/>
      </c>
      <c r="AM307" s="51" t="str">
        <f t="shared" si="79"/>
        <v/>
      </c>
      <c r="AN307" t="str">
        <f t="shared" si="80"/>
        <v/>
      </c>
      <c r="AO307" s="50" t="str">
        <f>IF($A307="","",IFERROR(LOOKUP(2,1/($B$9:$B$306=$B307),$AO$9:$AO306),0)+IF($F307="sell_put",$I307*$AE307*$D307,IF($F307="roll",IF($AG307="put",($I307-IF($AF307&gt;0,INDEX($AH$9:$AH$306,$AF307),0))*$AE307*$D307,0),IF(AND(OR($F307="buy_to_close",$F307="expire",$F307="roll",$F307="assignment",$F307="called_away"),$F307&lt;&gt;"roll",$AG307="put"),-IF($AF307&gt;0,INDEX($AH$9:$AH$306,$AF307),0)*$AE307*$D307,0))))</f>
        <v/>
      </c>
      <c r="AP307" s="51" t="str">
        <f>IF($A307="","",IFERROR(LOOKUP(2,1/($B$9:$B$306=$B307),$AP$9:$AP306),0)+IF($F307="sell_put",$AE307*$D307,IF(AND(OR($F307="buy_to_close",$F307="expire",$F307="roll",$F307="assignment",$F307="called_away"),$F307&lt;&gt;"roll",$AG307="put"),-$AE307*$D307,0)))</f>
        <v/>
      </c>
      <c r="AQ307" s="51" t="str">
        <f>IF($A307="","",IFERROR(LOOKUP(2,1/($B$9:$B$306=$B307),$AQ$9:$AQ306),0)+IF(OR($F307="sell_put",$F307="sell_call"),$AE307,0)-IF(AND(OR($F307="buy_to_close",$F307="expire",$F307="roll",$F307="assignment",$F307="called_away"),$F307&lt;&gt;"roll"),$AE307,0))</f>
        <v/>
      </c>
      <c r="AR307" t="str">
        <f t="shared" si="81"/>
        <v/>
      </c>
      <c r="AS307" s="50" t="str">
        <f t="shared" si="82"/>
        <v/>
      </c>
      <c r="AT307" s="50" t="str">
        <f>IF($A307="","",MAX(IF($T307=IFERROR(LOOKUP(2,1/($B$9:$B$306=$B307),$T$9:$T306),0),IFERROR(LOOKUP(2,1/($B$9:$B$306=$B307),$AT$9:$AT306),0),0),$AS307))</f>
        <v/>
      </c>
      <c r="AU307" t="str">
        <f t="shared" si="83"/>
        <v/>
      </c>
      <c r="AV307" s="51">
        <f>IF($AU307="",0,IF(AND(IFERROR(LOOKUP(2,1/($B$9:$B$306=$B307),$AR$9:$AR306),1),NOT(AND(OR($F307="dividend",$F307="fee"),IFERROR(LOOKUP(2,1/($B$9:$B$306=$B307),$T$9:$T306),0)&gt;0))),ROW(),0))</f>
        <v>0</v>
      </c>
      <c r="AW307">
        <f>IF($A307="",0,IF($AV307&gt;0,MAX($AW$9:$AW$306)+1,MAX($AW$9:$AW$306)))</f>
        <v>0</v>
      </c>
      <c r="AX307">
        <f>IF($AU307="",0,IF(AND($AR307,OR(NOT(IFERROR(LOOKUP(2,1/($B$9:$B$306=$B307),$AR$9:$AR306),1)),IFERROR(LOOKUP(2,1/($B$9:$B$306=$B307),$T$9:$T306),0)=0)),ROW(),0))</f>
        <v>0</v>
      </c>
      <c r="AY307" t="str">
        <f t="shared" si="84"/>
        <v/>
      </c>
    </row>
    <row r="308" spans="1:51" ht="15" x14ac:dyDescent="0.25">
      <c r="A308" s="52" t="str">
        <f>IF(Trades!$A308="","",Trades!O308)</f>
        <v/>
      </c>
      <c r="B308" s="52" t="str">
        <f>IF(Trades!$A308="","",Trades!B308)</f>
        <v/>
      </c>
      <c r="C308" s="52" t="str">
        <f>IF(Trades!$A308="","",Trades!C308)</f>
        <v/>
      </c>
      <c r="D308" s="53" t="str">
        <f>IF(Trades!$A308="","",IF(Trades!$L308&gt;0,Trades!$L308,Trades!$C$6))</f>
        <v/>
      </c>
      <c r="E308" s="54" t="str">
        <f>IF(Trades!$A308="","",Trades!A308)</f>
        <v/>
      </c>
      <c r="F308" s="52" t="str">
        <f>IF(Trades!$A308="","",IFERROR(INDEX(Trades!$V$2:$V$14,MATCH(Trades!$E308,Trades!$U$2:$U$14,0)),""))</f>
        <v/>
      </c>
      <c r="G308" s="52" t="str">
        <f>IF(Trades!$A308="","",Trades!N308)</f>
        <v/>
      </c>
      <c r="H308" s="53" t="str">
        <f>IF(Trades!$A308="","",Trades!F308)</f>
        <v/>
      </c>
      <c r="I308" s="55" t="str">
        <f>IF(Trades!$A308="","",Trades!G308)</f>
        <v/>
      </c>
      <c r="J308" s="55" t="str">
        <f>IF(Trades!$A308="","",Trades!I308)</f>
        <v/>
      </c>
      <c r="K308" s="55" t="str">
        <f>IF(Trades!$A308="","",Trades!Q308)</f>
        <v/>
      </c>
      <c r="L308" s="53" t="str">
        <f>IF(Trades!$A308="","",Trades!F308)</f>
        <v/>
      </c>
      <c r="M308" s="55" t="str">
        <f>IF(Trades!$A308="","",Trades!M308)</f>
        <v/>
      </c>
      <c r="N308" s="55" t="str">
        <f>IF(Trades!$A308="","",Trades!R308)</f>
        <v/>
      </c>
      <c r="O308" s="55" t="str">
        <f>IF(Trades!$A308="","",Trades!J308)</f>
        <v/>
      </c>
      <c r="P308" s="54" t="str">
        <f>IF(Trades!$A308="","",Trades!H308)</f>
        <v/>
      </c>
      <c r="Q308" s="52" t="str">
        <f>IF(Trades!$A308="","",Trades!P308)</f>
        <v/>
      </c>
      <c r="R308" s="56" t="str">
        <f t="shared" si="68"/>
        <v/>
      </c>
      <c r="S308" s="56" t="str">
        <f t="shared" si="69"/>
        <v/>
      </c>
      <c r="T308" s="57" t="str">
        <f>IF(OR($A308="",$B308=""),"",IF(AND(IFERROR(LOOKUP(2,1/($B$9:$B$307=$B308),$AR$9:$AR307),1),NOT(AND(OR($F308="dividend",$F308="fee"),IFERROR(LOOKUP(2,1/($B$9:$B$307=$B308),$T$9:$T307),0)&gt;0))),IFERROR(LOOKUP(2,1/($B$9:$B$307=$B308),$T$9:$T307),0)+1,IFERROR(LOOKUP(2,1/($B$9:$B$307=$B308),$T$9:$T307),0)))</f>
        <v/>
      </c>
      <c r="U308" s="58" t="str">
        <f t="shared" si="70"/>
        <v/>
      </c>
      <c r="V308" s="58" t="str">
        <f>IF($A308="","",IF(OR($B308="",$C308="",$D308="",$E308="",$F308=""),"Missing required field",IF(COUNTIFS($A$9:$A308,$A308,$B$9:$B308,$B308)&gt;1,"Duplicate event ID",IF(AND($E308&lt;&gt;IFERROR(LOOKUP(2,1/($B$9:$B$307=$B308),$E$9:$E307),0),IFERROR(LOOKUP(2,1/($B$9:$B$307=$B308),$E$9:$E307),0)&gt;$E308),"Date out of order",IF(AND(OR($F308="buy_to_close",$F308="expire",$F308="roll",$F308="assignment",$F308="called_away"),$AF308=0),"Unknown lot",IF(OR(AND($F308="assignment",$AF308&gt;0,IF($AF308&gt;0,INDEX($AG$9:$AG$307,$AF308),"")&lt;&gt;"put"),AND($F308="called_away",$AF308&gt;0,IF($AF308&gt;0,INDEX($AG$9:$AG$307,$AF308),"")&lt;&gt;"call")),"Wrong option leg",IF(OR(AND(OR($F308="sell_put",$F308="sell_call"),OR($H308&lt;=0,$I308&lt;=0,$J308&lt;0)),AND(OR($F308="buy_to_close",$F308="expire",$F308="assignment",$F308="called_away"),OR($H308&lt;=0,$J308&lt;0)),AND($F308="roll",OR($H308&lt;=0,$I308&lt;=0,$J308&lt;0,$K308&lt;0)),AND(OR($F308="buy_shares",$F308="sell_shares"),OR($L308&lt;=0,$M308&lt;0)),AND(OR($F308="dividend",$F308="fee"),$N308&lt;0)),"Invalid value",IF(AND(OR($F308="sell_shares",$F308="called_away"),$AL308&lt;IF($F308="called_away",$AE308*$D308,$L308)),"Insufficient shares (capped)",IF(AND(OR($F308="buy_to_close",$F308="expire",$F308="roll",$F308="assignment",$F308="called_away"),$AF308&gt;0,$H308&gt;IF($AF308&gt;0,MAX(0,INDEX($AI$9:$AI$307,$AF308)-SUMIFS($AE$9:$AE$307,$G$9:$G$307,$G308,$B$9:$B$307,$B308)),0)),"Close quantity capped","OK")))))))))</f>
        <v/>
      </c>
      <c r="W308" s="59" t="str">
        <f t="shared" si="71"/>
        <v/>
      </c>
      <c r="X308" s="60" t="str">
        <f t="shared" si="72"/>
        <v/>
      </c>
      <c r="Y308" s="50" t="str">
        <f t="shared" si="73"/>
        <v/>
      </c>
      <c r="Z308" s="50" t="str">
        <f t="shared" si="74"/>
        <v/>
      </c>
      <c r="AA308" s="50" t="str">
        <f t="shared" si="75"/>
        <v/>
      </c>
      <c r="AB308" s="50" t="str">
        <f t="shared" si="76"/>
        <v/>
      </c>
      <c r="AC308" s="50" t="str">
        <f>IF($A308="","",IF($F308="assignment",IF($AF308&gt;0,INDEX($AH$9:$AH$307,$AF308),0)*$AE308*$D308,IF($F308="buy_shares",$M308*$AL308,0)))</f>
        <v/>
      </c>
      <c r="AD308" s="50" t="str">
        <f>IF($A308="","",IF($F308="called_away",IF($AF308&gt;0,INDEX($AH$9:$AH$307,$AF308),0)*$AL308,IF($F308="sell_shares",$M308*$AL308,0)))</f>
        <v/>
      </c>
      <c r="AE308" s="51" t="str">
        <f>IF($A308="","",IF(OR($F308="sell_put",$F308="sell_call"),IF(AND($H308&gt;0,$I308&gt;0,$J308&gt;=0),$H308,0),IF(OR($F308="buy_to_close",$F308="expire",$F308="roll",$F308="assignment",$F308="called_away"),IF(AND($AF308&gt;0,$H308&gt;0,IF($F308="assignment",IF($AF308&gt;0,INDEX($AG$9:$AG$307,$AF308),"")="put",TRUE),IF($F308="called_away",IF($AF308&gt;0,INDEX($AG$9:$AG$307,$AF308),"")="call",TRUE)),MIN($H308,IF($AF308&gt;0,MAX(0,INDEX($AI$9:$AI$307,$AF308)-SUMIFS($AE$9:$AE$307,$G$9:$G$307,$G308,$B$9:$B$307,$B308)),0)),0),0)))</f>
        <v/>
      </c>
      <c r="AF308" t="str">
        <f>IF($A308="","",IFERROR(MATCH(LEN($B308)&amp;":"&amp;$B308&amp;$G308,$AY$9:$AY$307,0),0))</f>
        <v/>
      </c>
      <c r="AG308" t="str">
        <f>IF($A308="","",IF($F308="sell_put","put",IF($F308="sell_call","call",IF($F308="roll",IF($AF308&gt;0,IF($AF308&gt;0,INDEX($AG$9:$AG$307,$AF308),""),""),IF($AF308&gt;0,IF($AF308&gt;0,INDEX($AG$9:$AG$307,$AF308),""),"")))))</f>
        <v/>
      </c>
      <c r="AH308" t="str">
        <f>IF($A308="","",IF(OR($F308="sell_put",$F308="sell_call",$F308="roll"),$I308,IF($AF308&gt;0,IF($AF308&gt;0,INDEX($AH$9:$AH$307,$AF308),0),0)))</f>
        <v/>
      </c>
      <c r="AI308" s="51" t="str">
        <f t="shared" si="77"/>
        <v/>
      </c>
      <c r="AJ308" s="51" t="str">
        <f>IF($A308="","",IFERROR(LOOKUP(2,1/($B$9:$B$307=$B308),$AM$9:$AM307),0))</f>
        <v/>
      </c>
      <c r="AK308" t="str">
        <f>IF($A308="","",IFERROR(LOOKUP(2,1/($B$9:$B$307=$B308),$AN$9:$AN307),0))</f>
        <v/>
      </c>
      <c r="AL308" s="51" t="str">
        <f t="shared" si="78"/>
        <v/>
      </c>
      <c r="AM308" s="51" t="str">
        <f t="shared" si="79"/>
        <v/>
      </c>
      <c r="AN308" t="str">
        <f t="shared" si="80"/>
        <v/>
      </c>
      <c r="AO308" s="50" t="str">
        <f>IF($A308="","",IFERROR(LOOKUP(2,1/($B$9:$B$307=$B308),$AO$9:$AO307),0)+IF($F308="sell_put",$I308*$AE308*$D308,IF($F308="roll",IF($AG308="put",($I308-IF($AF308&gt;0,INDEX($AH$9:$AH$307,$AF308),0))*$AE308*$D308,0),IF(AND(OR($F308="buy_to_close",$F308="expire",$F308="roll",$F308="assignment",$F308="called_away"),$F308&lt;&gt;"roll",$AG308="put"),-IF($AF308&gt;0,INDEX($AH$9:$AH$307,$AF308),0)*$AE308*$D308,0))))</f>
        <v/>
      </c>
      <c r="AP308" s="51" t="str">
        <f>IF($A308="","",IFERROR(LOOKUP(2,1/($B$9:$B$307=$B308),$AP$9:$AP307),0)+IF($F308="sell_put",$AE308*$D308,IF(AND(OR($F308="buy_to_close",$F308="expire",$F308="roll",$F308="assignment",$F308="called_away"),$F308&lt;&gt;"roll",$AG308="put"),-$AE308*$D308,0)))</f>
        <v/>
      </c>
      <c r="AQ308" s="51" t="str">
        <f>IF($A308="","",IFERROR(LOOKUP(2,1/($B$9:$B$307=$B308),$AQ$9:$AQ307),0)+IF(OR($F308="sell_put",$F308="sell_call"),$AE308,0)-IF(AND(OR($F308="buy_to_close",$F308="expire",$F308="roll",$F308="assignment",$F308="called_away"),$F308&lt;&gt;"roll"),$AE308,0))</f>
        <v/>
      </c>
      <c r="AR308" t="str">
        <f t="shared" si="81"/>
        <v/>
      </c>
      <c r="AS308" s="50" t="str">
        <f t="shared" si="82"/>
        <v/>
      </c>
      <c r="AT308" s="50" t="str">
        <f>IF($A308="","",MAX(IF($T308=IFERROR(LOOKUP(2,1/($B$9:$B$307=$B308),$T$9:$T307),0),IFERROR(LOOKUP(2,1/($B$9:$B$307=$B308),$AT$9:$AT307),0),0),$AS308))</f>
        <v/>
      </c>
      <c r="AU308" t="str">
        <f t="shared" si="83"/>
        <v/>
      </c>
      <c r="AV308" s="51">
        <f>IF($AU308="",0,IF(AND(IFERROR(LOOKUP(2,1/($B$9:$B$307=$B308),$AR$9:$AR307),1),NOT(AND(OR($F308="dividend",$F308="fee"),IFERROR(LOOKUP(2,1/($B$9:$B$307=$B308),$T$9:$T307),0)&gt;0))),ROW(),0))</f>
        <v>0</v>
      </c>
      <c r="AW308">
        <f>IF($A308="",0,IF($AV308&gt;0,MAX($AW$9:$AW$307)+1,MAX($AW$9:$AW$307)))</f>
        <v>0</v>
      </c>
      <c r="AX308">
        <f>IF($AU308="",0,IF(AND($AR308,OR(NOT(IFERROR(LOOKUP(2,1/($B$9:$B$307=$B308),$AR$9:$AR307),1)),IFERROR(LOOKUP(2,1/($B$9:$B$307=$B308),$T$9:$T307),0)=0)),ROW(),0))</f>
        <v>0</v>
      </c>
      <c r="AY308" t="str">
        <f t="shared" si="84"/>
        <v/>
      </c>
    </row>
    <row r="309" spans="1:51" ht="15" x14ac:dyDescent="0.25">
      <c r="A309" s="41" t="str">
        <f>IF(Trades!$A309="","",Trades!O309)</f>
        <v/>
      </c>
      <c r="B309" s="41" t="str">
        <f>IF(Trades!$A309="","",Trades!B309)</f>
        <v/>
      </c>
      <c r="C309" s="41" t="str">
        <f>IF(Trades!$A309="","",Trades!C309)</f>
        <v/>
      </c>
      <c r="D309" s="42" t="str">
        <f>IF(Trades!$A309="","",IF(Trades!$L309&gt;0,Trades!$L309,Trades!$C$6))</f>
        <v/>
      </c>
      <c r="E309" s="43" t="str">
        <f>IF(Trades!$A309="","",Trades!A309)</f>
        <v/>
      </c>
      <c r="F309" s="41" t="str">
        <f>IF(Trades!$A309="","",IFERROR(INDEX(Trades!$V$2:$V$14,MATCH(Trades!$E309,Trades!$U$2:$U$14,0)),""))</f>
        <v/>
      </c>
      <c r="G309" s="41" t="str">
        <f>IF(Trades!$A309="","",Trades!N309)</f>
        <v/>
      </c>
      <c r="H309" s="42" t="str">
        <f>IF(Trades!$A309="","",Trades!F309)</f>
        <v/>
      </c>
      <c r="I309" s="44" t="str">
        <f>IF(Trades!$A309="","",Trades!G309)</f>
        <v/>
      </c>
      <c r="J309" s="44" t="str">
        <f>IF(Trades!$A309="","",Trades!I309)</f>
        <v/>
      </c>
      <c r="K309" s="44" t="str">
        <f>IF(Trades!$A309="","",Trades!Q309)</f>
        <v/>
      </c>
      <c r="L309" s="42" t="str">
        <f>IF(Trades!$A309="","",Trades!F309)</f>
        <v/>
      </c>
      <c r="M309" s="44" t="str">
        <f>IF(Trades!$A309="","",Trades!M309)</f>
        <v/>
      </c>
      <c r="N309" s="44" t="str">
        <f>IF(Trades!$A309="","",Trades!R309)</f>
        <v/>
      </c>
      <c r="O309" s="44" t="str">
        <f>IF(Trades!$A309="","",Trades!J309)</f>
        <v/>
      </c>
      <c r="P309" s="43" t="str">
        <f>IF(Trades!$A309="","",Trades!H309)</f>
        <v/>
      </c>
      <c r="Q309" s="41" t="str">
        <f>IF(Trades!$A309="","",Trades!P309)</f>
        <v/>
      </c>
      <c r="R309" s="45" t="str">
        <f t="shared" si="68"/>
        <v/>
      </c>
      <c r="S309" s="45" t="str">
        <f t="shared" si="69"/>
        <v/>
      </c>
      <c r="T309" s="46" t="str">
        <f>IF(OR($A309="",$B309=""),"",IF(AND(IFERROR(LOOKUP(2,1/($B$9:$B$308=$B309),$AR$9:$AR308),1),NOT(AND(OR($F309="dividend",$F309="fee"),IFERROR(LOOKUP(2,1/($B$9:$B$308=$B309),$T$9:$T308),0)&gt;0))),IFERROR(LOOKUP(2,1/($B$9:$B$308=$B309),$T$9:$T308),0)+1,IFERROR(LOOKUP(2,1/($B$9:$B$308=$B309),$T$9:$T308),0)))</f>
        <v/>
      </c>
      <c r="U309" s="47" t="str">
        <f t="shared" si="70"/>
        <v/>
      </c>
      <c r="V309" s="47" t="str">
        <f>IF($A309="","",IF(OR($B309="",$C309="",$D309="",$E309="",$F309=""),"Missing required field",IF(COUNTIFS($A$9:$A309,$A309,$B$9:$B309,$B309)&gt;1,"Duplicate event ID",IF(AND($E309&lt;&gt;IFERROR(LOOKUP(2,1/($B$9:$B$308=$B309),$E$9:$E308),0),IFERROR(LOOKUP(2,1/($B$9:$B$308=$B309),$E$9:$E308),0)&gt;$E309),"Date out of order",IF(AND(OR($F309="buy_to_close",$F309="expire",$F309="roll",$F309="assignment",$F309="called_away"),$AF309=0),"Unknown lot",IF(OR(AND($F309="assignment",$AF309&gt;0,IF($AF309&gt;0,INDEX($AG$9:$AG$308,$AF309),"")&lt;&gt;"put"),AND($F309="called_away",$AF309&gt;0,IF($AF309&gt;0,INDEX($AG$9:$AG$308,$AF309),"")&lt;&gt;"call")),"Wrong option leg",IF(OR(AND(OR($F309="sell_put",$F309="sell_call"),OR($H309&lt;=0,$I309&lt;=0,$J309&lt;0)),AND(OR($F309="buy_to_close",$F309="expire",$F309="assignment",$F309="called_away"),OR($H309&lt;=0,$J309&lt;0)),AND($F309="roll",OR($H309&lt;=0,$I309&lt;=0,$J309&lt;0,$K309&lt;0)),AND(OR($F309="buy_shares",$F309="sell_shares"),OR($L309&lt;=0,$M309&lt;0)),AND(OR($F309="dividend",$F309="fee"),$N309&lt;0)),"Invalid value",IF(AND(OR($F309="sell_shares",$F309="called_away"),$AL309&lt;IF($F309="called_away",$AE309*$D309,$L309)),"Insufficient shares (capped)",IF(AND(OR($F309="buy_to_close",$F309="expire",$F309="roll",$F309="assignment",$F309="called_away"),$AF309&gt;0,$H309&gt;IF($AF309&gt;0,MAX(0,INDEX($AI$9:$AI$308,$AF309)-SUMIFS($AE$9:$AE$308,$G$9:$G$308,$G309,$B$9:$B$308,$B309)),0)),"Close quantity capped","OK")))))))))</f>
        <v/>
      </c>
      <c r="W309" s="48" t="str">
        <f t="shared" si="71"/>
        <v/>
      </c>
      <c r="X309" s="49" t="str">
        <f t="shared" si="72"/>
        <v/>
      </c>
      <c r="Y309" s="50" t="str">
        <f t="shared" si="73"/>
        <v/>
      </c>
      <c r="Z309" s="50" t="str">
        <f t="shared" si="74"/>
        <v/>
      </c>
      <c r="AA309" s="50" t="str">
        <f t="shared" si="75"/>
        <v/>
      </c>
      <c r="AB309" s="50" t="str">
        <f t="shared" si="76"/>
        <v/>
      </c>
      <c r="AC309" s="50" t="str">
        <f>IF($A309="","",IF($F309="assignment",IF($AF309&gt;0,INDEX($AH$9:$AH$308,$AF309),0)*$AE309*$D309,IF($F309="buy_shares",$M309*$AL309,0)))</f>
        <v/>
      </c>
      <c r="AD309" s="50" t="str">
        <f>IF($A309="","",IF($F309="called_away",IF($AF309&gt;0,INDEX($AH$9:$AH$308,$AF309),0)*$AL309,IF($F309="sell_shares",$M309*$AL309,0)))</f>
        <v/>
      </c>
      <c r="AE309" s="51" t="str">
        <f>IF($A309="","",IF(OR($F309="sell_put",$F309="sell_call"),IF(AND($H309&gt;0,$I309&gt;0,$J309&gt;=0),$H309,0),IF(OR($F309="buy_to_close",$F309="expire",$F309="roll",$F309="assignment",$F309="called_away"),IF(AND($AF309&gt;0,$H309&gt;0,IF($F309="assignment",IF($AF309&gt;0,INDEX($AG$9:$AG$308,$AF309),"")="put",TRUE),IF($F309="called_away",IF($AF309&gt;0,INDEX($AG$9:$AG$308,$AF309),"")="call",TRUE)),MIN($H309,IF($AF309&gt;0,MAX(0,INDEX($AI$9:$AI$308,$AF309)-SUMIFS($AE$9:$AE$308,$G$9:$G$308,$G309,$B$9:$B$308,$B309)),0)),0),0)))</f>
        <v/>
      </c>
      <c r="AF309" t="str">
        <f>IF($A309="","",IFERROR(MATCH(LEN($B309)&amp;":"&amp;$B309&amp;$G309,$AY$9:$AY$308,0),0))</f>
        <v/>
      </c>
      <c r="AG309" t="str">
        <f>IF($A309="","",IF($F309="sell_put","put",IF($F309="sell_call","call",IF($F309="roll",IF($AF309&gt;0,IF($AF309&gt;0,INDEX($AG$9:$AG$308,$AF309),""),""),IF($AF309&gt;0,IF($AF309&gt;0,INDEX($AG$9:$AG$308,$AF309),""),"")))))</f>
        <v/>
      </c>
      <c r="AH309" t="str">
        <f>IF($A309="","",IF(OR($F309="sell_put",$F309="sell_call",$F309="roll"),$I309,IF($AF309&gt;0,IF($AF309&gt;0,INDEX($AH$9:$AH$308,$AF309),0),0)))</f>
        <v/>
      </c>
      <c r="AI309" s="51" t="str">
        <f t="shared" si="77"/>
        <v/>
      </c>
      <c r="AJ309" s="51" t="str">
        <f>IF($A309="","",IFERROR(LOOKUP(2,1/($B$9:$B$308=$B309),$AM$9:$AM308),0))</f>
        <v/>
      </c>
      <c r="AK309" t="str">
        <f>IF($A309="","",IFERROR(LOOKUP(2,1/($B$9:$B$308=$B309),$AN$9:$AN308),0))</f>
        <v/>
      </c>
      <c r="AL309" s="51" t="str">
        <f t="shared" si="78"/>
        <v/>
      </c>
      <c r="AM309" s="51" t="str">
        <f t="shared" si="79"/>
        <v/>
      </c>
      <c r="AN309" t="str">
        <f t="shared" si="80"/>
        <v/>
      </c>
      <c r="AO309" s="50" t="str">
        <f>IF($A309="","",IFERROR(LOOKUP(2,1/($B$9:$B$308=$B309),$AO$9:$AO308),0)+IF($F309="sell_put",$I309*$AE309*$D309,IF($F309="roll",IF($AG309="put",($I309-IF($AF309&gt;0,INDEX($AH$9:$AH$308,$AF309),0))*$AE309*$D309,0),IF(AND(OR($F309="buy_to_close",$F309="expire",$F309="roll",$F309="assignment",$F309="called_away"),$F309&lt;&gt;"roll",$AG309="put"),-IF($AF309&gt;0,INDEX($AH$9:$AH$308,$AF309),0)*$AE309*$D309,0))))</f>
        <v/>
      </c>
      <c r="AP309" s="51" t="str">
        <f>IF($A309="","",IFERROR(LOOKUP(2,1/($B$9:$B$308=$B309),$AP$9:$AP308),0)+IF($F309="sell_put",$AE309*$D309,IF(AND(OR($F309="buy_to_close",$F309="expire",$F309="roll",$F309="assignment",$F309="called_away"),$F309&lt;&gt;"roll",$AG309="put"),-$AE309*$D309,0)))</f>
        <v/>
      </c>
      <c r="AQ309" s="51" t="str">
        <f>IF($A309="","",IFERROR(LOOKUP(2,1/($B$9:$B$308=$B309),$AQ$9:$AQ308),0)+IF(OR($F309="sell_put",$F309="sell_call"),$AE309,0)-IF(AND(OR($F309="buy_to_close",$F309="expire",$F309="roll",$F309="assignment",$F309="called_away"),$F309&lt;&gt;"roll"),$AE309,0))</f>
        <v/>
      </c>
      <c r="AR309" t="str">
        <f t="shared" si="81"/>
        <v/>
      </c>
      <c r="AS309" s="50" t="str">
        <f t="shared" si="82"/>
        <v/>
      </c>
      <c r="AT309" s="50" t="str">
        <f>IF($A309="","",MAX(IF($T309=IFERROR(LOOKUP(2,1/($B$9:$B$308=$B309),$T$9:$T308),0),IFERROR(LOOKUP(2,1/($B$9:$B$308=$B309),$AT$9:$AT308),0),0),$AS309))</f>
        <v/>
      </c>
      <c r="AU309" t="str">
        <f t="shared" si="83"/>
        <v/>
      </c>
      <c r="AV309" s="51">
        <f>IF($AU309="",0,IF(AND(IFERROR(LOOKUP(2,1/($B$9:$B$308=$B309),$AR$9:$AR308),1),NOT(AND(OR($F309="dividend",$F309="fee"),IFERROR(LOOKUP(2,1/($B$9:$B$308=$B309),$T$9:$T308),0)&gt;0))),ROW(),0))</f>
        <v>0</v>
      </c>
      <c r="AW309">
        <f>IF($A309="",0,IF($AV309&gt;0,MAX($AW$9:$AW$308)+1,MAX($AW$9:$AW$308)))</f>
        <v>0</v>
      </c>
      <c r="AX309">
        <f>IF($AU309="",0,IF(AND($AR309,OR(NOT(IFERROR(LOOKUP(2,1/($B$9:$B$308=$B309),$AR$9:$AR308),1)),IFERROR(LOOKUP(2,1/($B$9:$B$308=$B309),$T$9:$T308),0)=0)),ROW(),0))</f>
        <v>0</v>
      </c>
      <c r="AY309" t="str">
        <f t="shared" si="84"/>
        <v/>
      </c>
    </row>
    <row r="310" spans="1:51" ht="15" x14ac:dyDescent="0.25">
      <c r="A310" s="52" t="str">
        <f>IF(Trades!$A310="","",Trades!O310)</f>
        <v/>
      </c>
      <c r="B310" s="52" t="str">
        <f>IF(Trades!$A310="","",Trades!B310)</f>
        <v/>
      </c>
      <c r="C310" s="52" t="str">
        <f>IF(Trades!$A310="","",Trades!C310)</f>
        <v/>
      </c>
      <c r="D310" s="53" t="str">
        <f>IF(Trades!$A310="","",IF(Trades!$L310&gt;0,Trades!$L310,Trades!$C$6))</f>
        <v/>
      </c>
      <c r="E310" s="54" t="str">
        <f>IF(Trades!$A310="","",Trades!A310)</f>
        <v/>
      </c>
      <c r="F310" s="52" t="str">
        <f>IF(Trades!$A310="","",IFERROR(INDEX(Trades!$V$2:$V$14,MATCH(Trades!$E310,Trades!$U$2:$U$14,0)),""))</f>
        <v/>
      </c>
      <c r="G310" s="52" t="str">
        <f>IF(Trades!$A310="","",Trades!N310)</f>
        <v/>
      </c>
      <c r="H310" s="53" t="str">
        <f>IF(Trades!$A310="","",Trades!F310)</f>
        <v/>
      </c>
      <c r="I310" s="55" t="str">
        <f>IF(Trades!$A310="","",Trades!G310)</f>
        <v/>
      </c>
      <c r="J310" s="55" t="str">
        <f>IF(Trades!$A310="","",Trades!I310)</f>
        <v/>
      </c>
      <c r="K310" s="55" t="str">
        <f>IF(Trades!$A310="","",Trades!Q310)</f>
        <v/>
      </c>
      <c r="L310" s="53" t="str">
        <f>IF(Trades!$A310="","",Trades!F310)</f>
        <v/>
      </c>
      <c r="M310" s="55" t="str">
        <f>IF(Trades!$A310="","",Trades!M310)</f>
        <v/>
      </c>
      <c r="N310" s="55" t="str">
        <f>IF(Trades!$A310="","",Trades!R310)</f>
        <v/>
      </c>
      <c r="O310" s="55" t="str">
        <f>IF(Trades!$A310="","",Trades!J310)</f>
        <v/>
      </c>
      <c r="P310" s="54" t="str">
        <f>IF(Trades!$A310="","",Trades!H310)</f>
        <v/>
      </c>
      <c r="Q310" s="52" t="str">
        <f>IF(Trades!$A310="","",Trades!P310)</f>
        <v/>
      </c>
      <c r="R310" s="56" t="str">
        <f t="shared" si="68"/>
        <v/>
      </c>
      <c r="S310" s="56" t="str">
        <f t="shared" si="69"/>
        <v/>
      </c>
      <c r="T310" s="57" t="str">
        <f>IF(OR($A310="",$B310=""),"",IF(AND(IFERROR(LOOKUP(2,1/($B$9:$B$309=$B310),$AR$9:$AR309),1),NOT(AND(OR($F310="dividend",$F310="fee"),IFERROR(LOOKUP(2,1/($B$9:$B$309=$B310),$T$9:$T309),0)&gt;0))),IFERROR(LOOKUP(2,1/($B$9:$B$309=$B310),$T$9:$T309),0)+1,IFERROR(LOOKUP(2,1/($B$9:$B$309=$B310),$T$9:$T309),0)))</f>
        <v/>
      </c>
      <c r="U310" s="58" t="str">
        <f t="shared" si="70"/>
        <v/>
      </c>
      <c r="V310" s="58" t="str">
        <f>IF($A310="","",IF(OR($B310="",$C310="",$D310="",$E310="",$F310=""),"Missing required field",IF(COUNTIFS($A$9:$A310,$A310,$B$9:$B310,$B310)&gt;1,"Duplicate event ID",IF(AND($E310&lt;&gt;IFERROR(LOOKUP(2,1/($B$9:$B$309=$B310),$E$9:$E309),0),IFERROR(LOOKUP(2,1/($B$9:$B$309=$B310),$E$9:$E309),0)&gt;$E310),"Date out of order",IF(AND(OR($F310="buy_to_close",$F310="expire",$F310="roll",$F310="assignment",$F310="called_away"),$AF310=0),"Unknown lot",IF(OR(AND($F310="assignment",$AF310&gt;0,IF($AF310&gt;0,INDEX($AG$9:$AG$309,$AF310),"")&lt;&gt;"put"),AND($F310="called_away",$AF310&gt;0,IF($AF310&gt;0,INDEX($AG$9:$AG$309,$AF310),"")&lt;&gt;"call")),"Wrong option leg",IF(OR(AND(OR($F310="sell_put",$F310="sell_call"),OR($H310&lt;=0,$I310&lt;=0,$J310&lt;0)),AND(OR($F310="buy_to_close",$F310="expire",$F310="assignment",$F310="called_away"),OR($H310&lt;=0,$J310&lt;0)),AND($F310="roll",OR($H310&lt;=0,$I310&lt;=0,$J310&lt;0,$K310&lt;0)),AND(OR($F310="buy_shares",$F310="sell_shares"),OR($L310&lt;=0,$M310&lt;0)),AND(OR($F310="dividend",$F310="fee"),$N310&lt;0)),"Invalid value",IF(AND(OR($F310="sell_shares",$F310="called_away"),$AL310&lt;IF($F310="called_away",$AE310*$D310,$L310)),"Insufficient shares (capped)",IF(AND(OR($F310="buy_to_close",$F310="expire",$F310="roll",$F310="assignment",$F310="called_away"),$AF310&gt;0,$H310&gt;IF($AF310&gt;0,MAX(0,INDEX($AI$9:$AI$309,$AF310)-SUMIFS($AE$9:$AE$309,$G$9:$G$309,$G310,$B$9:$B$309,$B310)),0)),"Close quantity capped","OK")))))))))</f>
        <v/>
      </c>
      <c r="W310" s="59" t="str">
        <f t="shared" si="71"/>
        <v/>
      </c>
      <c r="X310" s="60" t="str">
        <f t="shared" si="72"/>
        <v/>
      </c>
      <c r="Y310" s="50" t="str">
        <f t="shared" si="73"/>
        <v/>
      </c>
      <c r="Z310" s="50" t="str">
        <f t="shared" si="74"/>
        <v/>
      </c>
      <c r="AA310" s="50" t="str">
        <f t="shared" si="75"/>
        <v/>
      </c>
      <c r="AB310" s="50" t="str">
        <f t="shared" si="76"/>
        <v/>
      </c>
      <c r="AC310" s="50" t="str">
        <f>IF($A310="","",IF($F310="assignment",IF($AF310&gt;0,INDEX($AH$9:$AH$309,$AF310),0)*$AE310*$D310,IF($F310="buy_shares",$M310*$AL310,0)))</f>
        <v/>
      </c>
      <c r="AD310" s="50" t="str">
        <f>IF($A310="","",IF($F310="called_away",IF($AF310&gt;0,INDEX($AH$9:$AH$309,$AF310),0)*$AL310,IF($F310="sell_shares",$M310*$AL310,0)))</f>
        <v/>
      </c>
      <c r="AE310" s="51" t="str">
        <f>IF($A310="","",IF(OR($F310="sell_put",$F310="sell_call"),IF(AND($H310&gt;0,$I310&gt;0,$J310&gt;=0),$H310,0),IF(OR($F310="buy_to_close",$F310="expire",$F310="roll",$F310="assignment",$F310="called_away"),IF(AND($AF310&gt;0,$H310&gt;0,IF($F310="assignment",IF($AF310&gt;0,INDEX($AG$9:$AG$309,$AF310),"")="put",TRUE),IF($F310="called_away",IF($AF310&gt;0,INDEX($AG$9:$AG$309,$AF310),"")="call",TRUE)),MIN($H310,IF($AF310&gt;0,MAX(0,INDEX($AI$9:$AI$309,$AF310)-SUMIFS($AE$9:$AE$309,$G$9:$G$309,$G310,$B$9:$B$309,$B310)),0)),0),0)))</f>
        <v/>
      </c>
      <c r="AF310" t="str">
        <f>IF($A310="","",IFERROR(MATCH(LEN($B310)&amp;":"&amp;$B310&amp;$G310,$AY$9:$AY$309,0),0))</f>
        <v/>
      </c>
      <c r="AG310" t="str">
        <f>IF($A310="","",IF($F310="sell_put","put",IF($F310="sell_call","call",IF($F310="roll",IF($AF310&gt;0,IF($AF310&gt;0,INDEX($AG$9:$AG$309,$AF310),""),""),IF($AF310&gt;0,IF($AF310&gt;0,INDEX($AG$9:$AG$309,$AF310),""),"")))))</f>
        <v/>
      </c>
      <c r="AH310" t="str">
        <f>IF($A310="","",IF(OR($F310="sell_put",$F310="sell_call",$F310="roll"),$I310,IF($AF310&gt;0,IF($AF310&gt;0,INDEX($AH$9:$AH$309,$AF310),0),0)))</f>
        <v/>
      </c>
      <c r="AI310" s="51" t="str">
        <f t="shared" si="77"/>
        <v/>
      </c>
      <c r="AJ310" s="51" t="str">
        <f>IF($A310="","",IFERROR(LOOKUP(2,1/($B$9:$B$309=$B310),$AM$9:$AM309),0))</f>
        <v/>
      </c>
      <c r="AK310" t="str">
        <f>IF($A310="","",IFERROR(LOOKUP(2,1/($B$9:$B$309=$B310),$AN$9:$AN309),0))</f>
        <v/>
      </c>
      <c r="AL310" s="51" t="str">
        <f t="shared" si="78"/>
        <v/>
      </c>
      <c r="AM310" s="51" t="str">
        <f t="shared" si="79"/>
        <v/>
      </c>
      <c r="AN310" t="str">
        <f t="shared" si="80"/>
        <v/>
      </c>
      <c r="AO310" s="50" t="str">
        <f>IF($A310="","",IFERROR(LOOKUP(2,1/($B$9:$B$309=$B310),$AO$9:$AO309),0)+IF($F310="sell_put",$I310*$AE310*$D310,IF($F310="roll",IF($AG310="put",($I310-IF($AF310&gt;0,INDEX($AH$9:$AH$309,$AF310),0))*$AE310*$D310,0),IF(AND(OR($F310="buy_to_close",$F310="expire",$F310="roll",$F310="assignment",$F310="called_away"),$F310&lt;&gt;"roll",$AG310="put"),-IF($AF310&gt;0,INDEX($AH$9:$AH$309,$AF310),0)*$AE310*$D310,0))))</f>
        <v/>
      </c>
      <c r="AP310" s="51" t="str">
        <f>IF($A310="","",IFERROR(LOOKUP(2,1/($B$9:$B$309=$B310),$AP$9:$AP309),0)+IF($F310="sell_put",$AE310*$D310,IF(AND(OR($F310="buy_to_close",$F310="expire",$F310="roll",$F310="assignment",$F310="called_away"),$F310&lt;&gt;"roll",$AG310="put"),-$AE310*$D310,0)))</f>
        <v/>
      </c>
      <c r="AQ310" s="51" t="str">
        <f>IF($A310="","",IFERROR(LOOKUP(2,1/($B$9:$B$309=$B310),$AQ$9:$AQ309),0)+IF(OR($F310="sell_put",$F310="sell_call"),$AE310,0)-IF(AND(OR($F310="buy_to_close",$F310="expire",$F310="roll",$F310="assignment",$F310="called_away"),$F310&lt;&gt;"roll"),$AE310,0))</f>
        <v/>
      </c>
      <c r="AR310" t="str">
        <f t="shared" si="81"/>
        <v/>
      </c>
      <c r="AS310" s="50" t="str">
        <f t="shared" si="82"/>
        <v/>
      </c>
      <c r="AT310" s="50" t="str">
        <f>IF($A310="","",MAX(IF($T310=IFERROR(LOOKUP(2,1/($B$9:$B$309=$B310),$T$9:$T309),0),IFERROR(LOOKUP(2,1/($B$9:$B$309=$B310),$AT$9:$AT309),0),0),$AS310))</f>
        <v/>
      </c>
      <c r="AU310" t="str">
        <f t="shared" si="83"/>
        <v/>
      </c>
      <c r="AV310" s="51">
        <f>IF($AU310="",0,IF(AND(IFERROR(LOOKUP(2,1/($B$9:$B$309=$B310),$AR$9:$AR309),1),NOT(AND(OR($F310="dividend",$F310="fee"),IFERROR(LOOKUP(2,1/($B$9:$B$309=$B310),$T$9:$T309),0)&gt;0))),ROW(),0))</f>
        <v>0</v>
      </c>
      <c r="AW310">
        <f>IF($A310="",0,IF($AV310&gt;0,MAX($AW$9:$AW$309)+1,MAX($AW$9:$AW$309)))</f>
        <v>0</v>
      </c>
      <c r="AX310">
        <f>IF($AU310="",0,IF(AND($AR310,OR(NOT(IFERROR(LOOKUP(2,1/($B$9:$B$309=$B310),$AR$9:$AR309),1)),IFERROR(LOOKUP(2,1/($B$9:$B$309=$B310),$T$9:$T309),0)=0)),ROW(),0))</f>
        <v>0</v>
      </c>
      <c r="AY310" t="str">
        <f t="shared" si="84"/>
        <v/>
      </c>
    </row>
    <row r="311" spans="1:51" ht="15" x14ac:dyDescent="0.25">
      <c r="A311" s="41" t="str">
        <f>IF(Trades!$A311="","",Trades!O311)</f>
        <v/>
      </c>
      <c r="B311" s="41" t="str">
        <f>IF(Trades!$A311="","",Trades!B311)</f>
        <v/>
      </c>
      <c r="C311" s="41" t="str">
        <f>IF(Trades!$A311="","",Trades!C311)</f>
        <v/>
      </c>
      <c r="D311" s="42" t="str">
        <f>IF(Trades!$A311="","",IF(Trades!$L311&gt;0,Trades!$L311,Trades!$C$6))</f>
        <v/>
      </c>
      <c r="E311" s="43" t="str">
        <f>IF(Trades!$A311="","",Trades!A311)</f>
        <v/>
      </c>
      <c r="F311" s="41" t="str">
        <f>IF(Trades!$A311="","",IFERROR(INDEX(Trades!$V$2:$V$14,MATCH(Trades!$E311,Trades!$U$2:$U$14,0)),""))</f>
        <v/>
      </c>
      <c r="G311" s="41" t="str">
        <f>IF(Trades!$A311="","",Trades!N311)</f>
        <v/>
      </c>
      <c r="H311" s="42" t="str">
        <f>IF(Trades!$A311="","",Trades!F311)</f>
        <v/>
      </c>
      <c r="I311" s="44" t="str">
        <f>IF(Trades!$A311="","",Trades!G311)</f>
        <v/>
      </c>
      <c r="J311" s="44" t="str">
        <f>IF(Trades!$A311="","",Trades!I311)</f>
        <v/>
      </c>
      <c r="K311" s="44" t="str">
        <f>IF(Trades!$A311="","",Trades!Q311)</f>
        <v/>
      </c>
      <c r="L311" s="42" t="str">
        <f>IF(Trades!$A311="","",Trades!F311)</f>
        <v/>
      </c>
      <c r="M311" s="44" t="str">
        <f>IF(Trades!$A311="","",Trades!M311)</f>
        <v/>
      </c>
      <c r="N311" s="44" t="str">
        <f>IF(Trades!$A311="","",Trades!R311)</f>
        <v/>
      </c>
      <c r="O311" s="44" t="str">
        <f>IF(Trades!$A311="","",Trades!J311)</f>
        <v/>
      </c>
      <c r="P311" s="43" t="str">
        <f>IF(Trades!$A311="","",Trades!H311)</f>
        <v/>
      </c>
      <c r="Q311" s="41" t="str">
        <f>IF(Trades!$A311="","",Trades!P311)</f>
        <v/>
      </c>
      <c r="R311" s="45" t="str">
        <f t="shared" si="68"/>
        <v/>
      </c>
      <c r="S311" s="45" t="str">
        <f t="shared" si="69"/>
        <v/>
      </c>
      <c r="T311" s="46" t="str">
        <f>IF(OR($A311="",$B311=""),"",IF(AND(IFERROR(LOOKUP(2,1/($B$9:$B$310=$B311),$AR$9:$AR310),1),NOT(AND(OR($F311="dividend",$F311="fee"),IFERROR(LOOKUP(2,1/($B$9:$B$310=$B311),$T$9:$T310),0)&gt;0))),IFERROR(LOOKUP(2,1/($B$9:$B$310=$B311),$T$9:$T310),0)+1,IFERROR(LOOKUP(2,1/($B$9:$B$310=$B311),$T$9:$T310),0)))</f>
        <v/>
      </c>
      <c r="U311" s="47" t="str">
        <f t="shared" si="70"/>
        <v/>
      </c>
      <c r="V311" s="47" t="str">
        <f>IF($A311="","",IF(OR($B311="",$C311="",$D311="",$E311="",$F311=""),"Missing required field",IF(COUNTIFS($A$9:$A311,$A311,$B$9:$B311,$B311)&gt;1,"Duplicate event ID",IF(AND($E311&lt;&gt;IFERROR(LOOKUP(2,1/($B$9:$B$310=$B311),$E$9:$E310),0),IFERROR(LOOKUP(2,1/($B$9:$B$310=$B311),$E$9:$E310),0)&gt;$E311),"Date out of order",IF(AND(OR($F311="buy_to_close",$F311="expire",$F311="roll",$F311="assignment",$F311="called_away"),$AF311=0),"Unknown lot",IF(OR(AND($F311="assignment",$AF311&gt;0,IF($AF311&gt;0,INDEX($AG$9:$AG$310,$AF311),"")&lt;&gt;"put"),AND($F311="called_away",$AF311&gt;0,IF($AF311&gt;0,INDEX($AG$9:$AG$310,$AF311),"")&lt;&gt;"call")),"Wrong option leg",IF(OR(AND(OR($F311="sell_put",$F311="sell_call"),OR($H311&lt;=0,$I311&lt;=0,$J311&lt;0)),AND(OR($F311="buy_to_close",$F311="expire",$F311="assignment",$F311="called_away"),OR($H311&lt;=0,$J311&lt;0)),AND($F311="roll",OR($H311&lt;=0,$I311&lt;=0,$J311&lt;0,$K311&lt;0)),AND(OR($F311="buy_shares",$F311="sell_shares"),OR($L311&lt;=0,$M311&lt;0)),AND(OR($F311="dividend",$F311="fee"),$N311&lt;0)),"Invalid value",IF(AND(OR($F311="sell_shares",$F311="called_away"),$AL311&lt;IF($F311="called_away",$AE311*$D311,$L311)),"Insufficient shares (capped)",IF(AND(OR($F311="buy_to_close",$F311="expire",$F311="roll",$F311="assignment",$F311="called_away"),$AF311&gt;0,$H311&gt;IF($AF311&gt;0,MAX(0,INDEX($AI$9:$AI$310,$AF311)-SUMIFS($AE$9:$AE$310,$G$9:$G$310,$G311,$B$9:$B$310,$B311)),0)),"Close quantity capped","OK")))))))))</f>
        <v/>
      </c>
      <c r="W311" s="48" t="str">
        <f t="shared" si="71"/>
        <v/>
      </c>
      <c r="X311" s="49" t="str">
        <f t="shared" si="72"/>
        <v/>
      </c>
      <c r="Y311" s="50" t="str">
        <f t="shared" si="73"/>
        <v/>
      </c>
      <c r="Z311" s="50" t="str">
        <f t="shared" si="74"/>
        <v/>
      </c>
      <c r="AA311" s="50" t="str">
        <f t="shared" si="75"/>
        <v/>
      </c>
      <c r="AB311" s="50" t="str">
        <f t="shared" si="76"/>
        <v/>
      </c>
      <c r="AC311" s="50" t="str">
        <f>IF($A311="","",IF($F311="assignment",IF($AF311&gt;0,INDEX($AH$9:$AH$310,$AF311),0)*$AE311*$D311,IF($F311="buy_shares",$M311*$AL311,0)))</f>
        <v/>
      </c>
      <c r="AD311" s="50" t="str">
        <f>IF($A311="","",IF($F311="called_away",IF($AF311&gt;0,INDEX($AH$9:$AH$310,$AF311),0)*$AL311,IF($F311="sell_shares",$M311*$AL311,0)))</f>
        <v/>
      </c>
      <c r="AE311" s="51" t="str">
        <f>IF($A311="","",IF(OR($F311="sell_put",$F311="sell_call"),IF(AND($H311&gt;0,$I311&gt;0,$J311&gt;=0),$H311,0),IF(OR($F311="buy_to_close",$F311="expire",$F311="roll",$F311="assignment",$F311="called_away"),IF(AND($AF311&gt;0,$H311&gt;0,IF($F311="assignment",IF($AF311&gt;0,INDEX($AG$9:$AG$310,$AF311),"")="put",TRUE),IF($F311="called_away",IF($AF311&gt;0,INDEX($AG$9:$AG$310,$AF311),"")="call",TRUE)),MIN($H311,IF($AF311&gt;0,MAX(0,INDEX($AI$9:$AI$310,$AF311)-SUMIFS($AE$9:$AE$310,$G$9:$G$310,$G311,$B$9:$B$310,$B311)),0)),0),0)))</f>
        <v/>
      </c>
      <c r="AF311" t="str">
        <f>IF($A311="","",IFERROR(MATCH(LEN($B311)&amp;":"&amp;$B311&amp;$G311,$AY$9:$AY$310,0),0))</f>
        <v/>
      </c>
      <c r="AG311" t="str">
        <f>IF($A311="","",IF($F311="sell_put","put",IF($F311="sell_call","call",IF($F311="roll",IF($AF311&gt;0,IF($AF311&gt;0,INDEX($AG$9:$AG$310,$AF311),""),""),IF($AF311&gt;0,IF($AF311&gt;0,INDEX($AG$9:$AG$310,$AF311),""),"")))))</f>
        <v/>
      </c>
      <c r="AH311" t="str">
        <f>IF($A311="","",IF(OR($F311="sell_put",$F311="sell_call",$F311="roll"),$I311,IF($AF311&gt;0,IF($AF311&gt;0,INDEX($AH$9:$AH$310,$AF311),0),0)))</f>
        <v/>
      </c>
      <c r="AI311" s="51" t="str">
        <f t="shared" si="77"/>
        <v/>
      </c>
      <c r="AJ311" s="51" t="str">
        <f>IF($A311="","",IFERROR(LOOKUP(2,1/($B$9:$B$310=$B311),$AM$9:$AM310),0))</f>
        <v/>
      </c>
      <c r="AK311" t="str">
        <f>IF($A311="","",IFERROR(LOOKUP(2,1/($B$9:$B$310=$B311),$AN$9:$AN310),0))</f>
        <v/>
      </c>
      <c r="AL311" s="51" t="str">
        <f t="shared" si="78"/>
        <v/>
      </c>
      <c r="AM311" s="51" t="str">
        <f t="shared" si="79"/>
        <v/>
      </c>
      <c r="AN311" t="str">
        <f t="shared" si="80"/>
        <v/>
      </c>
      <c r="AO311" s="50" t="str">
        <f>IF($A311="","",IFERROR(LOOKUP(2,1/($B$9:$B$310=$B311),$AO$9:$AO310),0)+IF($F311="sell_put",$I311*$AE311*$D311,IF($F311="roll",IF($AG311="put",($I311-IF($AF311&gt;0,INDEX($AH$9:$AH$310,$AF311),0))*$AE311*$D311,0),IF(AND(OR($F311="buy_to_close",$F311="expire",$F311="roll",$F311="assignment",$F311="called_away"),$F311&lt;&gt;"roll",$AG311="put"),-IF($AF311&gt;0,INDEX($AH$9:$AH$310,$AF311),0)*$AE311*$D311,0))))</f>
        <v/>
      </c>
      <c r="AP311" s="51" t="str">
        <f>IF($A311="","",IFERROR(LOOKUP(2,1/($B$9:$B$310=$B311),$AP$9:$AP310),0)+IF($F311="sell_put",$AE311*$D311,IF(AND(OR($F311="buy_to_close",$F311="expire",$F311="roll",$F311="assignment",$F311="called_away"),$F311&lt;&gt;"roll",$AG311="put"),-$AE311*$D311,0)))</f>
        <v/>
      </c>
      <c r="AQ311" s="51" t="str">
        <f>IF($A311="","",IFERROR(LOOKUP(2,1/($B$9:$B$310=$B311),$AQ$9:$AQ310),0)+IF(OR($F311="sell_put",$F311="sell_call"),$AE311,0)-IF(AND(OR($F311="buy_to_close",$F311="expire",$F311="roll",$F311="assignment",$F311="called_away"),$F311&lt;&gt;"roll"),$AE311,0))</f>
        <v/>
      </c>
      <c r="AR311" t="str">
        <f t="shared" si="81"/>
        <v/>
      </c>
      <c r="AS311" s="50" t="str">
        <f t="shared" si="82"/>
        <v/>
      </c>
      <c r="AT311" s="50" t="str">
        <f>IF($A311="","",MAX(IF($T311=IFERROR(LOOKUP(2,1/($B$9:$B$310=$B311),$T$9:$T310),0),IFERROR(LOOKUP(2,1/($B$9:$B$310=$B311),$AT$9:$AT310),0),0),$AS311))</f>
        <v/>
      </c>
      <c r="AU311" t="str">
        <f t="shared" si="83"/>
        <v/>
      </c>
      <c r="AV311" s="51">
        <f>IF($AU311="",0,IF(AND(IFERROR(LOOKUP(2,1/($B$9:$B$310=$B311),$AR$9:$AR310),1),NOT(AND(OR($F311="dividend",$F311="fee"),IFERROR(LOOKUP(2,1/($B$9:$B$310=$B311),$T$9:$T310),0)&gt;0))),ROW(),0))</f>
        <v>0</v>
      </c>
      <c r="AW311">
        <f>IF($A311="",0,IF($AV311&gt;0,MAX($AW$9:$AW$310)+1,MAX($AW$9:$AW$310)))</f>
        <v>0</v>
      </c>
      <c r="AX311">
        <f>IF($AU311="",0,IF(AND($AR311,OR(NOT(IFERROR(LOOKUP(2,1/($B$9:$B$310=$B311),$AR$9:$AR310),1)),IFERROR(LOOKUP(2,1/($B$9:$B$310=$B311),$T$9:$T310),0)=0)),ROW(),0))</f>
        <v>0</v>
      </c>
      <c r="AY311" t="str">
        <f t="shared" si="84"/>
        <v/>
      </c>
    </row>
    <row r="312" spans="1:51" ht="15" x14ac:dyDescent="0.25">
      <c r="A312" s="52" t="str">
        <f>IF(Trades!$A312="","",Trades!O312)</f>
        <v/>
      </c>
      <c r="B312" s="52" t="str">
        <f>IF(Trades!$A312="","",Trades!B312)</f>
        <v/>
      </c>
      <c r="C312" s="52" t="str">
        <f>IF(Trades!$A312="","",Trades!C312)</f>
        <v/>
      </c>
      <c r="D312" s="53" t="str">
        <f>IF(Trades!$A312="","",IF(Trades!$L312&gt;0,Trades!$L312,Trades!$C$6))</f>
        <v/>
      </c>
      <c r="E312" s="54" t="str">
        <f>IF(Trades!$A312="","",Trades!A312)</f>
        <v/>
      </c>
      <c r="F312" s="52" t="str">
        <f>IF(Trades!$A312="","",IFERROR(INDEX(Trades!$V$2:$V$14,MATCH(Trades!$E312,Trades!$U$2:$U$14,0)),""))</f>
        <v/>
      </c>
      <c r="G312" s="52" t="str">
        <f>IF(Trades!$A312="","",Trades!N312)</f>
        <v/>
      </c>
      <c r="H312" s="53" t="str">
        <f>IF(Trades!$A312="","",Trades!F312)</f>
        <v/>
      </c>
      <c r="I312" s="55" t="str">
        <f>IF(Trades!$A312="","",Trades!G312)</f>
        <v/>
      </c>
      <c r="J312" s="55" t="str">
        <f>IF(Trades!$A312="","",Trades!I312)</f>
        <v/>
      </c>
      <c r="K312" s="55" t="str">
        <f>IF(Trades!$A312="","",Trades!Q312)</f>
        <v/>
      </c>
      <c r="L312" s="53" t="str">
        <f>IF(Trades!$A312="","",Trades!F312)</f>
        <v/>
      </c>
      <c r="M312" s="55" t="str">
        <f>IF(Trades!$A312="","",Trades!M312)</f>
        <v/>
      </c>
      <c r="N312" s="55" t="str">
        <f>IF(Trades!$A312="","",Trades!R312)</f>
        <v/>
      </c>
      <c r="O312" s="55" t="str">
        <f>IF(Trades!$A312="","",Trades!J312)</f>
        <v/>
      </c>
      <c r="P312" s="54" t="str">
        <f>IF(Trades!$A312="","",Trades!H312)</f>
        <v/>
      </c>
      <c r="Q312" s="52" t="str">
        <f>IF(Trades!$A312="","",Trades!P312)</f>
        <v/>
      </c>
      <c r="R312" s="56" t="str">
        <f t="shared" si="68"/>
        <v/>
      </c>
      <c r="S312" s="56" t="str">
        <f t="shared" si="69"/>
        <v/>
      </c>
      <c r="T312" s="57" t="str">
        <f>IF(OR($A312="",$B312=""),"",IF(AND(IFERROR(LOOKUP(2,1/($B$9:$B$311=$B312),$AR$9:$AR311),1),NOT(AND(OR($F312="dividend",$F312="fee"),IFERROR(LOOKUP(2,1/($B$9:$B$311=$B312),$T$9:$T311),0)&gt;0))),IFERROR(LOOKUP(2,1/($B$9:$B$311=$B312),$T$9:$T311),0)+1,IFERROR(LOOKUP(2,1/($B$9:$B$311=$B312),$T$9:$T311),0)))</f>
        <v/>
      </c>
      <c r="U312" s="58" t="str">
        <f t="shared" si="70"/>
        <v/>
      </c>
      <c r="V312" s="58" t="str">
        <f>IF($A312="","",IF(OR($B312="",$C312="",$D312="",$E312="",$F312=""),"Missing required field",IF(COUNTIFS($A$9:$A312,$A312,$B$9:$B312,$B312)&gt;1,"Duplicate event ID",IF(AND($E312&lt;&gt;IFERROR(LOOKUP(2,1/($B$9:$B$311=$B312),$E$9:$E311),0),IFERROR(LOOKUP(2,1/($B$9:$B$311=$B312),$E$9:$E311),0)&gt;$E312),"Date out of order",IF(AND(OR($F312="buy_to_close",$F312="expire",$F312="roll",$F312="assignment",$F312="called_away"),$AF312=0),"Unknown lot",IF(OR(AND($F312="assignment",$AF312&gt;0,IF($AF312&gt;0,INDEX($AG$9:$AG$311,$AF312),"")&lt;&gt;"put"),AND($F312="called_away",$AF312&gt;0,IF($AF312&gt;0,INDEX($AG$9:$AG$311,$AF312),"")&lt;&gt;"call")),"Wrong option leg",IF(OR(AND(OR($F312="sell_put",$F312="sell_call"),OR($H312&lt;=0,$I312&lt;=0,$J312&lt;0)),AND(OR($F312="buy_to_close",$F312="expire",$F312="assignment",$F312="called_away"),OR($H312&lt;=0,$J312&lt;0)),AND($F312="roll",OR($H312&lt;=0,$I312&lt;=0,$J312&lt;0,$K312&lt;0)),AND(OR($F312="buy_shares",$F312="sell_shares"),OR($L312&lt;=0,$M312&lt;0)),AND(OR($F312="dividend",$F312="fee"),$N312&lt;0)),"Invalid value",IF(AND(OR($F312="sell_shares",$F312="called_away"),$AL312&lt;IF($F312="called_away",$AE312*$D312,$L312)),"Insufficient shares (capped)",IF(AND(OR($F312="buy_to_close",$F312="expire",$F312="roll",$F312="assignment",$F312="called_away"),$AF312&gt;0,$H312&gt;IF($AF312&gt;0,MAX(0,INDEX($AI$9:$AI$311,$AF312)-SUMIFS($AE$9:$AE$311,$G$9:$G$311,$G312,$B$9:$B$311,$B312)),0)),"Close quantity capped","OK")))))))))</f>
        <v/>
      </c>
      <c r="W312" s="59" t="str">
        <f t="shared" si="71"/>
        <v/>
      </c>
      <c r="X312" s="60" t="str">
        <f t="shared" si="72"/>
        <v/>
      </c>
      <c r="Y312" s="50" t="str">
        <f t="shared" si="73"/>
        <v/>
      </c>
      <c r="Z312" s="50" t="str">
        <f t="shared" si="74"/>
        <v/>
      </c>
      <c r="AA312" s="50" t="str">
        <f t="shared" si="75"/>
        <v/>
      </c>
      <c r="AB312" s="50" t="str">
        <f t="shared" si="76"/>
        <v/>
      </c>
      <c r="AC312" s="50" t="str">
        <f>IF($A312="","",IF($F312="assignment",IF($AF312&gt;0,INDEX($AH$9:$AH$311,$AF312),0)*$AE312*$D312,IF($F312="buy_shares",$M312*$AL312,0)))</f>
        <v/>
      </c>
      <c r="AD312" s="50" t="str">
        <f>IF($A312="","",IF($F312="called_away",IF($AF312&gt;0,INDEX($AH$9:$AH$311,$AF312),0)*$AL312,IF($F312="sell_shares",$M312*$AL312,0)))</f>
        <v/>
      </c>
      <c r="AE312" s="51" t="str">
        <f>IF($A312="","",IF(OR($F312="sell_put",$F312="sell_call"),IF(AND($H312&gt;0,$I312&gt;0,$J312&gt;=0),$H312,0),IF(OR($F312="buy_to_close",$F312="expire",$F312="roll",$F312="assignment",$F312="called_away"),IF(AND($AF312&gt;0,$H312&gt;0,IF($F312="assignment",IF($AF312&gt;0,INDEX($AG$9:$AG$311,$AF312),"")="put",TRUE),IF($F312="called_away",IF($AF312&gt;0,INDEX($AG$9:$AG$311,$AF312),"")="call",TRUE)),MIN($H312,IF($AF312&gt;0,MAX(0,INDEX($AI$9:$AI$311,$AF312)-SUMIFS($AE$9:$AE$311,$G$9:$G$311,$G312,$B$9:$B$311,$B312)),0)),0),0)))</f>
        <v/>
      </c>
      <c r="AF312" t="str">
        <f>IF($A312="","",IFERROR(MATCH(LEN($B312)&amp;":"&amp;$B312&amp;$G312,$AY$9:$AY$311,0),0))</f>
        <v/>
      </c>
      <c r="AG312" t="str">
        <f>IF($A312="","",IF($F312="sell_put","put",IF($F312="sell_call","call",IF($F312="roll",IF($AF312&gt;0,IF($AF312&gt;0,INDEX($AG$9:$AG$311,$AF312),""),""),IF($AF312&gt;0,IF($AF312&gt;0,INDEX($AG$9:$AG$311,$AF312),""),"")))))</f>
        <v/>
      </c>
      <c r="AH312" t="str">
        <f>IF($A312="","",IF(OR($F312="sell_put",$F312="sell_call",$F312="roll"),$I312,IF($AF312&gt;0,IF($AF312&gt;0,INDEX($AH$9:$AH$311,$AF312),0),0)))</f>
        <v/>
      </c>
      <c r="AI312" s="51" t="str">
        <f t="shared" si="77"/>
        <v/>
      </c>
      <c r="AJ312" s="51" t="str">
        <f>IF($A312="","",IFERROR(LOOKUP(2,1/($B$9:$B$311=$B312),$AM$9:$AM311),0))</f>
        <v/>
      </c>
      <c r="AK312" t="str">
        <f>IF($A312="","",IFERROR(LOOKUP(2,1/($B$9:$B$311=$B312),$AN$9:$AN311),0))</f>
        <v/>
      </c>
      <c r="AL312" s="51" t="str">
        <f t="shared" si="78"/>
        <v/>
      </c>
      <c r="AM312" s="51" t="str">
        <f t="shared" si="79"/>
        <v/>
      </c>
      <c r="AN312" t="str">
        <f t="shared" si="80"/>
        <v/>
      </c>
      <c r="AO312" s="50" t="str">
        <f>IF($A312="","",IFERROR(LOOKUP(2,1/($B$9:$B$311=$B312),$AO$9:$AO311),0)+IF($F312="sell_put",$I312*$AE312*$D312,IF($F312="roll",IF($AG312="put",($I312-IF($AF312&gt;0,INDEX($AH$9:$AH$311,$AF312),0))*$AE312*$D312,0),IF(AND(OR($F312="buy_to_close",$F312="expire",$F312="roll",$F312="assignment",$F312="called_away"),$F312&lt;&gt;"roll",$AG312="put"),-IF($AF312&gt;0,INDEX($AH$9:$AH$311,$AF312),0)*$AE312*$D312,0))))</f>
        <v/>
      </c>
      <c r="AP312" s="51" t="str">
        <f>IF($A312="","",IFERROR(LOOKUP(2,1/($B$9:$B$311=$B312),$AP$9:$AP311),0)+IF($F312="sell_put",$AE312*$D312,IF(AND(OR($F312="buy_to_close",$F312="expire",$F312="roll",$F312="assignment",$F312="called_away"),$F312&lt;&gt;"roll",$AG312="put"),-$AE312*$D312,0)))</f>
        <v/>
      </c>
      <c r="AQ312" s="51" t="str">
        <f>IF($A312="","",IFERROR(LOOKUP(2,1/($B$9:$B$311=$B312),$AQ$9:$AQ311),0)+IF(OR($F312="sell_put",$F312="sell_call"),$AE312,0)-IF(AND(OR($F312="buy_to_close",$F312="expire",$F312="roll",$F312="assignment",$F312="called_away"),$F312&lt;&gt;"roll"),$AE312,0))</f>
        <v/>
      </c>
      <c r="AR312" t="str">
        <f t="shared" si="81"/>
        <v/>
      </c>
      <c r="AS312" s="50" t="str">
        <f t="shared" si="82"/>
        <v/>
      </c>
      <c r="AT312" s="50" t="str">
        <f>IF($A312="","",MAX(IF($T312=IFERROR(LOOKUP(2,1/($B$9:$B$311=$B312),$T$9:$T311),0),IFERROR(LOOKUP(2,1/($B$9:$B$311=$B312),$AT$9:$AT311),0),0),$AS312))</f>
        <v/>
      </c>
      <c r="AU312" t="str">
        <f t="shared" si="83"/>
        <v/>
      </c>
      <c r="AV312" s="51">
        <f>IF($AU312="",0,IF(AND(IFERROR(LOOKUP(2,1/($B$9:$B$311=$B312),$AR$9:$AR311),1),NOT(AND(OR($F312="dividend",$F312="fee"),IFERROR(LOOKUP(2,1/($B$9:$B$311=$B312),$T$9:$T311),0)&gt;0))),ROW(),0))</f>
        <v>0</v>
      </c>
      <c r="AW312">
        <f>IF($A312="",0,IF($AV312&gt;0,MAX($AW$9:$AW$311)+1,MAX($AW$9:$AW$311)))</f>
        <v>0</v>
      </c>
      <c r="AX312">
        <f>IF($AU312="",0,IF(AND($AR312,OR(NOT(IFERROR(LOOKUP(2,1/($B$9:$B$311=$B312),$AR$9:$AR311),1)),IFERROR(LOOKUP(2,1/($B$9:$B$311=$B312),$T$9:$T311),0)=0)),ROW(),0))</f>
        <v>0</v>
      </c>
      <c r="AY312" t="str">
        <f t="shared" si="84"/>
        <v/>
      </c>
    </row>
    <row r="313" spans="1:51" ht="15" x14ac:dyDescent="0.25">
      <c r="A313" s="41" t="str">
        <f>IF(Trades!$A313="","",Trades!O313)</f>
        <v/>
      </c>
      <c r="B313" s="41" t="str">
        <f>IF(Trades!$A313="","",Trades!B313)</f>
        <v/>
      </c>
      <c r="C313" s="41" t="str">
        <f>IF(Trades!$A313="","",Trades!C313)</f>
        <v/>
      </c>
      <c r="D313" s="42" t="str">
        <f>IF(Trades!$A313="","",IF(Trades!$L313&gt;0,Trades!$L313,Trades!$C$6))</f>
        <v/>
      </c>
      <c r="E313" s="43" t="str">
        <f>IF(Trades!$A313="","",Trades!A313)</f>
        <v/>
      </c>
      <c r="F313" s="41" t="str">
        <f>IF(Trades!$A313="","",IFERROR(INDEX(Trades!$V$2:$V$14,MATCH(Trades!$E313,Trades!$U$2:$U$14,0)),""))</f>
        <v/>
      </c>
      <c r="G313" s="41" t="str">
        <f>IF(Trades!$A313="","",Trades!N313)</f>
        <v/>
      </c>
      <c r="H313" s="42" t="str">
        <f>IF(Trades!$A313="","",Trades!F313)</f>
        <v/>
      </c>
      <c r="I313" s="44" t="str">
        <f>IF(Trades!$A313="","",Trades!G313)</f>
        <v/>
      </c>
      <c r="J313" s="44" t="str">
        <f>IF(Trades!$A313="","",Trades!I313)</f>
        <v/>
      </c>
      <c r="K313" s="44" t="str">
        <f>IF(Trades!$A313="","",Trades!Q313)</f>
        <v/>
      </c>
      <c r="L313" s="42" t="str">
        <f>IF(Trades!$A313="","",Trades!F313)</f>
        <v/>
      </c>
      <c r="M313" s="44" t="str">
        <f>IF(Trades!$A313="","",Trades!M313)</f>
        <v/>
      </c>
      <c r="N313" s="44" t="str">
        <f>IF(Trades!$A313="","",Trades!R313)</f>
        <v/>
      </c>
      <c r="O313" s="44" t="str">
        <f>IF(Trades!$A313="","",Trades!J313)</f>
        <v/>
      </c>
      <c r="P313" s="43" t="str">
        <f>IF(Trades!$A313="","",Trades!H313)</f>
        <v/>
      </c>
      <c r="Q313" s="41" t="str">
        <f>IF(Trades!$A313="","",Trades!P313)</f>
        <v/>
      </c>
      <c r="R313" s="45" t="str">
        <f t="shared" si="68"/>
        <v/>
      </c>
      <c r="S313" s="45" t="str">
        <f t="shared" si="69"/>
        <v/>
      </c>
      <c r="T313" s="46" t="str">
        <f>IF(OR($A313="",$B313=""),"",IF(AND(IFERROR(LOOKUP(2,1/($B$9:$B$312=$B313),$AR$9:$AR312),1),NOT(AND(OR($F313="dividend",$F313="fee"),IFERROR(LOOKUP(2,1/($B$9:$B$312=$B313),$T$9:$T312),0)&gt;0))),IFERROR(LOOKUP(2,1/($B$9:$B$312=$B313),$T$9:$T312),0)+1,IFERROR(LOOKUP(2,1/($B$9:$B$312=$B313),$T$9:$T312),0)))</f>
        <v/>
      </c>
      <c r="U313" s="47" t="str">
        <f t="shared" si="70"/>
        <v/>
      </c>
      <c r="V313" s="47" t="str">
        <f>IF($A313="","",IF(OR($B313="",$C313="",$D313="",$E313="",$F313=""),"Missing required field",IF(COUNTIFS($A$9:$A313,$A313,$B$9:$B313,$B313)&gt;1,"Duplicate event ID",IF(AND($E313&lt;&gt;IFERROR(LOOKUP(2,1/($B$9:$B$312=$B313),$E$9:$E312),0),IFERROR(LOOKUP(2,1/($B$9:$B$312=$B313),$E$9:$E312),0)&gt;$E313),"Date out of order",IF(AND(OR($F313="buy_to_close",$F313="expire",$F313="roll",$F313="assignment",$F313="called_away"),$AF313=0),"Unknown lot",IF(OR(AND($F313="assignment",$AF313&gt;0,IF($AF313&gt;0,INDEX($AG$9:$AG$312,$AF313),"")&lt;&gt;"put"),AND($F313="called_away",$AF313&gt;0,IF($AF313&gt;0,INDEX($AG$9:$AG$312,$AF313),"")&lt;&gt;"call")),"Wrong option leg",IF(OR(AND(OR($F313="sell_put",$F313="sell_call"),OR($H313&lt;=0,$I313&lt;=0,$J313&lt;0)),AND(OR($F313="buy_to_close",$F313="expire",$F313="assignment",$F313="called_away"),OR($H313&lt;=0,$J313&lt;0)),AND($F313="roll",OR($H313&lt;=0,$I313&lt;=0,$J313&lt;0,$K313&lt;0)),AND(OR($F313="buy_shares",$F313="sell_shares"),OR($L313&lt;=0,$M313&lt;0)),AND(OR($F313="dividend",$F313="fee"),$N313&lt;0)),"Invalid value",IF(AND(OR($F313="sell_shares",$F313="called_away"),$AL313&lt;IF($F313="called_away",$AE313*$D313,$L313)),"Insufficient shares (capped)",IF(AND(OR($F313="buy_to_close",$F313="expire",$F313="roll",$F313="assignment",$F313="called_away"),$AF313&gt;0,$H313&gt;IF($AF313&gt;0,MAX(0,INDEX($AI$9:$AI$312,$AF313)-SUMIFS($AE$9:$AE$312,$G$9:$G$312,$G313,$B$9:$B$312,$B313)),0)),"Close quantity capped","OK")))))))))</f>
        <v/>
      </c>
      <c r="W313" s="48" t="str">
        <f t="shared" si="71"/>
        <v/>
      </c>
      <c r="X313" s="49" t="str">
        <f t="shared" si="72"/>
        <v/>
      </c>
      <c r="Y313" s="50" t="str">
        <f t="shared" si="73"/>
        <v/>
      </c>
      <c r="Z313" s="50" t="str">
        <f t="shared" si="74"/>
        <v/>
      </c>
      <c r="AA313" s="50" t="str">
        <f t="shared" si="75"/>
        <v/>
      </c>
      <c r="AB313" s="50" t="str">
        <f t="shared" si="76"/>
        <v/>
      </c>
      <c r="AC313" s="50" t="str">
        <f>IF($A313="","",IF($F313="assignment",IF($AF313&gt;0,INDEX($AH$9:$AH$312,$AF313),0)*$AE313*$D313,IF($F313="buy_shares",$M313*$AL313,0)))</f>
        <v/>
      </c>
      <c r="AD313" s="50" t="str">
        <f>IF($A313="","",IF($F313="called_away",IF($AF313&gt;0,INDEX($AH$9:$AH$312,$AF313),0)*$AL313,IF($F313="sell_shares",$M313*$AL313,0)))</f>
        <v/>
      </c>
      <c r="AE313" s="51" t="str">
        <f>IF($A313="","",IF(OR($F313="sell_put",$F313="sell_call"),IF(AND($H313&gt;0,$I313&gt;0,$J313&gt;=0),$H313,0),IF(OR($F313="buy_to_close",$F313="expire",$F313="roll",$F313="assignment",$F313="called_away"),IF(AND($AF313&gt;0,$H313&gt;0,IF($F313="assignment",IF($AF313&gt;0,INDEX($AG$9:$AG$312,$AF313),"")="put",TRUE),IF($F313="called_away",IF($AF313&gt;0,INDEX($AG$9:$AG$312,$AF313),"")="call",TRUE)),MIN($H313,IF($AF313&gt;0,MAX(0,INDEX($AI$9:$AI$312,$AF313)-SUMIFS($AE$9:$AE$312,$G$9:$G$312,$G313,$B$9:$B$312,$B313)),0)),0),0)))</f>
        <v/>
      </c>
      <c r="AF313" t="str">
        <f>IF($A313="","",IFERROR(MATCH(LEN($B313)&amp;":"&amp;$B313&amp;$G313,$AY$9:$AY$312,0),0))</f>
        <v/>
      </c>
      <c r="AG313" t="str">
        <f>IF($A313="","",IF($F313="sell_put","put",IF($F313="sell_call","call",IF($F313="roll",IF($AF313&gt;0,IF($AF313&gt;0,INDEX($AG$9:$AG$312,$AF313),""),""),IF($AF313&gt;0,IF($AF313&gt;0,INDEX($AG$9:$AG$312,$AF313),""),"")))))</f>
        <v/>
      </c>
      <c r="AH313" t="str">
        <f>IF($A313="","",IF(OR($F313="sell_put",$F313="sell_call",$F313="roll"),$I313,IF($AF313&gt;0,IF($AF313&gt;0,INDEX($AH$9:$AH$312,$AF313),0),0)))</f>
        <v/>
      </c>
      <c r="AI313" s="51" t="str">
        <f t="shared" si="77"/>
        <v/>
      </c>
      <c r="AJ313" s="51" t="str">
        <f>IF($A313="","",IFERROR(LOOKUP(2,1/($B$9:$B$312=$B313),$AM$9:$AM312),0))</f>
        <v/>
      </c>
      <c r="AK313" t="str">
        <f>IF($A313="","",IFERROR(LOOKUP(2,1/($B$9:$B$312=$B313),$AN$9:$AN312),0))</f>
        <v/>
      </c>
      <c r="AL313" s="51" t="str">
        <f t="shared" si="78"/>
        <v/>
      </c>
      <c r="AM313" s="51" t="str">
        <f t="shared" si="79"/>
        <v/>
      </c>
      <c r="AN313" t="str">
        <f t="shared" si="80"/>
        <v/>
      </c>
      <c r="AO313" s="50" t="str">
        <f>IF($A313="","",IFERROR(LOOKUP(2,1/($B$9:$B$312=$B313),$AO$9:$AO312),0)+IF($F313="sell_put",$I313*$AE313*$D313,IF($F313="roll",IF($AG313="put",($I313-IF($AF313&gt;0,INDEX($AH$9:$AH$312,$AF313),0))*$AE313*$D313,0),IF(AND(OR($F313="buy_to_close",$F313="expire",$F313="roll",$F313="assignment",$F313="called_away"),$F313&lt;&gt;"roll",$AG313="put"),-IF($AF313&gt;0,INDEX($AH$9:$AH$312,$AF313),0)*$AE313*$D313,0))))</f>
        <v/>
      </c>
      <c r="AP313" s="51" t="str">
        <f>IF($A313="","",IFERROR(LOOKUP(2,1/($B$9:$B$312=$B313),$AP$9:$AP312),0)+IF($F313="sell_put",$AE313*$D313,IF(AND(OR($F313="buy_to_close",$F313="expire",$F313="roll",$F313="assignment",$F313="called_away"),$F313&lt;&gt;"roll",$AG313="put"),-$AE313*$D313,0)))</f>
        <v/>
      </c>
      <c r="AQ313" s="51" t="str">
        <f>IF($A313="","",IFERROR(LOOKUP(2,1/($B$9:$B$312=$B313),$AQ$9:$AQ312),0)+IF(OR($F313="sell_put",$F313="sell_call"),$AE313,0)-IF(AND(OR($F313="buy_to_close",$F313="expire",$F313="roll",$F313="assignment",$F313="called_away"),$F313&lt;&gt;"roll"),$AE313,0))</f>
        <v/>
      </c>
      <c r="AR313" t="str">
        <f t="shared" si="81"/>
        <v/>
      </c>
      <c r="AS313" s="50" t="str">
        <f t="shared" si="82"/>
        <v/>
      </c>
      <c r="AT313" s="50" t="str">
        <f>IF($A313="","",MAX(IF($T313=IFERROR(LOOKUP(2,1/($B$9:$B$312=$B313),$T$9:$T312),0),IFERROR(LOOKUP(2,1/($B$9:$B$312=$B313),$AT$9:$AT312),0),0),$AS313))</f>
        <v/>
      </c>
      <c r="AU313" t="str">
        <f t="shared" si="83"/>
        <v/>
      </c>
      <c r="AV313" s="51">
        <f>IF($AU313="",0,IF(AND(IFERROR(LOOKUP(2,1/($B$9:$B$312=$B313),$AR$9:$AR312),1),NOT(AND(OR($F313="dividend",$F313="fee"),IFERROR(LOOKUP(2,1/($B$9:$B$312=$B313),$T$9:$T312),0)&gt;0))),ROW(),0))</f>
        <v>0</v>
      </c>
      <c r="AW313">
        <f>IF($A313="",0,IF($AV313&gt;0,MAX($AW$9:$AW$312)+1,MAX($AW$9:$AW$312)))</f>
        <v>0</v>
      </c>
      <c r="AX313">
        <f>IF($AU313="",0,IF(AND($AR313,OR(NOT(IFERROR(LOOKUP(2,1/($B$9:$B$312=$B313),$AR$9:$AR312),1)),IFERROR(LOOKUP(2,1/($B$9:$B$312=$B313),$T$9:$T312),0)=0)),ROW(),0))</f>
        <v>0</v>
      </c>
      <c r="AY313" t="str">
        <f t="shared" si="84"/>
        <v/>
      </c>
    </row>
    <row r="314" spans="1:51" ht="15" x14ac:dyDescent="0.25">
      <c r="A314" s="52" t="str">
        <f>IF(Trades!$A314="","",Trades!O314)</f>
        <v/>
      </c>
      <c r="B314" s="52" t="str">
        <f>IF(Trades!$A314="","",Trades!B314)</f>
        <v/>
      </c>
      <c r="C314" s="52" t="str">
        <f>IF(Trades!$A314="","",Trades!C314)</f>
        <v/>
      </c>
      <c r="D314" s="53" t="str">
        <f>IF(Trades!$A314="","",IF(Trades!$L314&gt;0,Trades!$L314,Trades!$C$6))</f>
        <v/>
      </c>
      <c r="E314" s="54" t="str">
        <f>IF(Trades!$A314="","",Trades!A314)</f>
        <v/>
      </c>
      <c r="F314" s="52" t="str">
        <f>IF(Trades!$A314="","",IFERROR(INDEX(Trades!$V$2:$V$14,MATCH(Trades!$E314,Trades!$U$2:$U$14,0)),""))</f>
        <v/>
      </c>
      <c r="G314" s="52" t="str">
        <f>IF(Trades!$A314="","",Trades!N314)</f>
        <v/>
      </c>
      <c r="H314" s="53" t="str">
        <f>IF(Trades!$A314="","",Trades!F314)</f>
        <v/>
      </c>
      <c r="I314" s="55" t="str">
        <f>IF(Trades!$A314="","",Trades!G314)</f>
        <v/>
      </c>
      <c r="J314" s="55" t="str">
        <f>IF(Trades!$A314="","",Trades!I314)</f>
        <v/>
      </c>
      <c r="K314" s="55" t="str">
        <f>IF(Trades!$A314="","",Trades!Q314)</f>
        <v/>
      </c>
      <c r="L314" s="53" t="str">
        <f>IF(Trades!$A314="","",Trades!F314)</f>
        <v/>
      </c>
      <c r="M314" s="55" t="str">
        <f>IF(Trades!$A314="","",Trades!M314)</f>
        <v/>
      </c>
      <c r="N314" s="55" t="str">
        <f>IF(Trades!$A314="","",Trades!R314)</f>
        <v/>
      </c>
      <c r="O314" s="55" t="str">
        <f>IF(Trades!$A314="","",Trades!J314)</f>
        <v/>
      </c>
      <c r="P314" s="54" t="str">
        <f>IF(Trades!$A314="","",Trades!H314)</f>
        <v/>
      </c>
      <c r="Q314" s="52" t="str">
        <f>IF(Trades!$A314="","",Trades!P314)</f>
        <v/>
      </c>
      <c r="R314" s="56" t="str">
        <f t="shared" si="68"/>
        <v/>
      </c>
      <c r="S314" s="56" t="str">
        <f t="shared" si="69"/>
        <v/>
      </c>
      <c r="T314" s="57" t="str">
        <f>IF(OR($A314="",$B314=""),"",IF(AND(IFERROR(LOOKUP(2,1/($B$9:$B$313=$B314),$AR$9:$AR313),1),NOT(AND(OR($F314="dividend",$F314="fee"),IFERROR(LOOKUP(2,1/($B$9:$B$313=$B314),$T$9:$T313),0)&gt;0))),IFERROR(LOOKUP(2,1/($B$9:$B$313=$B314),$T$9:$T313),0)+1,IFERROR(LOOKUP(2,1/($B$9:$B$313=$B314),$T$9:$T313),0)))</f>
        <v/>
      </c>
      <c r="U314" s="58" t="str">
        <f t="shared" si="70"/>
        <v/>
      </c>
      <c r="V314" s="58" t="str">
        <f>IF($A314="","",IF(OR($B314="",$C314="",$D314="",$E314="",$F314=""),"Missing required field",IF(COUNTIFS($A$9:$A314,$A314,$B$9:$B314,$B314)&gt;1,"Duplicate event ID",IF(AND($E314&lt;&gt;IFERROR(LOOKUP(2,1/($B$9:$B$313=$B314),$E$9:$E313),0),IFERROR(LOOKUP(2,1/($B$9:$B$313=$B314),$E$9:$E313),0)&gt;$E314),"Date out of order",IF(AND(OR($F314="buy_to_close",$F314="expire",$F314="roll",$F314="assignment",$F314="called_away"),$AF314=0),"Unknown lot",IF(OR(AND($F314="assignment",$AF314&gt;0,IF($AF314&gt;0,INDEX($AG$9:$AG$313,$AF314),"")&lt;&gt;"put"),AND($F314="called_away",$AF314&gt;0,IF($AF314&gt;0,INDEX($AG$9:$AG$313,$AF314),"")&lt;&gt;"call")),"Wrong option leg",IF(OR(AND(OR($F314="sell_put",$F314="sell_call"),OR($H314&lt;=0,$I314&lt;=0,$J314&lt;0)),AND(OR($F314="buy_to_close",$F314="expire",$F314="assignment",$F314="called_away"),OR($H314&lt;=0,$J314&lt;0)),AND($F314="roll",OR($H314&lt;=0,$I314&lt;=0,$J314&lt;0,$K314&lt;0)),AND(OR($F314="buy_shares",$F314="sell_shares"),OR($L314&lt;=0,$M314&lt;0)),AND(OR($F314="dividend",$F314="fee"),$N314&lt;0)),"Invalid value",IF(AND(OR($F314="sell_shares",$F314="called_away"),$AL314&lt;IF($F314="called_away",$AE314*$D314,$L314)),"Insufficient shares (capped)",IF(AND(OR($F314="buy_to_close",$F314="expire",$F314="roll",$F314="assignment",$F314="called_away"),$AF314&gt;0,$H314&gt;IF($AF314&gt;0,MAX(0,INDEX($AI$9:$AI$313,$AF314)-SUMIFS($AE$9:$AE$313,$G$9:$G$313,$G314,$B$9:$B$313,$B314)),0)),"Close quantity capped","OK")))))))))</f>
        <v/>
      </c>
      <c r="W314" s="59" t="str">
        <f t="shared" si="71"/>
        <v/>
      </c>
      <c r="X314" s="60" t="str">
        <f t="shared" si="72"/>
        <v/>
      </c>
      <c r="Y314" s="50" t="str">
        <f t="shared" si="73"/>
        <v/>
      </c>
      <c r="Z314" s="50" t="str">
        <f t="shared" si="74"/>
        <v/>
      </c>
      <c r="AA314" s="50" t="str">
        <f t="shared" si="75"/>
        <v/>
      </c>
      <c r="AB314" s="50" t="str">
        <f t="shared" si="76"/>
        <v/>
      </c>
      <c r="AC314" s="50" t="str">
        <f>IF($A314="","",IF($F314="assignment",IF($AF314&gt;0,INDEX($AH$9:$AH$313,$AF314),0)*$AE314*$D314,IF($F314="buy_shares",$M314*$AL314,0)))</f>
        <v/>
      </c>
      <c r="AD314" s="50" t="str">
        <f>IF($A314="","",IF($F314="called_away",IF($AF314&gt;0,INDEX($AH$9:$AH$313,$AF314),0)*$AL314,IF($F314="sell_shares",$M314*$AL314,0)))</f>
        <v/>
      </c>
      <c r="AE314" s="51" t="str">
        <f>IF($A314="","",IF(OR($F314="sell_put",$F314="sell_call"),IF(AND($H314&gt;0,$I314&gt;0,$J314&gt;=0),$H314,0),IF(OR($F314="buy_to_close",$F314="expire",$F314="roll",$F314="assignment",$F314="called_away"),IF(AND($AF314&gt;0,$H314&gt;0,IF($F314="assignment",IF($AF314&gt;0,INDEX($AG$9:$AG$313,$AF314),"")="put",TRUE),IF($F314="called_away",IF($AF314&gt;0,INDEX($AG$9:$AG$313,$AF314),"")="call",TRUE)),MIN($H314,IF($AF314&gt;0,MAX(0,INDEX($AI$9:$AI$313,$AF314)-SUMIFS($AE$9:$AE$313,$G$9:$G$313,$G314,$B$9:$B$313,$B314)),0)),0),0)))</f>
        <v/>
      </c>
      <c r="AF314" t="str">
        <f>IF($A314="","",IFERROR(MATCH(LEN($B314)&amp;":"&amp;$B314&amp;$G314,$AY$9:$AY$313,0),0))</f>
        <v/>
      </c>
      <c r="AG314" t="str">
        <f>IF($A314="","",IF($F314="sell_put","put",IF($F314="sell_call","call",IF($F314="roll",IF($AF314&gt;0,IF($AF314&gt;0,INDEX($AG$9:$AG$313,$AF314),""),""),IF($AF314&gt;0,IF($AF314&gt;0,INDEX($AG$9:$AG$313,$AF314),""),"")))))</f>
        <v/>
      </c>
      <c r="AH314" t="str">
        <f>IF($A314="","",IF(OR($F314="sell_put",$F314="sell_call",$F314="roll"),$I314,IF($AF314&gt;0,IF($AF314&gt;0,INDEX($AH$9:$AH$313,$AF314),0),0)))</f>
        <v/>
      </c>
      <c r="AI314" s="51" t="str">
        <f t="shared" si="77"/>
        <v/>
      </c>
      <c r="AJ314" s="51" t="str">
        <f>IF($A314="","",IFERROR(LOOKUP(2,1/($B$9:$B$313=$B314),$AM$9:$AM313),0))</f>
        <v/>
      </c>
      <c r="AK314" t="str">
        <f>IF($A314="","",IFERROR(LOOKUP(2,1/($B$9:$B$313=$B314),$AN$9:$AN313),0))</f>
        <v/>
      </c>
      <c r="AL314" s="51" t="str">
        <f t="shared" si="78"/>
        <v/>
      </c>
      <c r="AM314" s="51" t="str">
        <f t="shared" si="79"/>
        <v/>
      </c>
      <c r="AN314" t="str">
        <f t="shared" si="80"/>
        <v/>
      </c>
      <c r="AO314" s="50" t="str">
        <f>IF($A314="","",IFERROR(LOOKUP(2,1/($B$9:$B$313=$B314),$AO$9:$AO313),0)+IF($F314="sell_put",$I314*$AE314*$D314,IF($F314="roll",IF($AG314="put",($I314-IF($AF314&gt;0,INDEX($AH$9:$AH$313,$AF314),0))*$AE314*$D314,0),IF(AND(OR($F314="buy_to_close",$F314="expire",$F314="roll",$F314="assignment",$F314="called_away"),$F314&lt;&gt;"roll",$AG314="put"),-IF($AF314&gt;0,INDEX($AH$9:$AH$313,$AF314),0)*$AE314*$D314,0))))</f>
        <v/>
      </c>
      <c r="AP314" s="51" t="str">
        <f>IF($A314="","",IFERROR(LOOKUP(2,1/($B$9:$B$313=$B314),$AP$9:$AP313),0)+IF($F314="sell_put",$AE314*$D314,IF(AND(OR($F314="buy_to_close",$F314="expire",$F314="roll",$F314="assignment",$F314="called_away"),$F314&lt;&gt;"roll",$AG314="put"),-$AE314*$D314,0)))</f>
        <v/>
      </c>
      <c r="AQ314" s="51" t="str">
        <f>IF($A314="","",IFERROR(LOOKUP(2,1/($B$9:$B$313=$B314),$AQ$9:$AQ313),0)+IF(OR($F314="sell_put",$F314="sell_call"),$AE314,0)-IF(AND(OR($F314="buy_to_close",$F314="expire",$F314="roll",$F314="assignment",$F314="called_away"),$F314&lt;&gt;"roll"),$AE314,0))</f>
        <v/>
      </c>
      <c r="AR314" t="str">
        <f t="shared" si="81"/>
        <v/>
      </c>
      <c r="AS314" s="50" t="str">
        <f t="shared" si="82"/>
        <v/>
      </c>
      <c r="AT314" s="50" t="str">
        <f>IF($A314="","",MAX(IF($T314=IFERROR(LOOKUP(2,1/($B$9:$B$313=$B314),$T$9:$T313),0),IFERROR(LOOKUP(2,1/($B$9:$B$313=$B314),$AT$9:$AT313),0),0),$AS314))</f>
        <v/>
      </c>
      <c r="AU314" t="str">
        <f t="shared" si="83"/>
        <v/>
      </c>
      <c r="AV314" s="51">
        <f>IF($AU314="",0,IF(AND(IFERROR(LOOKUP(2,1/($B$9:$B$313=$B314),$AR$9:$AR313),1),NOT(AND(OR($F314="dividend",$F314="fee"),IFERROR(LOOKUP(2,1/($B$9:$B$313=$B314),$T$9:$T313),0)&gt;0))),ROW(),0))</f>
        <v>0</v>
      </c>
      <c r="AW314">
        <f>IF($A314="",0,IF($AV314&gt;0,MAX($AW$9:$AW$313)+1,MAX($AW$9:$AW$313)))</f>
        <v>0</v>
      </c>
      <c r="AX314">
        <f>IF($AU314="",0,IF(AND($AR314,OR(NOT(IFERROR(LOOKUP(2,1/($B$9:$B$313=$B314),$AR$9:$AR313),1)),IFERROR(LOOKUP(2,1/($B$9:$B$313=$B314),$T$9:$T313),0)=0)),ROW(),0))</f>
        <v>0</v>
      </c>
      <c r="AY314" t="str">
        <f t="shared" si="84"/>
        <v/>
      </c>
    </row>
    <row r="315" spans="1:51" ht="15" x14ac:dyDescent="0.25">
      <c r="A315" s="41" t="str">
        <f>IF(Trades!$A315="","",Trades!O315)</f>
        <v/>
      </c>
      <c r="B315" s="41" t="str">
        <f>IF(Trades!$A315="","",Trades!B315)</f>
        <v/>
      </c>
      <c r="C315" s="41" t="str">
        <f>IF(Trades!$A315="","",Trades!C315)</f>
        <v/>
      </c>
      <c r="D315" s="42" t="str">
        <f>IF(Trades!$A315="","",IF(Trades!$L315&gt;0,Trades!$L315,Trades!$C$6))</f>
        <v/>
      </c>
      <c r="E315" s="43" t="str">
        <f>IF(Trades!$A315="","",Trades!A315)</f>
        <v/>
      </c>
      <c r="F315" s="41" t="str">
        <f>IF(Trades!$A315="","",IFERROR(INDEX(Trades!$V$2:$V$14,MATCH(Trades!$E315,Trades!$U$2:$U$14,0)),""))</f>
        <v/>
      </c>
      <c r="G315" s="41" t="str">
        <f>IF(Trades!$A315="","",Trades!N315)</f>
        <v/>
      </c>
      <c r="H315" s="42" t="str">
        <f>IF(Trades!$A315="","",Trades!F315)</f>
        <v/>
      </c>
      <c r="I315" s="44" t="str">
        <f>IF(Trades!$A315="","",Trades!G315)</f>
        <v/>
      </c>
      <c r="J315" s="44" t="str">
        <f>IF(Trades!$A315="","",Trades!I315)</f>
        <v/>
      </c>
      <c r="K315" s="44" t="str">
        <f>IF(Trades!$A315="","",Trades!Q315)</f>
        <v/>
      </c>
      <c r="L315" s="42" t="str">
        <f>IF(Trades!$A315="","",Trades!F315)</f>
        <v/>
      </c>
      <c r="M315" s="44" t="str">
        <f>IF(Trades!$A315="","",Trades!M315)</f>
        <v/>
      </c>
      <c r="N315" s="44" t="str">
        <f>IF(Trades!$A315="","",Trades!R315)</f>
        <v/>
      </c>
      <c r="O315" s="44" t="str">
        <f>IF(Trades!$A315="","",Trades!J315)</f>
        <v/>
      </c>
      <c r="P315" s="43" t="str">
        <f>IF(Trades!$A315="","",Trades!H315)</f>
        <v/>
      </c>
      <c r="Q315" s="41" t="str">
        <f>IF(Trades!$A315="","",Trades!P315)</f>
        <v/>
      </c>
      <c r="R315" s="45" t="str">
        <f t="shared" si="68"/>
        <v/>
      </c>
      <c r="S315" s="45" t="str">
        <f t="shared" si="69"/>
        <v/>
      </c>
      <c r="T315" s="46" t="str">
        <f>IF(OR($A315="",$B315=""),"",IF(AND(IFERROR(LOOKUP(2,1/($B$9:$B$314=$B315),$AR$9:$AR314),1),NOT(AND(OR($F315="dividend",$F315="fee"),IFERROR(LOOKUP(2,1/($B$9:$B$314=$B315),$T$9:$T314),0)&gt;0))),IFERROR(LOOKUP(2,1/($B$9:$B$314=$B315),$T$9:$T314),0)+1,IFERROR(LOOKUP(2,1/($B$9:$B$314=$B315),$T$9:$T314),0)))</f>
        <v/>
      </c>
      <c r="U315" s="47" t="str">
        <f t="shared" si="70"/>
        <v/>
      </c>
      <c r="V315" s="47" t="str">
        <f>IF($A315="","",IF(OR($B315="",$C315="",$D315="",$E315="",$F315=""),"Missing required field",IF(COUNTIFS($A$9:$A315,$A315,$B$9:$B315,$B315)&gt;1,"Duplicate event ID",IF(AND($E315&lt;&gt;IFERROR(LOOKUP(2,1/($B$9:$B$314=$B315),$E$9:$E314),0),IFERROR(LOOKUP(2,1/($B$9:$B$314=$B315),$E$9:$E314),0)&gt;$E315),"Date out of order",IF(AND(OR($F315="buy_to_close",$F315="expire",$F315="roll",$F315="assignment",$F315="called_away"),$AF315=0),"Unknown lot",IF(OR(AND($F315="assignment",$AF315&gt;0,IF($AF315&gt;0,INDEX($AG$9:$AG$314,$AF315),"")&lt;&gt;"put"),AND($F315="called_away",$AF315&gt;0,IF($AF315&gt;0,INDEX($AG$9:$AG$314,$AF315),"")&lt;&gt;"call")),"Wrong option leg",IF(OR(AND(OR($F315="sell_put",$F315="sell_call"),OR($H315&lt;=0,$I315&lt;=0,$J315&lt;0)),AND(OR($F315="buy_to_close",$F315="expire",$F315="assignment",$F315="called_away"),OR($H315&lt;=0,$J315&lt;0)),AND($F315="roll",OR($H315&lt;=0,$I315&lt;=0,$J315&lt;0,$K315&lt;0)),AND(OR($F315="buy_shares",$F315="sell_shares"),OR($L315&lt;=0,$M315&lt;0)),AND(OR($F315="dividend",$F315="fee"),$N315&lt;0)),"Invalid value",IF(AND(OR($F315="sell_shares",$F315="called_away"),$AL315&lt;IF($F315="called_away",$AE315*$D315,$L315)),"Insufficient shares (capped)",IF(AND(OR($F315="buy_to_close",$F315="expire",$F315="roll",$F315="assignment",$F315="called_away"),$AF315&gt;0,$H315&gt;IF($AF315&gt;0,MAX(0,INDEX($AI$9:$AI$314,$AF315)-SUMIFS($AE$9:$AE$314,$G$9:$G$314,$G315,$B$9:$B$314,$B315)),0)),"Close quantity capped","OK")))))))))</f>
        <v/>
      </c>
      <c r="W315" s="48" t="str">
        <f t="shared" si="71"/>
        <v/>
      </c>
      <c r="X315" s="49" t="str">
        <f t="shared" si="72"/>
        <v/>
      </c>
      <c r="Y315" s="50" t="str">
        <f t="shared" si="73"/>
        <v/>
      </c>
      <c r="Z315" s="50" t="str">
        <f t="shared" si="74"/>
        <v/>
      </c>
      <c r="AA315" s="50" t="str">
        <f t="shared" si="75"/>
        <v/>
      </c>
      <c r="AB315" s="50" t="str">
        <f t="shared" si="76"/>
        <v/>
      </c>
      <c r="AC315" s="50" t="str">
        <f>IF($A315="","",IF($F315="assignment",IF($AF315&gt;0,INDEX($AH$9:$AH$314,$AF315),0)*$AE315*$D315,IF($F315="buy_shares",$M315*$AL315,0)))</f>
        <v/>
      </c>
      <c r="AD315" s="50" t="str">
        <f>IF($A315="","",IF($F315="called_away",IF($AF315&gt;0,INDEX($AH$9:$AH$314,$AF315),0)*$AL315,IF($F315="sell_shares",$M315*$AL315,0)))</f>
        <v/>
      </c>
      <c r="AE315" s="51" t="str">
        <f>IF($A315="","",IF(OR($F315="sell_put",$F315="sell_call"),IF(AND($H315&gt;0,$I315&gt;0,$J315&gt;=0),$H315,0),IF(OR($F315="buy_to_close",$F315="expire",$F315="roll",$F315="assignment",$F315="called_away"),IF(AND($AF315&gt;0,$H315&gt;0,IF($F315="assignment",IF($AF315&gt;0,INDEX($AG$9:$AG$314,$AF315),"")="put",TRUE),IF($F315="called_away",IF($AF315&gt;0,INDEX($AG$9:$AG$314,$AF315),"")="call",TRUE)),MIN($H315,IF($AF315&gt;0,MAX(0,INDEX($AI$9:$AI$314,$AF315)-SUMIFS($AE$9:$AE$314,$G$9:$G$314,$G315,$B$9:$B$314,$B315)),0)),0),0)))</f>
        <v/>
      </c>
      <c r="AF315" t="str">
        <f>IF($A315="","",IFERROR(MATCH(LEN($B315)&amp;":"&amp;$B315&amp;$G315,$AY$9:$AY$314,0),0))</f>
        <v/>
      </c>
      <c r="AG315" t="str">
        <f>IF($A315="","",IF($F315="sell_put","put",IF($F315="sell_call","call",IF($F315="roll",IF($AF315&gt;0,IF($AF315&gt;0,INDEX($AG$9:$AG$314,$AF315),""),""),IF($AF315&gt;0,IF($AF315&gt;0,INDEX($AG$9:$AG$314,$AF315),""),"")))))</f>
        <v/>
      </c>
      <c r="AH315" t="str">
        <f>IF($A315="","",IF(OR($F315="sell_put",$F315="sell_call",$F315="roll"),$I315,IF($AF315&gt;0,IF($AF315&gt;0,INDEX($AH$9:$AH$314,$AF315),0),0)))</f>
        <v/>
      </c>
      <c r="AI315" s="51" t="str">
        <f t="shared" si="77"/>
        <v/>
      </c>
      <c r="AJ315" s="51" t="str">
        <f>IF($A315="","",IFERROR(LOOKUP(2,1/($B$9:$B$314=$B315),$AM$9:$AM314),0))</f>
        <v/>
      </c>
      <c r="AK315" t="str">
        <f>IF($A315="","",IFERROR(LOOKUP(2,1/($B$9:$B$314=$B315),$AN$9:$AN314),0))</f>
        <v/>
      </c>
      <c r="AL315" s="51" t="str">
        <f t="shared" si="78"/>
        <v/>
      </c>
      <c r="AM315" s="51" t="str">
        <f t="shared" si="79"/>
        <v/>
      </c>
      <c r="AN315" t="str">
        <f t="shared" si="80"/>
        <v/>
      </c>
      <c r="AO315" s="50" t="str">
        <f>IF($A315="","",IFERROR(LOOKUP(2,1/($B$9:$B$314=$B315),$AO$9:$AO314),0)+IF($F315="sell_put",$I315*$AE315*$D315,IF($F315="roll",IF($AG315="put",($I315-IF($AF315&gt;0,INDEX($AH$9:$AH$314,$AF315),0))*$AE315*$D315,0),IF(AND(OR($F315="buy_to_close",$F315="expire",$F315="roll",$F315="assignment",$F315="called_away"),$F315&lt;&gt;"roll",$AG315="put"),-IF($AF315&gt;0,INDEX($AH$9:$AH$314,$AF315),0)*$AE315*$D315,0))))</f>
        <v/>
      </c>
      <c r="AP315" s="51" t="str">
        <f>IF($A315="","",IFERROR(LOOKUP(2,1/($B$9:$B$314=$B315),$AP$9:$AP314),0)+IF($F315="sell_put",$AE315*$D315,IF(AND(OR($F315="buy_to_close",$F315="expire",$F315="roll",$F315="assignment",$F315="called_away"),$F315&lt;&gt;"roll",$AG315="put"),-$AE315*$D315,0)))</f>
        <v/>
      </c>
      <c r="AQ315" s="51" t="str">
        <f>IF($A315="","",IFERROR(LOOKUP(2,1/($B$9:$B$314=$B315),$AQ$9:$AQ314),0)+IF(OR($F315="sell_put",$F315="sell_call"),$AE315,0)-IF(AND(OR($F315="buy_to_close",$F315="expire",$F315="roll",$F315="assignment",$F315="called_away"),$F315&lt;&gt;"roll"),$AE315,0))</f>
        <v/>
      </c>
      <c r="AR315" t="str">
        <f t="shared" si="81"/>
        <v/>
      </c>
      <c r="AS315" s="50" t="str">
        <f t="shared" si="82"/>
        <v/>
      </c>
      <c r="AT315" s="50" t="str">
        <f>IF($A315="","",MAX(IF($T315=IFERROR(LOOKUP(2,1/($B$9:$B$314=$B315),$T$9:$T314),0),IFERROR(LOOKUP(2,1/($B$9:$B$314=$B315),$AT$9:$AT314),0),0),$AS315))</f>
        <v/>
      </c>
      <c r="AU315" t="str">
        <f t="shared" si="83"/>
        <v/>
      </c>
      <c r="AV315" s="51">
        <f>IF($AU315="",0,IF(AND(IFERROR(LOOKUP(2,1/($B$9:$B$314=$B315),$AR$9:$AR314),1),NOT(AND(OR($F315="dividend",$F315="fee"),IFERROR(LOOKUP(2,1/($B$9:$B$314=$B315),$T$9:$T314),0)&gt;0))),ROW(),0))</f>
        <v>0</v>
      </c>
      <c r="AW315">
        <f>IF($A315="",0,IF($AV315&gt;0,MAX($AW$9:$AW$314)+1,MAX($AW$9:$AW$314)))</f>
        <v>0</v>
      </c>
      <c r="AX315">
        <f>IF($AU315="",0,IF(AND($AR315,OR(NOT(IFERROR(LOOKUP(2,1/($B$9:$B$314=$B315),$AR$9:$AR314),1)),IFERROR(LOOKUP(2,1/($B$9:$B$314=$B315),$T$9:$T314),0)=0)),ROW(),0))</f>
        <v>0</v>
      </c>
      <c r="AY315" t="str">
        <f t="shared" si="84"/>
        <v/>
      </c>
    </row>
    <row r="316" spans="1:51" ht="15" x14ac:dyDescent="0.25">
      <c r="A316" s="52" t="str">
        <f>IF(Trades!$A316="","",Trades!O316)</f>
        <v/>
      </c>
      <c r="B316" s="52" t="str">
        <f>IF(Trades!$A316="","",Trades!B316)</f>
        <v/>
      </c>
      <c r="C316" s="52" t="str">
        <f>IF(Trades!$A316="","",Trades!C316)</f>
        <v/>
      </c>
      <c r="D316" s="53" t="str">
        <f>IF(Trades!$A316="","",IF(Trades!$L316&gt;0,Trades!$L316,Trades!$C$6))</f>
        <v/>
      </c>
      <c r="E316" s="54" t="str">
        <f>IF(Trades!$A316="","",Trades!A316)</f>
        <v/>
      </c>
      <c r="F316" s="52" t="str">
        <f>IF(Trades!$A316="","",IFERROR(INDEX(Trades!$V$2:$V$14,MATCH(Trades!$E316,Trades!$U$2:$U$14,0)),""))</f>
        <v/>
      </c>
      <c r="G316" s="52" t="str">
        <f>IF(Trades!$A316="","",Trades!N316)</f>
        <v/>
      </c>
      <c r="H316" s="53" t="str">
        <f>IF(Trades!$A316="","",Trades!F316)</f>
        <v/>
      </c>
      <c r="I316" s="55" t="str">
        <f>IF(Trades!$A316="","",Trades!G316)</f>
        <v/>
      </c>
      <c r="J316" s="55" t="str">
        <f>IF(Trades!$A316="","",Trades!I316)</f>
        <v/>
      </c>
      <c r="K316" s="55" t="str">
        <f>IF(Trades!$A316="","",Trades!Q316)</f>
        <v/>
      </c>
      <c r="L316" s="53" t="str">
        <f>IF(Trades!$A316="","",Trades!F316)</f>
        <v/>
      </c>
      <c r="M316" s="55" t="str">
        <f>IF(Trades!$A316="","",Trades!M316)</f>
        <v/>
      </c>
      <c r="N316" s="55" t="str">
        <f>IF(Trades!$A316="","",Trades!R316)</f>
        <v/>
      </c>
      <c r="O316" s="55" t="str">
        <f>IF(Trades!$A316="","",Trades!J316)</f>
        <v/>
      </c>
      <c r="P316" s="54" t="str">
        <f>IF(Trades!$A316="","",Trades!H316)</f>
        <v/>
      </c>
      <c r="Q316" s="52" t="str">
        <f>IF(Trades!$A316="","",Trades!P316)</f>
        <v/>
      </c>
      <c r="R316" s="56" t="str">
        <f t="shared" si="68"/>
        <v/>
      </c>
      <c r="S316" s="56" t="str">
        <f t="shared" si="69"/>
        <v/>
      </c>
      <c r="T316" s="57" t="str">
        <f>IF(OR($A316="",$B316=""),"",IF(AND(IFERROR(LOOKUP(2,1/($B$9:$B$315=$B316),$AR$9:$AR315),1),NOT(AND(OR($F316="dividend",$F316="fee"),IFERROR(LOOKUP(2,1/($B$9:$B$315=$B316),$T$9:$T315),0)&gt;0))),IFERROR(LOOKUP(2,1/($B$9:$B$315=$B316),$T$9:$T315),0)+1,IFERROR(LOOKUP(2,1/($B$9:$B$315=$B316),$T$9:$T315),0)))</f>
        <v/>
      </c>
      <c r="U316" s="58" t="str">
        <f t="shared" si="70"/>
        <v/>
      </c>
      <c r="V316" s="58" t="str">
        <f>IF($A316="","",IF(OR($B316="",$C316="",$D316="",$E316="",$F316=""),"Missing required field",IF(COUNTIFS($A$9:$A316,$A316,$B$9:$B316,$B316)&gt;1,"Duplicate event ID",IF(AND($E316&lt;&gt;IFERROR(LOOKUP(2,1/($B$9:$B$315=$B316),$E$9:$E315),0),IFERROR(LOOKUP(2,1/($B$9:$B$315=$B316),$E$9:$E315),0)&gt;$E316),"Date out of order",IF(AND(OR($F316="buy_to_close",$F316="expire",$F316="roll",$F316="assignment",$F316="called_away"),$AF316=0),"Unknown lot",IF(OR(AND($F316="assignment",$AF316&gt;0,IF($AF316&gt;0,INDEX($AG$9:$AG$315,$AF316),"")&lt;&gt;"put"),AND($F316="called_away",$AF316&gt;0,IF($AF316&gt;0,INDEX($AG$9:$AG$315,$AF316),"")&lt;&gt;"call")),"Wrong option leg",IF(OR(AND(OR($F316="sell_put",$F316="sell_call"),OR($H316&lt;=0,$I316&lt;=0,$J316&lt;0)),AND(OR($F316="buy_to_close",$F316="expire",$F316="assignment",$F316="called_away"),OR($H316&lt;=0,$J316&lt;0)),AND($F316="roll",OR($H316&lt;=0,$I316&lt;=0,$J316&lt;0,$K316&lt;0)),AND(OR($F316="buy_shares",$F316="sell_shares"),OR($L316&lt;=0,$M316&lt;0)),AND(OR($F316="dividend",$F316="fee"),$N316&lt;0)),"Invalid value",IF(AND(OR($F316="sell_shares",$F316="called_away"),$AL316&lt;IF($F316="called_away",$AE316*$D316,$L316)),"Insufficient shares (capped)",IF(AND(OR($F316="buy_to_close",$F316="expire",$F316="roll",$F316="assignment",$F316="called_away"),$AF316&gt;0,$H316&gt;IF($AF316&gt;0,MAX(0,INDEX($AI$9:$AI$315,$AF316)-SUMIFS($AE$9:$AE$315,$G$9:$G$315,$G316,$B$9:$B$315,$B316)),0)),"Close quantity capped","OK")))))))))</f>
        <v/>
      </c>
      <c r="W316" s="59" t="str">
        <f t="shared" si="71"/>
        <v/>
      </c>
      <c r="X316" s="60" t="str">
        <f t="shared" si="72"/>
        <v/>
      </c>
      <c r="Y316" s="50" t="str">
        <f t="shared" si="73"/>
        <v/>
      </c>
      <c r="Z316" s="50" t="str">
        <f t="shared" si="74"/>
        <v/>
      </c>
      <c r="AA316" s="50" t="str">
        <f t="shared" si="75"/>
        <v/>
      </c>
      <c r="AB316" s="50" t="str">
        <f t="shared" si="76"/>
        <v/>
      </c>
      <c r="AC316" s="50" t="str">
        <f>IF($A316="","",IF($F316="assignment",IF($AF316&gt;0,INDEX($AH$9:$AH$315,$AF316),0)*$AE316*$D316,IF($F316="buy_shares",$M316*$AL316,0)))</f>
        <v/>
      </c>
      <c r="AD316" s="50" t="str">
        <f>IF($A316="","",IF($F316="called_away",IF($AF316&gt;0,INDEX($AH$9:$AH$315,$AF316),0)*$AL316,IF($F316="sell_shares",$M316*$AL316,0)))</f>
        <v/>
      </c>
      <c r="AE316" s="51" t="str">
        <f>IF($A316="","",IF(OR($F316="sell_put",$F316="sell_call"),IF(AND($H316&gt;0,$I316&gt;0,$J316&gt;=0),$H316,0),IF(OR($F316="buy_to_close",$F316="expire",$F316="roll",$F316="assignment",$F316="called_away"),IF(AND($AF316&gt;0,$H316&gt;0,IF($F316="assignment",IF($AF316&gt;0,INDEX($AG$9:$AG$315,$AF316),"")="put",TRUE),IF($F316="called_away",IF($AF316&gt;0,INDEX($AG$9:$AG$315,$AF316),"")="call",TRUE)),MIN($H316,IF($AF316&gt;0,MAX(0,INDEX($AI$9:$AI$315,$AF316)-SUMIFS($AE$9:$AE$315,$G$9:$G$315,$G316,$B$9:$B$315,$B316)),0)),0),0)))</f>
        <v/>
      </c>
      <c r="AF316" t="str">
        <f>IF($A316="","",IFERROR(MATCH(LEN($B316)&amp;":"&amp;$B316&amp;$G316,$AY$9:$AY$315,0),0))</f>
        <v/>
      </c>
      <c r="AG316" t="str">
        <f>IF($A316="","",IF($F316="sell_put","put",IF($F316="sell_call","call",IF($F316="roll",IF($AF316&gt;0,IF($AF316&gt;0,INDEX($AG$9:$AG$315,$AF316),""),""),IF($AF316&gt;0,IF($AF316&gt;0,INDEX($AG$9:$AG$315,$AF316),""),"")))))</f>
        <v/>
      </c>
      <c r="AH316" t="str">
        <f>IF($A316="","",IF(OR($F316="sell_put",$F316="sell_call",$F316="roll"),$I316,IF($AF316&gt;0,IF($AF316&gt;0,INDEX($AH$9:$AH$315,$AF316),0),0)))</f>
        <v/>
      </c>
      <c r="AI316" s="51" t="str">
        <f t="shared" si="77"/>
        <v/>
      </c>
      <c r="AJ316" s="51" t="str">
        <f>IF($A316="","",IFERROR(LOOKUP(2,1/($B$9:$B$315=$B316),$AM$9:$AM315),0))</f>
        <v/>
      </c>
      <c r="AK316" t="str">
        <f>IF($A316="","",IFERROR(LOOKUP(2,1/($B$9:$B$315=$B316),$AN$9:$AN315),0))</f>
        <v/>
      </c>
      <c r="AL316" s="51" t="str">
        <f t="shared" si="78"/>
        <v/>
      </c>
      <c r="AM316" s="51" t="str">
        <f t="shared" si="79"/>
        <v/>
      </c>
      <c r="AN316" t="str">
        <f t="shared" si="80"/>
        <v/>
      </c>
      <c r="AO316" s="50" t="str">
        <f>IF($A316="","",IFERROR(LOOKUP(2,1/($B$9:$B$315=$B316),$AO$9:$AO315),0)+IF($F316="sell_put",$I316*$AE316*$D316,IF($F316="roll",IF($AG316="put",($I316-IF($AF316&gt;0,INDEX($AH$9:$AH$315,$AF316),0))*$AE316*$D316,0),IF(AND(OR($F316="buy_to_close",$F316="expire",$F316="roll",$F316="assignment",$F316="called_away"),$F316&lt;&gt;"roll",$AG316="put"),-IF($AF316&gt;0,INDEX($AH$9:$AH$315,$AF316),0)*$AE316*$D316,0))))</f>
        <v/>
      </c>
      <c r="AP316" s="51" t="str">
        <f>IF($A316="","",IFERROR(LOOKUP(2,1/($B$9:$B$315=$B316),$AP$9:$AP315),0)+IF($F316="sell_put",$AE316*$D316,IF(AND(OR($F316="buy_to_close",$F316="expire",$F316="roll",$F316="assignment",$F316="called_away"),$F316&lt;&gt;"roll",$AG316="put"),-$AE316*$D316,0)))</f>
        <v/>
      </c>
      <c r="AQ316" s="51" t="str">
        <f>IF($A316="","",IFERROR(LOOKUP(2,1/($B$9:$B$315=$B316),$AQ$9:$AQ315),0)+IF(OR($F316="sell_put",$F316="sell_call"),$AE316,0)-IF(AND(OR($F316="buy_to_close",$F316="expire",$F316="roll",$F316="assignment",$F316="called_away"),$F316&lt;&gt;"roll"),$AE316,0))</f>
        <v/>
      </c>
      <c r="AR316" t="str">
        <f t="shared" si="81"/>
        <v/>
      </c>
      <c r="AS316" s="50" t="str">
        <f t="shared" si="82"/>
        <v/>
      </c>
      <c r="AT316" s="50" t="str">
        <f>IF($A316="","",MAX(IF($T316=IFERROR(LOOKUP(2,1/($B$9:$B$315=$B316),$T$9:$T315),0),IFERROR(LOOKUP(2,1/($B$9:$B$315=$B316),$AT$9:$AT315),0),0),$AS316))</f>
        <v/>
      </c>
      <c r="AU316" t="str">
        <f t="shared" si="83"/>
        <v/>
      </c>
      <c r="AV316" s="51">
        <f>IF($AU316="",0,IF(AND(IFERROR(LOOKUP(2,1/($B$9:$B$315=$B316),$AR$9:$AR315),1),NOT(AND(OR($F316="dividend",$F316="fee"),IFERROR(LOOKUP(2,1/($B$9:$B$315=$B316),$T$9:$T315),0)&gt;0))),ROW(),0))</f>
        <v>0</v>
      </c>
      <c r="AW316">
        <f>IF($A316="",0,IF($AV316&gt;0,MAX($AW$9:$AW$315)+1,MAX($AW$9:$AW$315)))</f>
        <v>0</v>
      </c>
      <c r="AX316">
        <f>IF($AU316="",0,IF(AND($AR316,OR(NOT(IFERROR(LOOKUP(2,1/($B$9:$B$315=$B316),$AR$9:$AR315),1)),IFERROR(LOOKUP(2,1/($B$9:$B$315=$B316),$T$9:$T315),0)=0)),ROW(),0))</f>
        <v>0</v>
      </c>
      <c r="AY316" t="str">
        <f t="shared" si="84"/>
        <v/>
      </c>
    </row>
    <row r="317" spans="1:51" ht="15" x14ac:dyDescent="0.25">
      <c r="A317" s="41" t="str">
        <f>IF(Trades!$A317="","",Trades!O317)</f>
        <v/>
      </c>
      <c r="B317" s="41" t="str">
        <f>IF(Trades!$A317="","",Trades!B317)</f>
        <v/>
      </c>
      <c r="C317" s="41" t="str">
        <f>IF(Trades!$A317="","",Trades!C317)</f>
        <v/>
      </c>
      <c r="D317" s="42" t="str">
        <f>IF(Trades!$A317="","",IF(Trades!$L317&gt;0,Trades!$L317,Trades!$C$6))</f>
        <v/>
      </c>
      <c r="E317" s="43" t="str">
        <f>IF(Trades!$A317="","",Trades!A317)</f>
        <v/>
      </c>
      <c r="F317" s="41" t="str">
        <f>IF(Trades!$A317="","",IFERROR(INDEX(Trades!$V$2:$V$14,MATCH(Trades!$E317,Trades!$U$2:$U$14,0)),""))</f>
        <v/>
      </c>
      <c r="G317" s="41" t="str">
        <f>IF(Trades!$A317="","",Trades!N317)</f>
        <v/>
      </c>
      <c r="H317" s="42" t="str">
        <f>IF(Trades!$A317="","",Trades!F317)</f>
        <v/>
      </c>
      <c r="I317" s="44" t="str">
        <f>IF(Trades!$A317="","",Trades!G317)</f>
        <v/>
      </c>
      <c r="J317" s="44" t="str">
        <f>IF(Trades!$A317="","",Trades!I317)</f>
        <v/>
      </c>
      <c r="K317" s="44" t="str">
        <f>IF(Trades!$A317="","",Trades!Q317)</f>
        <v/>
      </c>
      <c r="L317" s="42" t="str">
        <f>IF(Trades!$A317="","",Trades!F317)</f>
        <v/>
      </c>
      <c r="M317" s="44" t="str">
        <f>IF(Trades!$A317="","",Trades!M317)</f>
        <v/>
      </c>
      <c r="N317" s="44" t="str">
        <f>IF(Trades!$A317="","",Trades!R317)</f>
        <v/>
      </c>
      <c r="O317" s="44" t="str">
        <f>IF(Trades!$A317="","",Trades!J317)</f>
        <v/>
      </c>
      <c r="P317" s="43" t="str">
        <f>IF(Trades!$A317="","",Trades!H317)</f>
        <v/>
      </c>
      <c r="Q317" s="41" t="str">
        <f>IF(Trades!$A317="","",Trades!P317)</f>
        <v/>
      </c>
      <c r="R317" s="45" t="str">
        <f t="shared" si="68"/>
        <v/>
      </c>
      <c r="S317" s="45" t="str">
        <f t="shared" si="69"/>
        <v/>
      </c>
      <c r="T317" s="46" t="str">
        <f>IF(OR($A317="",$B317=""),"",IF(AND(IFERROR(LOOKUP(2,1/($B$9:$B$316=$B317),$AR$9:$AR316),1),NOT(AND(OR($F317="dividend",$F317="fee"),IFERROR(LOOKUP(2,1/($B$9:$B$316=$B317),$T$9:$T316),0)&gt;0))),IFERROR(LOOKUP(2,1/($B$9:$B$316=$B317),$T$9:$T316),0)+1,IFERROR(LOOKUP(2,1/($B$9:$B$316=$B317),$T$9:$T316),0)))</f>
        <v/>
      </c>
      <c r="U317" s="47" t="str">
        <f t="shared" si="70"/>
        <v/>
      </c>
      <c r="V317" s="47" t="str">
        <f>IF($A317="","",IF(OR($B317="",$C317="",$D317="",$E317="",$F317=""),"Missing required field",IF(COUNTIFS($A$9:$A317,$A317,$B$9:$B317,$B317)&gt;1,"Duplicate event ID",IF(AND($E317&lt;&gt;IFERROR(LOOKUP(2,1/($B$9:$B$316=$B317),$E$9:$E316),0),IFERROR(LOOKUP(2,1/($B$9:$B$316=$B317),$E$9:$E316),0)&gt;$E317),"Date out of order",IF(AND(OR($F317="buy_to_close",$F317="expire",$F317="roll",$F317="assignment",$F317="called_away"),$AF317=0),"Unknown lot",IF(OR(AND($F317="assignment",$AF317&gt;0,IF($AF317&gt;0,INDEX($AG$9:$AG$316,$AF317),"")&lt;&gt;"put"),AND($F317="called_away",$AF317&gt;0,IF($AF317&gt;0,INDEX($AG$9:$AG$316,$AF317),"")&lt;&gt;"call")),"Wrong option leg",IF(OR(AND(OR($F317="sell_put",$F317="sell_call"),OR($H317&lt;=0,$I317&lt;=0,$J317&lt;0)),AND(OR($F317="buy_to_close",$F317="expire",$F317="assignment",$F317="called_away"),OR($H317&lt;=0,$J317&lt;0)),AND($F317="roll",OR($H317&lt;=0,$I317&lt;=0,$J317&lt;0,$K317&lt;0)),AND(OR($F317="buy_shares",$F317="sell_shares"),OR($L317&lt;=0,$M317&lt;0)),AND(OR($F317="dividend",$F317="fee"),$N317&lt;0)),"Invalid value",IF(AND(OR($F317="sell_shares",$F317="called_away"),$AL317&lt;IF($F317="called_away",$AE317*$D317,$L317)),"Insufficient shares (capped)",IF(AND(OR($F317="buy_to_close",$F317="expire",$F317="roll",$F317="assignment",$F317="called_away"),$AF317&gt;0,$H317&gt;IF($AF317&gt;0,MAX(0,INDEX($AI$9:$AI$316,$AF317)-SUMIFS($AE$9:$AE$316,$G$9:$G$316,$G317,$B$9:$B$316,$B317)),0)),"Close quantity capped","OK")))))))))</f>
        <v/>
      </c>
      <c r="W317" s="48" t="str">
        <f t="shared" si="71"/>
        <v/>
      </c>
      <c r="X317" s="49" t="str">
        <f t="shared" si="72"/>
        <v/>
      </c>
      <c r="Y317" s="50" t="str">
        <f t="shared" si="73"/>
        <v/>
      </c>
      <c r="Z317" s="50" t="str">
        <f t="shared" si="74"/>
        <v/>
      </c>
      <c r="AA317" s="50" t="str">
        <f t="shared" si="75"/>
        <v/>
      </c>
      <c r="AB317" s="50" t="str">
        <f t="shared" si="76"/>
        <v/>
      </c>
      <c r="AC317" s="50" t="str">
        <f>IF($A317="","",IF($F317="assignment",IF($AF317&gt;0,INDEX($AH$9:$AH$316,$AF317),0)*$AE317*$D317,IF($F317="buy_shares",$M317*$AL317,0)))</f>
        <v/>
      </c>
      <c r="AD317" s="50" t="str">
        <f>IF($A317="","",IF($F317="called_away",IF($AF317&gt;0,INDEX($AH$9:$AH$316,$AF317),0)*$AL317,IF($F317="sell_shares",$M317*$AL317,0)))</f>
        <v/>
      </c>
      <c r="AE317" s="51" t="str">
        <f>IF($A317="","",IF(OR($F317="sell_put",$F317="sell_call"),IF(AND($H317&gt;0,$I317&gt;0,$J317&gt;=0),$H317,0),IF(OR($F317="buy_to_close",$F317="expire",$F317="roll",$F317="assignment",$F317="called_away"),IF(AND($AF317&gt;0,$H317&gt;0,IF($F317="assignment",IF($AF317&gt;0,INDEX($AG$9:$AG$316,$AF317),"")="put",TRUE),IF($F317="called_away",IF($AF317&gt;0,INDEX($AG$9:$AG$316,$AF317),"")="call",TRUE)),MIN($H317,IF($AF317&gt;0,MAX(0,INDEX($AI$9:$AI$316,$AF317)-SUMIFS($AE$9:$AE$316,$G$9:$G$316,$G317,$B$9:$B$316,$B317)),0)),0),0)))</f>
        <v/>
      </c>
      <c r="AF317" t="str">
        <f>IF($A317="","",IFERROR(MATCH(LEN($B317)&amp;":"&amp;$B317&amp;$G317,$AY$9:$AY$316,0),0))</f>
        <v/>
      </c>
      <c r="AG317" t="str">
        <f>IF($A317="","",IF($F317="sell_put","put",IF($F317="sell_call","call",IF($F317="roll",IF($AF317&gt;0,IF($AF317&gt;0,INDEX($AG$9:$AG$316,$AF317),""),""),IF($AF317&gt;0,IF($AF317&gt;0,INDEX($AG$9:$AG$316,$AF317),""),"")))))</f>
        <v/>
      </c>
      <c r="AH317" t="str">
        <f>IF($A317="","",IF(OR($F317="sell_put",$F317="sell_call",$F317="roll"),$I317,IF($AF317&gt;0,IF($AF317&gt;0,INDEX($AH$9:$AH$316,$AF317),0),0)))</f>
        <v/>
      </c>
      <c r="AI317" s="51" t="str">
        <f t="shared" si="77"/>
        <v/>
      </c>
      <c r="AJ317" s="51" t="str">
        <f>IF($A317="","",IFERROR(LOOKUP(2,1/($B$9:$B$316=$B317),$AM$9:$AM316),0))</f>
        <v/>
      </c>
      <c r="AK317" t="str">
        <f>IF($A317="","",IFERROR(LOOKUP(2,1/($B$9:$B$316=$B317),$AN$9:$AN316),0))</f>
        <v/>
      </c>
      <c r="AL317" s="51" t="str">
        <f t="shared" si="78"/>
        <v/>
      </c>
      <c r="AM317" s="51" t="str">
        <f t="shared" si="79"/>
        <v/>
      </c>
      <c r="AN317" t="str">
        <f t="shared" si="80"/>
        <v/>
      </c>
      <c r="AO317" s="50" t="str">
        <f>IF($A317="","",IFERROR(LOOKUP(2,1/($B$9:$B$316=$B317),$AO$9:$AO316),0)+IF($F317="sell_put",$I317*$AE317*$D317,IF($F317="roll",IF($AG317="put",($I317-IF($AF317&gt;0,INDEX($AH$9:$AH$316,$AF317),0))*$AE317*$D317,0),IF(AND(OR($F317="buy_to_close",$F317="expire",$F317="roll",$F317="assignment",$F317="called_away"),$F317&lt;&gt;"roll",$AG317="put"),-IF($AF317&gt;0,INDEX($AH$9:$AH$316,$AF317),0)*$AE317*$D317,0))))</f>
        <v/>
      </c>
      <c r="AP317" s="51" t="str">
        <f>IF($A317="","",IFERROR(LOOKUP(2,1/($B$9:$B$316=$B317),$AP$9:$AP316),0)+IF($F317="sell_put",$AE317*$D317,IF(AND(OR($F317="buy_to_close",$F317="expire",$F317="roll",$F317="assignment",$F317="called_away"),$F317&lt;&gt;"roll",$AG317="put"),-$AE317*$D317,0)))</f>
        <v/>
      </c>
      <c r="AQ317" s="51" t="str">
        <f>IF($A317="","",IFERROR(LOOKUP(2,1/($B$9:$B$316=$B317),$AQ$9:$AQ316),0)+IF(OR($F317="sell_put",$F317="sell_call"),$AE317,0)-IF(AND(OR($F317="buy_to_close",$F317="expire",$F317="roll",$F317="assignment",$F317="called_away"),$F317&lt;&gt;"roll"),$AE317,0))</f>
        <v/>
      </c>
      <c r="AR317" t="str">
        <f t="shared" si="81"/>
        <v/>
      </c>
      <c r="AS317" s="50" t="str">
        <f t="shared" si="82"/>
        <v/>
      </c>
      <c r="AT317" s="50" t="str">
        <f>IF($A317="","",MAX(IF($T317=IFERROR(LOOKUP(2,1/($B$9:$B$316=$B317),$T$9:$T316),0),IFERROR(LOOKUP(2,1/($B$9:$B$316=$B317),$AT$9:$AT316),0),0),$AS317))</f>
        <v/>
      </c>
      <c r="AU317" t="str">
        <f t="shared" si="83"/>
        <v/>
      </c>
      <c r="AV317" s="51">
        <f>IF($AU317="",0,IF(AND(IFERROR(LOOKUP(2,1/($B$9:$B$316=$B317),$AR$9:$AR316),1),NOT(AND(OR($F317="dividend",$F317="fee"),IFERROR(LOOKUP(2,1/($B$9:$B$316=$B317),$T$9:$T316),0)&gt;0))),ROW(),0))</f>
        <v>0</v>
      </c>
      <c r="AW317">
        <f>IF($A317="",0,IF($AV317&gt;0,MAX($AW$9:$AW$316)+1,MAX($AW$9:$AW$316)))</f>
        <v>0</v>
      </c>
      <c r="AX317">
        <f>IF($AU317="",0,IF(AND($AR317,OR(NOT(IFERROR(LOOKUP(2,1/($B$9:$B$316=$B317),$AR$9:$AR316),1)),IFERROR(LOOKUP(2,1/($B$9:$B$316=$B317),$T$9:$T316),0)=0)),ROW(),0))</f>
        <v>0</v>
      </c>
      <c r="AY317" t="str">
        <f t="shared" si="84"/>
        <v/>
      </c>
    </row>
    <row r="318" spans="1:51" ht="15" x14ac:dyDescent="0.25">
      <c r="A318" s="52" t="str">
        <f>IF(Trades!$A318="","",Trades!O318)</f>
        <v/>
      </c>
      <c r="B318" s="52" t="str">
        <f>IF(Trades!$A318="","",Trades!B318)</f>
        <v/>
      </c>
      <c r="C318" s="52" t="str">
        <f>IF(Trades!$A318="","",Trades!C318)</f>
        <v/>
      </c>
      <c r="D318" s="53" t="str">
        <f>IF(Trades!$A318="","",IF(Trades!$L318&gt;0,Trades!$L318,Trades!$C$6))</f>
        <v/>
      </c>
      <c r="E318" s="54" t="str">
        <f>IF(Trades!$A318="","",Trades!A318)</f>
        <v/>
      </c>
      <c r="F318" s="52" t="str">
        <f>IF(Trades!$A318="","",IFERROR(INDEX(Trades!$V$2:$V$14,MATCH(Trades!$E318,Trades!$U$2:$U$14,0)),""))</f>
        <v/>
      </c>
      <c r="G318" s="52" t="str">
        <f>IF(Trades!$A318="","",Trades!N318)</f>
        <v/>
      </c>
      <c r="H318" s="53" t="str">
        <f>IF(Trades!$A318="","",Trades!F318)</f>
        <v/>
      </c>
      <c r="I318" s="55" t="str">
        <f>IF(Trades!$A318="","",Trades!G318)</f>
        <v/>
      </c>
      <c r="J318" s="55" t="str">
        <f>IF(Trades!$A318="","",Trades!I318)</f>
        <v/>
      </c>
      <c r="K318" s="55" t="str">
        <f>IF(Trades!$A318="","",Trades!Q318)</f>
        <v/>
      </c>
      <c r="L318" s="53" t="str">
        <f>IF(Trades!$A318="","",Trades!F318)</f>
        <v/>
      </c>
      <c r="M318" s="55" t="str">
        <f>IF(Trades!$A318="","",Trades!M318)</f>
        <v/>
      </c>
      <c r="N318" s="55" t="str">
        <f>IF(Trades!$A318="","",Trades!R318)</f>
        <v/>
      </c>
      <c r="O318" s="55" t="str">
        <f>IF(Trades!$A318="","",Trades!J318)</f>
        <v/>
      </c>
      <c r="P318" s="54" t="str">
        <f>IF(Trades!$A318="","",Trades!H318)</f>
        <v/>
      </c>
      <c r="Q318" s="52" t="str">
        <f>IF(Trades!$A318="","",Trades!P318)</f>
        <v/>
      </c>
      <c r="R318" s="56" t="str">
        <f t="shared" si="68"/>
        <v/>
      </c>
      <c r="S318" s="56" t="str">
        <f t="shared" si="69"/>
        <v/>
      </c>
      <c r="T318" s="57" t="str">
        <f>IF(OR($A318="",$B318=""),"",IF(AND(IFERROR(LOOKUP(2,1/($B$9:$B$317=$B318),$AR$9:$AR317),1),NOT(AND(OR($F318="dividend",$F318="fee"),IFERROR(LOOKUP(2,1/($B$9:$B$317=$B318),$T$9:$T317),0)&gt;0))),IFERROR(LOOKUP(2,1/($B$9:$B$317=$B318),$T$9:$T317),0)+1,IFERROR(LOOKUP(2,1/($B$9:$B$317=$B318),$T$9:$T317),0)))</f>
        <v/>
      </c>
      <c r="U318" s="58" t="str">
        <f t="shared" si="70"/>
        <v/>
      </c>
      <c r="V318" s="58" t="str">
        <f>IF($A318="","",IF(OR($B318="",$C318="",$D318="",$E318="",$F318=""),"Missing required field",IF(COUNTIFS($A$9:$A318,$A318,$B$9:$B318,$B318)&gt;1,"Duplicate event ID",IF(AND($E318&lt;&gt;IFERROR(LOOKUP(2,1/($B$9:$B$317=$B318),$E$9:$E317),0),IFERROR(LOOKUP(2,1/($B$9:$B$317=$B318),$E$9:$E317),0)&gt;$E318),"Date out of order",IF(AND(OR($F318="buy_to_close",$F318="expire",$F318="roll",$F318="assignment",$F318="called_away"),$AF318=0),"Unknown lot",IF(OR(AND($F318="assignment",$AF318&gt;0,IF($AF318&gt;0,INDEX($AG$9:$AG$317,$AF318),"")&lt;&gt;"put"),AND($F318="called_away",$AF318&gt;0,IF($AF318&gt;0,INDEX($AG$9:$AG$317,$AF318),"")&lt;&gt;"call")),"Wrong option leg",IF(OR(AND(OR($F318="sell_put",$F318="sell_call"),OR($H318&lt;=0,$I318&lt;=0,$J318&lt;0)),AND(OR($F318="buy_to_close",$F318="expire",$F318="assignment",$F318="called_away"),OR($H318&lt;=0,$J318&lt;0)),AND($F318="roll",OR($H318&lt;=0,$I318&lt;=0,$J318&lt;0,$K318&lt;0)),AND(OR($F318="buy_shares",$F318="sell_shares"),OR($L318&lt;=0,$M318&lt;0)),AND(OR($F318="dividend",$F318="fee"),$N318&lt;0)),"Invalid value",IF(AND(OR($F318="sell_shares",$F318="called_away"),$AL318&lt;IF($F318="called_away",$AE318*$D318,$L318)),"Insufficient shares (capped)",IF(AND(OR($F318="buy_to_close",$F318="expire",$F318="roll",$F318="assignment",$F318="called_away"),$AF318&gt;0,$H318&gt;IF($AF318&gt;0,MAX(0,INDEX($AI$9:$AI$317,$AF318)-SUMIFS($AE$9:$AE$317,$G$9:$G$317,$G318,$B$9:$B$317,$B318)),0)),"Close quantity capped","OK")))))))))</f>
        <v/>
      </c>
      <c r="W318" s="59" t="str">
        <f t="shared" si="71"/>
        <v/>
      </c>
      <c r="X318" s="60" t="str">
        <f t="shared" si="72"/>
        <v/>
      </c>
      <c r="Y318" s="50" t="str">
        <f t="shared" si="73"/>
        <v/>
      </c>
      <c r="Z318" s="50" t="str">
        <f t="shared" si="74"/>
        <v/>
      </c>
      <c r="AA318" s="50" t="str">
        <f t="shared" si="75"/>
        <v/>
      </c>
      <c r="AB318" s="50" t="str">
        <f t="shared" si="76"/>
        <v/>
      </c>
      <c r="AC318" s="50" t="str">
        <f>IF($A318="","",IF($F318="assignment",IF($AF318&gt;0,INDEX($AH$9:$AH$317,$AF318),0)*$AE318*$D318,IF($F318="buy_shares",$M318*$AL318,0)))</f>
        <v/>
      </c>
      <c r="AD318" s="50" t="str">
        <f>IF($A318="","",IF($F318="called_away",IF($AF318&gt;0,INDEX($AH$9:$AH$317,$AF318),0)*$AL318,IF($F318="sell_shares",$M318*$AL318,0)))</f>
        <v/>
      </c>
      <c r="AE318" s="51" t="str">
        <f>IF($A318="","",IF(OR($F318="sell_put",$F318="sell_call"),IF(AND($H318&gt;0,$I318&gt;0,$J318&gt;=0),$H318,0),IF(OR($F318="buy_to_close",$F318="expire",$F318="roll",$F318="assignment",$F318="called_away"),IF(AND($AF318&gt;0,$H318&gt;0,IF($F318="assignment",IF($AF318&gt;0,INDEX($AG$9:$AG$317,$AF318),"")="put",TRUE),IF($F318="called_away",IF($AF318&gt;0,INDEX($AG$9:$AG$317,$AF318),"")="call",TRUE)),MIN($H318,IF($AF318&gt;0,MAX(0,INDEX($AI$9:$AI$317,$AF318)-SUMIFS($AE$9:$AE$317,$G$9:$G$317,$G318,$B$9:$B$317,$B318)),0)),0),0)))</f>
        <v/>
      </c>
      <c r="AF318" t="str">
        <f>IF($A318="","",IFERROR(MATCH(LEN($B318)&amp;":"&amp;$B318&amp;$G318,$AY$9:$AY$317,0),0))</f>
        <v/>
      </c>
      <c r="AG318" t="str">
        <f>IF($A318="","",IF($F318="sell_put","put",IF($F318="sell_call","call",IF($F318="roll",IF($AF318&gt;0,IF($AF318&gt;0,INDEX($AG$9:$AG$317,$AF318),""),""),IF($AF318&gt;0,IF($AF318&gt;0,INDEX($AG$9:$AG$317,$AF318),""),"")))))</f>
        <v/>
      </c>
      <c r="AH318" t="str">
        <f>IF($A318="","",IF(OR($F318="sell_put",$F318="sell_call",$F318="roll"),$I318,IF($AF318&gt;0,IF($AF318&gt;0,INDEX($AH$9:$AH$317,$AF318),0),0)))</f>
        <v/>
      </c>
      <c r="AI318" s="51" t="str">
        <f t="shared" si="77"/>
        <v/>
      </c>
      <c r="AJ318" s="51" t="str">
        <f>IF($A318="","",IFERROR(LOOKUP(2,1/($B$9:$B$317=$B318),$AM$9:$AM317),0))</f>
        <v/>
      </c>
      <c r="AK318" t="str">
        <f>IF($A318="","",IFERROR(LOOKUP(2,1/($B$9:$B$317=$B318),$AN$9:$AN317),0))</f>
        <v/>
      </c>
      <c r="AL318" s="51" t="str">
        <f t="shared" si="78"/>
        <v/>
      </c>
      <c r="AM318" s="51" t="str">
        <f t="shared" si="79"/>
        <v/>
      </c>
      <c r="AN318" t="str">
        <f t="shared" si="80"/>
        <v/>
      </c>
      <c r="AO318" s="50" t="str">
        <f>IF($A318="","",IFERROR(LOOKUP(2,1/($B$9:$B$317=$B318),$AO$9:$AO317),0)+IF($F318="sell_put",$I318*$AE318*$D318,IF($F318="roll",IF($AG318="put",($I318-IF($AF318&gt;0,INDEX($AH$9:$AH$317,$AF318),0))*$AE318*$D318,0),IF(AND(OR($F318="buy_to_close",$F318="expire",$F318="roll",$F318="assignment",$F318="called_away"),$F318&lt;&gt;"roll",$AG318="put"),-IF($AF318&gt;0,INDEX($AH$9:$AH$317,$AF318),0)*$AE318*$D318,0))))</f>
        <v/>
      </c>
      <c r="AP318" s="51" t="str">
        <f>IF($A318="","",IFERROR(LOOKUP(2,1/($B$9:$B$317=$B318),$AP$9:$AP317),0)+IF($F318="sell_put",$AE318*$D318,IF(AND(OR($F318="buy_to_close",$F318="expire",$F318="roll",$F318="assignment",$F318="called_away"),$F318&lt;&gt;"roll",$AG318="put"),-$AE318*$D318,0)))</f>
        <v/>
      </c>
      <c r="AQ318" s="51" t="str">
        <f>IF($A318="","",IFERROR(LOOKUP(2,1/($B$9:$B$317=$B318),$AQ$9:$AQ317),0)+IF(OR($F318="sell_put",$F318="sell_call"),$AE318,0)-IF(AND(OR($F318="buy_to_close",$F318="expire",$F318="roll",$F318="assignment",$F318="called_away"),$F318&lt;&gt;"roll"),$AE318,0))</f>
        <v/>
      </c>
      <c r="AR318" t="str">
        <f t="shared" si="81"/>
        <v/>
      </c>
      <c r="AS318" s="50" t="str">
        <f t="shared" si="82"/>
        <v/>
      </c>
      <c r="AT318" s="50" t="str">
        <f>IF($A318="","",MAX(IF($T318=IFERROR(LOOKUP(2,1/($B$9:$B$317=$B318),$T$9:$T317),0),IFERROR(LOOKUP(2,1/($B$9:$B$317=$B318),$AT$9:$AT317),0),0),$AS318))</f>
        <v/>
      </c>
      <c r="AU318" t="str">
        <f t="shared" si="83"/>
        <v/>
      </c>
      <c r="AV318" s="51">
        <f>IF($AU318="",0,IF(AND(IFERROR(LOOKUP(2,1/($B$9:$B$317=$B318),$AR$9:$AR317),1),NOT(AND(OR($F318="dividend",$F318="fee"),IFERROR(LOOKUP(2,1/($B$9:$B$317=$B318),$T$9:$T317),0)&gt;0))),ROW(),0))</f>
        <v>0</v>
      </c>
      <c r="AW318">
        <f>IF($A318="",0,IF($AV318&gt;0,MAX($AW$9:$AW$317)+1,MAX($AW$9:$AW$317)))</f>
        <v>0</v>
      </c>
      <c r="AX318">
        <f>IF($AU318="",0,IF(AND($AR318,OR(NOT(IFERROR(LOOKUP(2,1/($B$9:$B$317=$B318),$AR$9:$AR317),1)),IFERROR(LOOKUP(2,1/($B$9:$B$317=$B318),$T$9:$T317),0)=0)),ROW(),0))</f>
        <v>0</v>
      </c>
      <c r="AY318" t="str">
        <f t="shared" si="84"/>
        <v/>
      </c>
    </row>
    <row r="319" spans="1:51" ht="15" x14ac:dyDescent="0.25">
      <c r="A319" s="41" t="str">
        <f>IF(Trades!$A319="","",Trades!O319)</f>
        <v/>
      </c>
      <c r="B319" s="41" t="str">
        <f>IF(Trades!$A319="","",Trades!B319)</f>
        <v/>
      </c>
      <c r="C319" s="41" t="str">
        <f>IF(Trades!$A319="","",Trades!C319)</f>
        <v/>
      </c>
      <c r="D319" s="42" t="str">
        <f>IF(Trades!$A319="","",IF(Trades!$L319&gt;0,Trades!$L319,Trades!$C$6))</f>
        <v/>
      </c>
      <c r="E319" s="43" t="str">
        <f>IF(Trades!$A319="","",Trades!A319)</f>
        <v/>
      </c>
      <c r="F319" s="41" t="str">
        <f>IF(Trades!$A319="","",IFERROR(INDEX(Trades!$V$2:$V$14,MATCH(Trades!$E319,Trades!$U$2:$U$14,0)),""))</f>
        <v/>
      </c>
      <c r="G319" s="41" t="str">
        <f>IF(Trades!$A319="","",Trades!N319)</f>
        <v/>
      </c>
      <c r="H319" s="42" t="str">
        <f>IF(Trades!$A319="","",Trades!F319)</f>
        <v/>
      </c>
      <c r="I319" s="44" t="str">
        <f>IF(Trades!$A319="","",Trades!G319)</f>
        <v/>
      </c>
      <c r="J319" s="44" t="str">
        <f>IF(Trades!$A319="","",Trades!I319)</f>
        <v/>
      </c>
      <c r="K319" s="44" t="str">
        <f>IF(Trades!$A319="","",Trades!Q319)</f>
        <v/>
      </c>
      <c r="L319" s="42" t="str">
        <f>IF(Trades!$A319="","",Trades!F319)</f>
        <v/>
      </c>
      <c r="M319" s="44" t="str">
        <f>IF(Trades!$A319="","",Trades!M319)</f>
        <v/>
      </c>
      <c r="N319" s="44" t="str">
        <f>IF(Trades!$A319="","",Trades!R319)</f>
        <v/>
      </c>
      <c r="O319" s="44" t="str">
        <f>IF(Trades!$A319="","",Trades!J319)</f>
        <v/>
      </c>
      <c r="P319" s="43" t="str">
        <f>IF(Trades!$A319="","",Trades!H319)</f>
        <v/>
      </c>
      <c r="Q319" s="41" t="str">
        <f>IF(Trades!$A319="","",Trades!P319)</f>
        <v/>
      </c>
      <c r="R319" s="45" t="str">
        <f t="shared" si="68"/>
        <v/>
      </c>
      <c r="S319" s="45" t="str">
        <f t="shared" si="69"/>
        <v/>
      </c>
      <c r="T319" s="46" t="str">
        <f>IF(OR($A319="",$B319=""),"",IF(AND(IFERROR(LOOKUP(2,1/($B$9:$B$318=$B319),$AR$9:$AR318),1),NOT(AND(OR($F319="dividend",$F319="fee"),IFERROR(LOOKUP(2,1/($B$9:$B$318=$B319),$T$9:$T318),0)&gt;0))),IFERROR(LOOKUP(2,1/($B$9:$B$318=$B319),$T$9:$T318),0)+1,IFERROR(LOOKUP(2,1/($B$9:$B$318=$B319),$T$9:$T318),0)))</f>
        <v/>
      </c>
      <c r="U319" s="47" t="str">
        <f t="shared" si="70"/>
        <v/>
      </c>
      <c r="V319" s="47" t="str">
        <f>IF($A319="","",IF(OR($B319="",$C319="",$D319="",$E319="",$F319=""),"Missing required field",IF(COUNTIFS($A$9:$A319,$A319,$B$9:$B319,$B319)&gt;1,"Duplicate event ID",IF(AND($E319&lt;&gt;IFERROR(LOOKUP(2,1/($B$9:$B$318=$B319),$E$9:$E318),0),IFERROR(LOOKUP(2,1/($B$9:$B$318=$B319),$E$9:$E318),0)&gt;$E319),"Date out of order",IF(AND(OR($F319="buy_to_close",$F319="expire",$F319="roll",$F319="assignment",$F319="called_away"),$AF319=0),"Unknown lot",IF(OR(AND($F319="assignment",$AF319&gt;0,IF($AF319&gt;0,INDEX($AG$9:$AG$318,$AF319),"")&lt;&gt;"put"),AND($F319="called_away",$AF319&gt;0,IF($AF319&gt;0,INDEX($AG$9:$AG$318,$AF319),"")&lt;&gt;"call")),"Wrong option leg",IF(OR(AND(OR($F319="sell_put",$F319="sell_call"),OR($H319&lt;=0,$I319&lt;=0,$J319&lt;0)),AND(OR($F319="buy_to_close",$F319="expire",$F319="assignment",$F319="called_away"),OR($H319&lt;=0,$J319&lt;0)),AND($F319="roll",OR($H319&lt;=0,$I319&lt;=0,$J319&lt;0,$K319&lt;0)),AND(OR($F319="buy_shares",$F319="sell_shares"),OR($L319&lt;=0,$M319&lt;0)),AND(OR($F319="dividend",$F319="fee"),$N319&lt;0)),"Invalid value",IF(AND(OR($F319="sell_shares",$F319="called_away"),$AL319&lt;IF($F319="called_away",$AE319*$D319,$L319)),"Insufficient shares (capped)",IF(AND(OR($F319="buy_to_close",$F319="expire",$F319="roll",$F319="assignment",$F319="called_away"),$AF319&gt;0,$H319&gt;IF($AF319&gt;0,MAX(0,INDEX($AI$9:$AI$318,$AF319)-SUMIFS($AE$9:$AE$318,$G$9:$G$318,$G319,$B$9:$B$318,$B319)),0)),"Close quantity capped","OK")))))))))</f>
        <v/>
      </c>
      <c r="W319" s="48" t="str">
        <f t="shared" si="71"/>
        <v/>
      </c>
      <c r="X319" s="49" t="str">
        <f t="shared" si="72"/>
        <v/>
      </c>
      <c r="Y319" s="50" t="str">
        <f t="shared" si="73"/>
        <v/>
      </c>
      <c r="Z319" s="50" t="str">
        <f t="shared" si="74"/>
        <v/>
      </c>
      <c r="AA319" s="50" t="str">
        <f t="shared" si="75"/>
        <v/>
      </c>
      <c r="AB319" s="50" t="str">
        <f t="shared" si="76"/>
        <v/>
      </c>
      <c r="AC319" s="50" t="str">
        <f>IF($A319="","",IF($F319="assignment",IF($AF319&gt;0,INDEX($AH$9:$AH$318,$AF319),0)*$AE319*$D319,IF($F319="buy_shares",$M319*$AL319,0)))</f>
        <v/>
      </c>
      <c r="AD319" s="50" t="str">
        <f>IF($A319="","",IF($F319="called_away",IF($AF319&gt;0,INDEX($AH$9:$AH$318,$AF319),0)*$AL319,IF($F319="sell_shares",$M319*$AL319,0)))</f>
        <v/>
      </c>
      <c r="AE319" s="51" t="str">
        <f>IF($A319="","",IF(OR($F319="sell_put",$F319="sell_call"),IF(AND($H319&gt;0,$I319&gt;0,$J319&gt;=0),$H319,0),IF(OR($F319="buy_to_close",$F319="expire",$F319="roll",$F319="assignment",$F319="called_away"),IF(AND($AF319&gt;0,$H319&gt;0,IF($F319="assignment",IF($AF319&gt;0,INDEX($AG$9:$AG$318,$AF319),"")="put",TRUE),IF($F319="called_away",IF($AF319&gt;0,INDEX($AG$9:$AG$318,$AF319),"")="call",TRUE)),MIN($H319,IF($AF319&gt;0,MAX(0,INDEX($AI$9:$AI$318,$AF319)-SUMIFS($AE$9:$AE$318,$G$9:$G$318,$G319,$B$9:$B$318,$B319)),0)),0),0)))</f>
        <v/>
      </c>
      <c r="AF319" t="str">
        <f>IF($A319="","",IFERROR(MATCH(LEN($B319)&amp;":"&amp;$B319&amp;$G319,$AY$9:$AY$318,0),0))</f>
        <v/>
      </c>
      <c r="AG319" t="str">
        <f>IF($A319="","",IF($F319="sell_put","put",IF($F319="sell_call","call",IF($F319="roll",IF($AF319&gt;0,IF($AF319&gt;0,INDEX($AG$9:$AG$318,$AF319),""),""),IF($AF319&gt;0,IF($AF319&gt;0,INDEX($AG$9:$AG$318,$AF319),""),"")))))</f>
        <v/>
      </c>
      <c r="AH319" t="str">
        <f>IF($A319="","",IF(OR($F319="sell_put",$F319="sell_call",$F319="roll"),$I319,IF($AF319&gt;0,IF($AF319&gt;0,INDEX($AH$9:$AH$318,$AF319),0),0)))</f>
        <v/>
      </c>
      <c r="AI319" s="51" t="str">
        <f t="shared" si="77"/>
        <v/>
      </c>
      <c r="AJ319" s="51" t="str">
        <f>IF($A319="","",IFERROR(LOOKUP(2,1/($B$9:$B$318=$B319),$AM$9:$AM318),0))</f>
        <v/>
      </c>
      <c r="AK319" t="str">
        <f>IF($A319="","",IFERROR(LOOKUP(2,1/($B$9:$B$318=$B319),$AN$9:$AN318),0))</f>
        <v/>
      </c>
      <c r="AL319" s="51" t="str">
        <f t="shared" si="78"/>
        <v/>
      </c>
      <c r="AM319" s="51" t="str">
        <f t="shared" si="79"/>
        <v/>
      </c>
      <c r="AN319" t="str">
        <f t="shared" si="80"/>
        <v/>
      </c>
      <c r="AO319" s="50" t="str">
        <f>IF($A319="","",IFERROR(LOOKUP(2,1/($B$9:$B$318=$B319),$AO$9:$AO318),0)+IF($F319="sell_put",$I319*$AE319*$D319,IF($F319="roll",IF($AG319="put",($I319-IF($AF319&gt;0,INDEX($AH$9:$AH$318,$AF319),0))*$AE319*$D319,0),IF(AND(OR($F319="buy_to_close",$F319="expire",$F319="roll",$F319="assignment",$F319="called_away"),$F319&lt;&gt;"roll",$AG319="put"),-IF($AF319&gt;0,INDEX($AH$9:$AH$318,$AF319),0)*$AE319*$D319,0))))</f>
        <v/>
      </c>
      <c r="AP319" s="51" t="str">
        <f>IF($A319="","",IFERROR(LOOKUP(2,1/($B$9:$B$318=$B319),$AP$9:$AP318),0)+IF($F319="sell_put",$AE319*$D319,IF(AND(OR($F319="buy_to_close",$F319="expire",$F319="roll",$F319="assignment",$F319="called_away"),$F319&lt;&gt;"roll",$AG319="put"),-$AE319*$D319,0)))</f>
        <v/>
      </c>
      <c r="AQ319" s="51" t="str">
        <f>IF($A319="","",IFERROR(LOOKUP(2,1/($B$9:$B$318=$B319),$AQ$9:$AQ318),0)+IF(OR($F319="sell_put",$F319="sell_call"),$AE319,0)-IF(AND(OR($F319="buy_to_close",$F319="expire",$F319="roll",$F319="assignment",$F319="called_away"),$F319&lt;&gt;"roll"),$AE319,0))</f>
        <v/>
      </c>
      <c r="AR319" t="str">
        <f t="shared" si="81"/>
        <v/>
      </c>
      <c r="AS319" s="50" t="str">
        <f t="shared" si="82"/>
        <v/>
      </c>
      <c r="AT319" s="50" t="str">
        <f>IF($A319="","",MAX(IF($T319=IFERROR(LOOKUP(2,1/($B$9:$B$318=$B319),$T$9:$T318),0),IFERROR(LOOKUP(2,1/($B$9:$B$318=$B319),$AT$9:$AT318),0),0),$AS319))</f>
        <v/>
      </c>
      <c r="AU319" t="str">
        <f t="shared" si="83"/>
        <v/>
      </c>
      <c r="AV319" s="51">
        <f>IF($AU319="",0,IF(AND(IFERROR(LOOKUP(2,1/($B$9:$B$318=$B319),$AR$9:$AR318),1),NOT(AND(OR($F319="dividend",$F319="fee"),IFERROR(LOOKUP(2,1/($B$9:$B$318=$B319),$T$9:$T318),0)&gt;0))),ROW(),0))</f>
        <v>0</v>
      </c>
      <c r="AW319">
        <f>IF($A319="",0,IF($AV319&gt;0,MAX($AW$9:$AW$318)+1,MAX($AW$9:$AW$318)))</f>
        <v>0</v>
      </c>
      <c r="AX319">
        <f>IF($AU319="",0,IF(AND($AR319,OR(NOT(IFERROR(LOOKUP(2,1/($B$9:$B$318=$B319),$AR$9:$AR318),1)),IFERROR(LOOKUP(2,1/($B$9:$B$318=$B319),$T$9:$T318),0)=0)),ROW(),0))</f>
        <v>0</v>
      </c>
      <c r="AY319" t="str">
        <f t="shared" si="84"/>
        <v/>
      </c>
    </row>
    <row r="320" spans="1:51" ht="15" x14ac:dyDescent="0.25">
      <c r="A320" s="52" t="str">
        <f>IF(Trades!$A320="","",Trades!O320)</f>
        <v/>
      </c>
      <c r="B320" s="52" t="str">
        <f>IF(Trades!$A320="","",Trades!B320)</f>
        <v/>
      </c>
      <c r="C320" s="52" t="str">
        <f>IF(Trades!$A320="","",Trades!C320)</f>
        <v/>
      </c>
      <c r="D320" s="53" t="str">
        <f>IF(Trades!$A320="","",IF(Trades!$L320&gt;0,Trades!$L320,Trades!$C$6))</f>
        <v/>
      </c>
      <c r="E320" s="54" t="str">
        <f>IF(Trades!$A320="","",Trades!A320)</f>
        <v/>
      </c>
      <c r="F320" s="52" t="str">
        <f>IF(Trades!$A320="","",IFERROR(INDEX(Trades!$V$2:$V$14,MATCH(Trades!$E320,Trades!$U$2:$U$14,0)),""))</f>
        <v/>
      </c>
      <c r="G320" s="52" t="str">
        <f>IF(Trades!$A320="","",Trades!N320)</f>
        <v/>
      </c>
      <c r="H320" s="53" t="str">
        <f>IF(Trades!$A320="","",Trades!F320)</f>
        <v/>
      </c>
      <c r="I320" s="55" t="str">
        <f>IF(Trades!$A320="","",Trades!G320)</f>
        <v/>
      </c>
      <c r="J320" s="55" t="str">
        <f>IF(Trades!$A320="","",Trades!I320)</f>
        <v/>
      </c>
      <c r="K320" s="55" t="str">
        <f>IF(Trades!$A320="","",Trades!Q320)</f>
        <v/>
      </c>
      <c r="L320" s="53" t="str">
        <f>IF(Trades!$A320="","",Trades!F320)</f>
        <v/>
      </c>
      <c r="M320" s="55" t="str">
        <f>IF(Trades!$A320="","",Trades!M320)</f>
        <v/>
      </c>
      <c r="N320" s="55" t="str">
        <f>IF(Trades!$A320="","",Trades!R320)</f>
        <v/>
      </c>
      <c r="O320" s="55" t="str">
        <f>IF(Trades!$A320="","",Trades!J320)</f>
        <v/>
      </c>
      <c r="P320" s="54" t="str">
        <f>IF(Trades!$A320="","",Trades!H320)</f>
        <v/>
      </c>
      <c r="Q320" s="52" t="str">
        <f>IF(Trades!$A320="","",Trades!P320)</f>
        <v/>
      </c>
      <c r="R320" s="56" t="str">
        <f t="shared" si="68"/>
        <v/>
      </c>
      <c r="S320" s="56" t="str">
        <f t="shared" si="69"/>
        <v/>
      </c>
      <c r="T320" s="57" t="str">
        <f>IF(OR($A320="",$B320=""),"",IF(AND(IFERROR(LOOKUP(2,1/($B$9:$B$319=$B320),$AR$9:$AR319),1),NOT(AND(OR($F320="dividend",$F320="fee"),IFERROR(LOOKUP(2,1/($B$9:$B$319=$B320),$T$9:$T319),0)&gt;0))),IFERROR(LOOKUP(2,1/($B$9:$B$319=$B320),$T$9:$T319),0)+1,IFERROR(LOOKUP(2,1/($B$9:$B$319=$B320),$T$9:$T319),0)))</f>
        <v/>
      </c>
      <c r="U320" s="58" t="str">
        <f t="shared" si="70"/>
        <v/>
      </c>
      <c r="V320" s="58" t="str">
        <f>IF($A320="","",IF(OR($B320="",$C320="",$D320="",$E320="",$F320=""),"Missing required field",IF(COUNTIFS($A$9:$A320,$A320,$B$9:$B320,$B320)&gt;1,"Duplicate event ID",IF(AND($E320&lt;&gt;IFERROR(LOOKUP(2,1/($B$9:$B$319=$B320),$E$9:$E319),0),IFERROR(LOOKUP(2,1/($B$9:$B$319=$B320),$E$9:$E319),0)&gt;$E320),"Date out of order",IF(AND(OR($F320="buy_to_close",$F320="expire",$F320="roll",$F320="assignment",$F320="called_away"),$AF320=0),"Unknown lot",IF(OR(AND($F320="assignment",$AF320&gt;0,IF($AF320&gt;0,INDEX($AG$9:$AG$319,$AF320),"")&lt;&gt;"put"),AND($F320="called_away",$AF320&gt;0,IF($AF320&gt;0,INDEX($AG$9:$AG$319,$AF320),"")&lt;&gt;"call")),"Wrong option leg",IF(OR(AND(OR($F320="sell_put",$F320="sell_call"),OR($H320&lt;=0,$I320&lt;=0,$J320&lt;0)),AND(OR($F320="buy_to_close",$F320="expire",$F320="assignment",$F320="called_away"),OR($H320&lt;=0,$J320&lt;0)),AND($F320="roll",OR($H320&lt;=0,$I320&lt;=0,$J320&lt;0,$K320&lt;0)),AND(OR($F320="buy_shares",$F320="sell_shares"),OR($L320&lt;=0,$M320&lt;0)),AND(OR($F320="dividend",$F320="fee"),$N320&lt;0)),"Invalid value",IF(AND(OR($F320="sell_shares",$F320="called_away"),$AL320&lt;IF($F320="called_away",$AE320*$D320,$L320)),"Insufficient shares (capped)",IF(AND(OR($F320="buy_to_close",$F320="expire",$F320="roll",$F320="assignment",$F320="called_away"),$AF320&gt;0,$H320&gt;IF($AF320&gt;0,MAX(0,INDEX($AI$9:$AI$319,$AF320)-SUMIFS($AE$9:$AE$319,$G$9:$G$319,$G320,$B$9:$B$319,$B320)),0)),"Close quantity capped","OK")))))))))</f>
        <v/>
      </c>
      <c r="W320" s="59" t="str">
        <f t="shared" si="71"/>
        <v/>
      </c>
      <c r="X320" s="60" t="str">
        <f t="shared" si="72"/>
        <v/>
      </c>
      <c r="Y320" s="50" t="str">
        <f t="shared" si="73"/>
        <v/>
      </c>
      <c r="Z320" s="50" t="str">
        <f t="shared" si="74"/>
        <v/>
      </c>
      <c r="AA320" s="50" t="str">
        <f t="shared" si="75"/>
        <v/>
      </c>
      <c r="AB320" s="50" t="str">
        <f t="shared" si="76"/>
        <v/>
      </c>
      <c r="AC320" s="50" t="str">
        <f>IF($A320="","",IF($F320="assignment",IF($AF320&gt;0,INDEX($AH$9:$AH$319,$AF320),0)*$AE320*$D320,IF($F320="buy_shares",$M320*$AL320,0)))</f>
        <v/>
      </c>
      <c r="AD320" s="50" t="str">
        <f>IF($A320="","",IF($F320="called_away",IF($AF320&gt;0,INDEX($AH$9:$AH$319,$AF320),0)*$AL320,IF($F320="sell_shares",$M320*$AL320,0)))</f>
        <v/>
      </c>
      <c r="AE320" s="51" t="str">
        <f>IF($A320="","",IF(OR($F320="sell_put",$F320="sell_call"),IF(AND($H320&gt;0,$I320&gt;0,$J320&gt;=0),$H320,0),IF(OR($F320="buy_to_close",$F320="expire",$F320="roll",$F320="assignment",$F320="called_away"),IF(AND($AF320&gt;0,$H320&gt;0,IF($F320="assignment",IF($AF320&gt;0,INDEX($AG$9:$AG$319,$AF320),"")="put",TRUE),IF($F320="called_away",IF($AF320&gt;0,INDEX($AG$9:$AG$319,$AF320),"")="call",TRUE)),MIN($H320,IF($AF320&gt;0,MAX(0,INDEX($AI$9:$AI$319,$AF320)-SUMIFS($AE$9:$AE$319,$G$9:$G$319,$G320,$B$9:$B$319,$B320)),0)),0),0)))</f>
        <v/>
      </c>
      <c r="AF320" t="str">
        <f>IF($A320="","",IFERROR(MATCH(LEN($B320)&amp;":"&amp;$B320&amp;$G320,$AY$9:$AY$319,0),0))</f>
        <v/>
      </c>
      <c r="AG320" t="str">
        <f>IF($A320="","",IF($F320="sell_put","put",IF($F320="sell_call","call",IF($F320="roll",IF($AF320&gt;0,IF($AF320&gt;0,INDEX($AG$9:$AG$319,$AF320),""),""),IF($AF320&gt;0,IF($AF320&gt;0,INDEX($AG$9:$AG$319,$AF320),""),"")))))</f>
        <v/>
      </c>
      <c r="AH320" t="str">
        <f>IF($A320="","",IF(OR($F320="sell_put",$F320="sell_call",$F320="roll"),$I320,IF($AF320&gt;0,IF($AF320&gt;0,INDEX($AH$9:$AH$319,$AF320),0),0)))</f>
        <v/>
      </c>
      <c r="AI320" s="51" t="str">
        <f t="shared" si="77"/>
        <v/>
      </c>
      <c r="AJ320" s="51" t="str">
        <f>IF($A320="","",IFERROR(LOOKUP(2,1/($B$9:$B$319=$B320),$AM$9:$AM319),0))</f>
        <v/>
      </c>
      <c r="AK320" t="str">
        <f>IF($A320="","",IFERROR(LOOKUP(2,1/($B$9:$B$319=$B320),$AN$9:$AN319),0))</f>
        <v/>
      </c>
      <c r="AL320" s="51" t="str">
        <f t="shared" si="78"/>
        <v/>
      </c>
      <c r="AM320" s="51" t="str">
        <f t="shared" si="79"/>
        <v/>
      </c>
      <c r="AN320" t="str">
        <f t="shared" si="80"/>
        <v/>
      </c>
      <c r="AO320" s="50" t="str">
        <f>IF($A320="","",IFERROR(LOOKUP(2,1/($B$9:$B$319=$B320),$AO$9:$AO319),0)+IF($F320="sell_put",$I320*$AE320*$D320,IF($F320="roll",IF($AG320="put",($I320-IF($AF320&gt;0,INDEX($AH$9:$AH$319,$AF320),0))*$AE320*$D320,0),IF(AND(OR($F320="buy_to_close",$F320="expire",$F320="roll",$F320="assignment",$F320="called_away"),$F320&lt;&gt;"roll",$AG320="put"),-IF($AF320&gt;0,INDEX($AH$9:$AH$319,$AF320),0)*$AE320*$D320,0))))</f>
        <v/>
      </c>
      <c r="AP320" s="51" t="str">
        <f>IF($A320="","",IFERROR(LOOKUP(2,1/($B$9:$B$319=$B320),$AP$9:$AP319),0)+IF($F320="sell_put",$AE320*$D320,IF(AND(OR($F320="buy_to_close",$F320="expire",$F320="roll",$F320="assignment",$F320="called_away"),$F320&lt;&gt;"roll",$AG320="put"),-$AE320*$D320,0)))</f>
        <v/>
      </c>
      <c r="AQ320" s="51" t="str">
        <f>IF($A320="","",IFERROR(LOOKUP(2,1/($B$9:$B$319=$B320),$AQ$9:$AQ319),0)+IF(OR($F320="sell_put",$F320="sell_call"),$AE320,0)-IF(AND(OR($F320="buy_to_close",$F320="expire",$F320="roll",$F320="assignment",$F320="called_away"),$F320&lt;&gt;"roll"),$AE320,0))</f>
        <v/>
      </c>
      <c r="AR320" t="str">
        <f t="shared" si="81"/>
        <v/>
      </c>
      <c r="AS320" s="50" t="str">
        <f t="shared" si="82"/>
        <v/>
      </c>
      <c r="AT320" s="50" t="str">
        <f>IF($A320="","",MAX(IF($T320=IFERROR(LOOKUP(2,1/($B$9:$B$319=$B320),$T$9:$T319),0),IFERROR(LOOKUP(2,1/($B$9:$B$319=$B320),$AT$9:$AT319),0),0),$AS320))</f>
        <v/>
      </c>
      <c r="AU320" t="str">
        <f t="shared" si="83"/>
        <v/>
      </c>
      <c r="AV320" s="51">
        <f>IF($AU320="",0,IF(AND(IFERROR(LOOKUP(2,1/($B$9:$B$319=$B320),$AR$9:$AR319),1),NOT(AND(OR($F320="dividend",$F320="fee"),IFERROR(LOOKUP(2,1/($B$9:$B$319=$B320),$T$9:$T319),0)&gt;0))),ROW(),0))</f>
        <v>0</v>
      </c>
      <c r="AW320">
        <f>IF($A320="",0,IF($AV320&gt;0,MAX($AW$9:$AW$319)+1,MAX($AW$9:$AW$319)))</f>
        <v>0</v>
      </c>
      <c r="AX320">
        <f>IF($AU320="",0,IF(AND($AR320,OR(NOT(IFERROR(LOOKUP(2,1/($B$9:$B$319=$B320),$AR$9:$AR319),1)),IFERROR(LOOKUP(2,1/($B$9:$B$319=$B320),$T$9:$T319),0)=0)),ROW(),0))</f>
        <v>0</v>
      </c>
      <c r="AY320" t="str">
        <f t="shared" si="84"/>
        <v/>
      </c>
    </row>
    <row r="321" spans="1:51" ht="15" x14ac:dyDescent="0.25">
      <c r="A321" s="41" t="str">
        <f>IF(Trades!$A321="","",Trades!O321)</f>
        <v/>
      </c>
      <c r="B321" s="41" t="str">
        <f>IF(Trades!$A321="","",Trades!B321)</f>
        <v/>
      </c>
      <c r="C321" s="41" t="str">
        <f>IF(Trades!$A321="","",Trades!C321)</f>
        <v/>
      </c>
      <c r="D321" s="42" t="str">
        <f>IF(Trades!$A321="","",IF(Trades!$L321&gt;0,Trades!$L321,Trades!$C$6))</f>
        <v/>
      </c>
      <c r="E321" s="43" t="str">
        <f>IF(Trades!$A321="","",Trades!A321)</f>
        <v/>
      </c>
      <c r="F321" s="41" t="str">
        <f>IF(Trades!$A321="","",IFERROR(INDEX(Trades!$V$2:$V$14,MATCH(Trades!$E321,Trades!$U$2:$U$14,0)),""))</f>
        <v/>
      </c>
      <c r="G321" s="41" t="str">
        <f>IF(Trades!$A321="","",Trades!N321)</f>
        <v/>
      </c>
      <c r="H321" s="42" t="str">
        <f>IF(Trades!$A321="","",Trades!F321)</f>
        <v/>
      </c>
      <c r="I321" s="44" t="str">
        <f>IF(Trades!$A321="","",Trades!G321)</f>
        <v/>
      </c>
      <c r="J321" s="44" t="str">
        <f>IF(Trades!$A321="","",Trades!I321)</f>
        <v/>
      </c>
      <c r="K321" s="44" t="str">
        <f>IF(Trades!$A321="","",Trades!Q321)</f>
        <v/>
      </c>
      <c r="L321" s="42" t="str">
        <f>IF(Trades!$A321="","",Trades!F321)</f>
        <v/>
      </c>
      <c r="M321" s="44" t="str">
        <f>IF(Trades!$A321="","",Trades!M321)</f>
        <v/>
      </c>
      <c r="N321" s="44" t="str">
        <f>IF(Trades!$A321="","",Trades!R321)</f>
        <v/>
      </c>
      <c r="O321" s="44" t="str">
        <f>IF(Trades!$A321="","",Trades!J321)</f>
        <v/>
      </c>
      <c r="P321" s="43" t="str">
        <f>IF(Trades!$A321="","",Trades!H321)</f>
        <v/>
      </c>
      <c r="Q321" s="41" t="str">
        <f>IF(Trades!$A321="","",Trades!P321)</f>
        <v/>
      </c>
      <c r="R321" s="45" t="str">
        <f t="shared" si="68"/>
        <v/>
      </c>
      <c r="S321" s="45" t="str">
        <f t="shared" si="69"/>
        <v/>
      </c>
      <c r="T321" s="46" t="str">
        <f>IF(OR($A321="",$B321=""),"",IF(AND(IFERROR(LOOKUP(2,1/($B$9:$B$320=$B321),$AR$9:$AR320),1),NOT(AND(OR($F321="dividend",$F321="fee"),IFERROR(LOOKUP(2,1/($B$9:$B$320=$B321),$T$9:$T320),0)&gt;0))),IFERROR(LOOKUP(2,1/($B$9:$B$320=$B321),$T$9:$T320),0)+1,IFERROR(LOOKUP(2,1/($B$9:$B$320=$B321),$T$9:$T320),0)))</f>
        <v/>
      </c>
      <c r="U321" s="47" t="str">
        <f t="shared" si="70"/>
        <v/>
      </c>
      <c r="V321" s="47" t="str">
        <f>IF($A321="","",IF(OR($B321="",$C321="",$D321="",$E321="",$F321=""),"Missing required field",IF(COUNTIFS($A$9:$A321,$A321,$B$9:$B321,$B321)&gt;1,"Duplicate event ID",IF(AND($E321&lt;&gt;IFERROR(LOOKUP(2,1/($B$9:$B$320=$B321),$E$9:$E320),0),IFERROR(LOOKUP(2,1/($B$9:$B$320=$B321),$E$9:$E320),0)&gt;$E321),"Date out of order",IF(AND(OR($F321="buy_to_close",$F321="expire",$F321="roll",$F321="assignment",$F321="called_away"),$AF321=0),"Unknown lot",IF(OR(AND($F321="assignment",$AF321&gt;0,IF($AF321&gt;0,INDEX($AG$9:$AG$320,$AF321),"")&lt;&gt;"put"),AND($F321="called_away",$AF321&gt;0,IF($AF321&gt;0,INDEX($AG$9:$AG$320,$AF321),"")&lt;&gt;"call")),"Wrong option leg",IF(OR(AND(OR($F321="sell_put",$F321="sell_call"),OR($H321&lt;=0,$I321&lt;=0,$J321&lt;0)),AND(OR($F321="buy_to_close",$F321="expire",$F321="assignment",$F321="called_away"),OR($H321&lt;=0,$J321&lt;0)),AND($F321="roll",OR($H321&lt;=0,$I321&lt;=0,$J321&lt;0,$K321&lt;0)),AND(OR($F321="buy_shares",$F321="sell_shares"),OR($L321&lt;=0,$M321&lt;0)),AND(OR($F321="dividend",$F321="fee"),$N321&lt;0)),"Invalid value",IF(AND(OR($F321="sell_shares",$F321="called_away"),$AL321&lt;IF($F321="called_away",$AE321*$D321,$L321)),"Insufficient shares (capped)",IF(AND(OR($F321="buy_to_close",$F321="expire",$F321="roll",$F321="assignment",$F321="called_away"),$AF321&gt;0,$H321&gt;IF($AF321&gt;0,MAX(0,INDEX($AI$9:$AI$320,$AF321)-SUMIFS($AE$9:$AE$320,$G$9:$G$320,$G321,$B$9:$B$320,$B321)),0)),"Close quantity capped","OK")))))))))</f>
        <v/>
      </c>
      <c r="W321" s="48" t="str">
        <f t="shared" si="71"/>
        <v/>
      </c>
      <c r="X321" s="49" t="str">
        <f t="shared" si="72"/>
        <v/>
      </c>
      <c r="Y321" s="50" t="str">
        <f t="shared" si="73"/>
        <v/>
      </c>
      <c r="Z321" s="50" t="str">
        <f t="shared" si="74"/>
        <v/>
      </c>
      <c r="AA321" s="50" t="str">
        <f t="shared" si="75"/>
        <v/>
      </c>
      <c r="AB321" s="50" t="str">
        <f t="shared" si="76"/>
        <v/>
      </c>
      <c r="AC321" s="50" t="str">
        <f>IF($A321="","",IF($F321="assignment",IF($AF321&gt;0,INDEX($AH$9:$AH$320,$AF321),0)*$AE321*$D321,IF($F321="buy_shares",$M321*$AL321,0)))</f>
        <v/>
      </c>
      <c r="AD321" s="50" t="str">
        <f>IF($A321="","",IF($F321="called_away",IF($AF321&gt;0,INDEX($AH$9:$AH$320,$AF321),0)*$AL321,IF($F321="sell_shares",$M321*$AL321,0)))</f>
        <v/>
      </c>
      <c r="AE321" s="51" t="str">
        <f>IF($A321="","",IF(OR($F321="sell_put",$F321="sell_call"),IF(AND($H321&gt;0,$I321&gt;0,$J321&gt;=0),$H321,0),IF(OR($F321="buy_to_close",$F321="expire",$F321="roll",$F321="assignment",$F321="called_away"),IF(AND($AF321&gt;0,$H321&gt;0,IF($F321="assignment",IF($AF321&gt;0,INDEX($AG$9:$AG$320,$AF321),"")="put",TRUE),IF($F321="called_away",IF($AF321&gt;0,INDEX($AG$9:$AG$320,$AF321),"")="call",TRUE)),MIN($H321,IF($AF321&gt;0,MAX(0,INDEX($AI$9:$AI$320,$AF321)-SUMIFS($AE$9:$AE$320,$G$9:$G$320,$G321,$B$9:$B$320,$B321)),0)),0),0)))</f>
        <v/>
      </c>
      <c r="AF321" t="str">
        <f>IF($A321="","",IFERROR(MATCH(LEN($B321)&amp;":"&amp;$B321&amp;$G321,$AY$9:$AY$320,0),0))</f>
        <v/>
      </c>
      <c r="AG321" t="str">
        <f>IF($A321="","",IF($F321="sell_put","put",IF($F321="sell_call","call",IF($F321="roll",IF($AF321&gt;0,IF($AF321&gt;0,INDEX($AG$9:$AG$320,$AF321),""),""),IF($AF321&gt;0,IF($AF321&gt;0,INDEX($AG$9:$AG$320,$AF321),""),"")))))</f>
        <v/>
      </c>
      <c r="AH321" t="str">
        <f>IF($A321="","",IF(OR($F321="sell_put",$F321="sell_call",$F321="roll"),$I321,IF($AF321&gt;0,IF($AF321&gt;0,INDEX($AH$9:$AH$320,$AF321),0),0)))</f>
        <v/>
      </c>
      <c r="AI321" s="51" t="str">
        <f t="shared" si="77"/>
        <v/>
      </c>
      <c r="AJ321" s="51" t="str">
        <f>IF($A321="","",IFERROR(LOOKUP(2,1/($B$9:$B$320=$B321),$AM$9:$AM320),0))</f>
        <v/>
      </c>
      <c r="AK321" t="str">
        <f>IF($A321="","",IFERROR(LOOKUP(2,1/($B$9:$B$320=$B321),$AN$9:$AN320),0))</f>
        <v/>
      </c>
      <c r="AL321" s="51" t="str">
        <f t="shared" si="78"/>
        <v/>
      </c>
      <c r="AM321" s="51" t="str">
        <f t="shared" si="79"/>
        <v/>
      </c>
      <c r="AN321" t="str">
        <f t="shared" si="80"/>
        <v/>
      </c>
      <c r="AO321" s="50" t="str">
        <f>IF($A321="","",IFERROR(LOOKUP(2,1/($B$9:$B$320=$B321),$AO$9:$AO320),0)+IF($F321="sell_put",$I321*$AE321*$D321,IF($F321="roll",IF($AG321="put",($I321-IF($AF321&gt;0,INDEX($AH$9:$AH$320,$AF321),0))*$AE321*$D321,0),IF(AND(OR($F321="buy_to_close",$F321="expire",$F321="roll",$F321="assignment",$F321="called_away"),$F321&lt;&gt;"roll",$AG321="put"),-IF($AF321&gt;0,INDEX($AH$9:$AH$320,$AF321),0)*$AE321*$D321,0))))</f>
        <v/>
      </c>
      <c r="AP321" s="51" t="str">
        <f>IF($A321="","",IFERROR(LOOKUP(2,1/($B$9:$B$320=$B321),$AP$9:$AP320),0)+IF($F321="sell_put",$AE321*$D321,IF(AND(OR($F321="buy_to_close",$F321="expire",$F321="roll",$F321="assignment",$F321="called_away"),$F321&lt;&gt;"roll",$AG321="put"),-$AE321*$D321,0)))</f>
        <v/>
      </c>
      <c r="AQ321" s="51" t="str">
        <f>IF($A321="","",IFERROR(LOOKUP(2,1/($B$9:$B$320=$B321),$AQ$9:$AQ320),0)+IF(OR($F321="sell_put",$F321="sell_call"),$AE321,0)-IF(AND(OR($F321="buy_to_close",$F321="expire",$F321="roll",$F321="assignment",$F321="called_away"),$F321&lt;&gt;"roll"),$AE321,0))</f>
        <v/>
      </c>
      <c r="AR321" t="str">
        <f t="shared" si="81"/>
        <v/>
      </c>
      <c r="AS321" s="50" t="str">
        <f t="shared" si="82"/>
        <v/>
      </c>
      <c r="AT321" s="50" t="str">
        <f>IF($A321="","",MAX(IF($T321=IFERROR(LOOKUP(2,1/($B$9:$B$320=$B321),$T$9:$T320),0),IFERROR(LOOKUP(2,1/($B$9:$B$320=$B321),$AT$9:$AT320),0),0),$AS321))</f>
        <v/>
      </c>
      <c r="AU321" t="str">
        <f t="shared" si="83"/>
        <v/>
      </c>
      <c r="AV321" s="51">
        <f>IF($AU321="",0,IF(AND(IFERROR(LOOKUP(2,1/($B$9:$B$320=$B321),$AR$9:$AR320),1),NOT(AND(OR($F321="dividend",$F321="fee"),IFERROR(LOOKUP(2,1/($B$9:$B$320=$B321),$T$9:$T320),0)&gt;0))),ROW(),0))</f>
        <v>0</v>
      </c>
      <c r="AW321">
        <f>IF($A321="",0,IF($AV321&gt;0,MAX($AW$9:$AW$320)+1,MAX($AW$9:$AW$320)))</f>
        <v>0</v>
      </c>
      <c r="AX321">
        <f>IF($AU321="",0,IF(AND($AR321,OR(NOT(IFERROR(LOOKUP(2,1/($B$9:$B$320=$B321),$AR$9:$AR320),1)),IFERROR(LOOKUP(2,1/($B$9:$B$320=$B321),$T$9:$T320),0)=0)),ROW(),0))</f>
        <v>0</v>
      </c>
      <c r="AY321" t="str">
        <f t="shared" si="84"/>
        <v/>
      </c>
    </row>
    <row r="322" spans="1:51" ht="15" x14ac:dyDescent="0.25">
      <c r="A322" s="52" t="str">
        <f>IF(Trades!$A322="","",Trades!O322)</f>
        <v/>
      </c>
      <c r="B322" s="52" t="str">
        <f>IF(Trades!$A322="","",Trades!B322)</f>
        <v/>
      </c>
      <c r="C322" s="52" t="str">
        <f>IF(Trades!$A322="","",Trades!C322)</f>
        <v/>
      </c>
      <c r="D322" s="53" t="str">
        <f>IF(Trades!$A322="","",IF(Trades!$L322&gt;0,Trades!$L322,Trades!$C$6))</f>
        <v/>
      </c>
      <c r="E322" s="54" t="str">
        <f>IF(Trades!$A322="","",Trades!A322)</f>
        <v/>
      </c>
      <c r="F322" s="52" t="str">
        <f>IF(Trades!$A322="","",IFERROR(INDEX(Trades!$V$2:$V$14,MATCH(Trades!$E322,Trades!$U$2:$U$14,0)),""))</f>
        <v/>
      </c>
      <c r="G322" s="52" t="str">
        <f>IF(Trades!$A322="","",Trades!N322)</f>
        <v/>
      </c>
      <c r="H322" s="53" t="str">
        <f>IF(Trades!$A322="","",Trades!F322)</f>
        <v/>
      </c>
      <c r="I322" s="55" t="str">
        <f>IF(Trades!$A322="","",Trades!G322)</f>
        <v/>
      </c>
      <c r="J322" s="55" t="str">
        <f>IF(Trades!$A322="","",Trades!I322)</f>
        <v/>
      </c>
      <c r="K322" s="55" t="str">
        <f>IF(Trades!$A322="","",Trades!Q322)</f>
        <v/>
      </c>
      <c r="L322" s="53" t="str">
        <f>IF(Trades!$A322="","",Trades!F322)</f>
        <v/>
      </c>
      <c r="M322" s="55" t="str">
        <f>IF(Trades!$A322="","",Trades!M322)</f>
        <v/>
      </c>
      <c r="N322" s="55" t="str">
        <f>IF(Trades!$A322="","",Trades!R322)</f>
        <v/>
      </c>
      <c r="O322" s="55" t="str">
        <f>IF(Trades!$A322="","",Trades!J322)</f>
        <v/>
      </c>
      <c r="P322" s="54" t="str">
        <f>IF(Trades!$A322="","",Trades!H322)</f>
        <v/>
      </c>
      <c r="Q322" s="52" t="str">
        <f>IF(Trades!$A322="","",Trades!P322)</f>
        <v/>
      </c>
      <c r="R322" s="56" t="str">
        <f t="shared" si="68"/>
        <v/>
      </c>
      <c r="S322" s="56" t="str">
        <f t="shared" si="69"/>
        <v/>
      </c>
      <c r="T322" s="57" t="str">
        <f>IF(OR($A322="",$B322=""),"",IF(AND(IFERROR(LOOKUP(2,1/($B$9:$B$321=$B322),$AR$9:$AR321),1),NOT(AND(OR($F322="dividend",$F322="fee"),IFERROR(LOOKUP(2,1/($B$9:$B$321=$B322),$T$9:$T321),0)&gt;0))),IFERROR(LOOKUP(2,1/($B$9:$B$321=$B322),$T$9:$T321),0)+1,IFERROR(LOOKUP(2,1/($B$9:$B$321=$B322),$T$9:$T321),0)))</f>
        <v/>
      </c>
      <c r="U322" s="58" t="str">
        <f t="shared" si="70"/>
        <v/>
      </c>
      <c r="V322" s="58" t="str">
        <f>IF($A322="","",IF(OR($B322="",$C322="",$D322="",$E322="",$F322=""),"Missing required field",IF(COUNTIFS($A$9:$A322,$A322,$B$9:$B322,$B322)&gt;1,"Duplicate event ID",IF(AND($E322&lt;&gt;IFERROR(LOOKUP(2,1/($B$9:$B$321=$B322),$E$9:$E321),0),IFERROR(LOOKUP(2,1/($B$9:$B$321=$B322),$E$9:$E321),0)&gt;$E322),"Date out of order",IF(AND(OR($F322="buy_to_close",$F322="expire",$F322="roll",$F322="assignment",$F322="called_away"),$AF322=0),"Unknown lot",IF(OR(AND($F322="assignment",$AF322&gt;0,IF($AF322&gt;0,INDEX($AG$9:$AG$321,$AF322),"")&lt;&gt;"put"),AND($F322="called_away",$AF322&gt;0,IF($AF322&gt;0,INDEX($AG$9:$AG$321,$AF322),"")&lt;&gt;"call")),"Wrong option leg",IF(OR(AND(OR($F322="sell_put",$F322="sell_call"),OR($H322&lt;=0,$I322&lt;=0,$J322&lt;0)),AND(OR($F322="buy_to_close",$F322="expire",$F322="assignment",$F322="called_away"),OR($H322&lt;=0,$J322&lt;0)),AND($F322="roll",OR($H322&lt;=0,$I322&lt;=0,$J322&lt;0,$K322&lt;0)),AND(OR($F322="buy_shares",$F322="sell_shares"),OR($L322&lt;=0,$M322&lt;0)),AND(OR($F322="dividend",$F322="fee"),$N322&lt;0)),"Invalid value",IF(AND(OR($F322="sell_shares",$F322="called_away"),$AL322&lt;IF($F322="called_away",$AE322*$D322,$L322)),"Insufficient shares (capped)",IF(AND(OR($F322="buy_to_close",$F322="expire",$F322="roll",$F322="assignment",$F322="called_away"),$AF322&gt;0,$H322&gt;IF($AF322&gt;0,MAX(0,INDEX($AI$9:$AI$321,$AF322)-SUMIFS($AE$9:$AE$321,$G$9:$G$321,$G322,$B$9:$B$321,$B322)),0)),"Close quantity capped","OK")))))))))</f>
        <v/>
      </c>
      <c r="W322" s="59" t="str">
        <f t="shared" si="71"/>
        <v/>
      </c>
      <c r="X322" s="60" t="str">
        <f t="shared" si="72"/>
        <v/>
      </c>
      <c r="Y322" s="50" t="str">
        <f t="shared" si="73"/>
        <v/>
      </c>
      <c r="Z322" s="50" t="str">
        <f t="shared" si="74"/>
        <v/>
      </c>
      <c r="AA322" s="50" t="str">
        <f t="shared" si="75"/>
        <v/>
      </c>
      <c r="AB322" s="50" t="str">
        <f t="shared" si="76"/>
        <v/>
      </c>
      <c r="AC322" s="50" t="str">
        <f>IF($A322="","",IF($F322="assignment",IF($AF322&gt;0,INDEX($AH$9:$AH$321,$AF322),0)*$AE322*$D322,IF($F322="buy_shares",$M322*$AL322,0)))</f>
        <v/>
      </c>
      <c r="AD322" s="50" t="str">
        <f>IF($A322="","",IF($F322="called_away",IF($AF322&gt;0,INDEX($AH$9:$AH$321,$AF322),0)*$AL322,IF($F322="sell_shares",$M322*$AL322,0)))</f>
        <v/>
      </c>
      <c r="AE322" s="51" t="str">
        <f>IF($A322="","",IF(OR($F322="sell_put",$F322="sell_call"),IF(AND($H322&gt;0,$I322&gt;0,$J322&gt;=0),$H322,0),IF(OR($F322="buy_to_close",$F322="expire",$F322="roll",$F322="assignment",$F322="called_away"),IF(AND($AF322&gt;0,$H322&gt;0,IF($F322="assignment",IF($AF322&gt;0,INDEX($AG$9:$AG$321,$AF322),"")="put",TRUE),IF($F322="called_away",IF($AF322&gt;0,INDEX($AG$9:$AG$321,$AF322),"")="call",TRUE)),MIN($H322,IF($AF322&gt;0,MAX(0,INDEX($AI$9:$AI$321,$AF322)-SUMIFS($AE$9:$AE$321,$G$9:$G$321,$G322,$B$9:$B$321,$B322)),0)),0),0)))</f>
        <v/>
      </c>
      <c r="AF322" t="str">
        <f>IF($A322="","",IFERROR(MATCH(LEN($B322)&amp;":"&amp;$B322&amp;$G322,$AY$9:$AY$321,0),0))</f>
        <v/>
      </c>
      <c r="AG322" t="str">
        <f>IF($A322="","",IF($F322="sell_put","put",IF($F322="sell_call","call",IF($F322="roll",IF($AF322&gt;0,IF($AF322&gt;0,INDEX($AG$9:$AG$321,$AF322),""),""),IF($AF322&gt;0,IF($AF322&gt;0,INDEX($AG$9:$AG$321,$AF322),""),"")))))</f>
        <v/>
      </c>
      <c r="AH322" t="str">
        <f>IF($A322="","",IF(OR($F322="sell_put",$F322="sell_call",$F322="roll"),$I322,IF($AF322&gt;0,IF($AF322&gt;0,INDEX($AH$9:$AH$321,$AF322),0),0)))</f>
        <v/>
      </c>
      <c r="AI322" s="51" t="str">
        <f t="shared" si="77"/>
        <v/>
      </c>
      <c r="AJ322" s="51" t="str">
        <f>IF($A322="","",IFERROR(LOOKUP(2,1/($B$9:$B$321=$B322),$AM$9:$AM321),0))</f>
        <v/>
      </c>
      <c r="AK322" t="str">
        <f>IF($A322="","",IFERROR(LOOKUP(2,1/($B$9:$B$321=$B322),$AN$9:$AN321),0))</f>
        <v/>
      </c>
      <c r="AL322" s="51" t="str">
        <f t="shared" si="78"/>
        <v/>
      </c>
      <c r="AM322" s="51" t="str">
        <f t="shared" si="79"/>
        <v/>
      </c>
      <c r="AN322" t="str">
        <f t="shared" si="80"/>
        <v/>
      </c>
      <c r="AO322" s="50" t="str">
        <f>IF($A322="","",IFERROR(LOOKUP(2,1/($B$9:$B$321=$B322),$AO$9:$AO321),0)+IF($F322="sell_put",$I322*$AE322*$D322,IF($F322="roll",IF($AG322="put",($I322-IF($AF322&gt;0,INDEX($AH$9:$AH$321,$AF322),0))*$AE322*$D322,0),IF(AND(OR($F322="buy_to_close",$F322="expire",$F322="roll",$F322="assignment",$F322="called_away"),$F322&lt;&gt;"roll",$AG322="put"),-IF($AF322&gt;0,INDEX($AH$9:$AH$321,$AF322),0)*$AE322*$D322,0))))</f>
        <v/>
      </c>
      <c r="AP322" s="51" t="str">
        <f>IF($A322="","",IFERROR(LOOKUP(2,1/($B$9:$B$321=$B322),$AP$9:$AP321),0)+IF($F322="sell_put",$AE322*$D322,IF(AND(OR($F322="buy_to_close",$F322="expire",$F322="roll",$F322="assignment",$F322="called_away"),$F322&lt;&gt;"roll",$AG322="put"),-$AE322*$D322,0)))</f>
        <v/>
      </c>
      <c r="AQ322" s="51" t="str">
        <f>IF($A322="","",IFERROR(LOOKUP(2,1/($B$9:$B$321=$B322),$AQ$9:$AQ321),0)+IF(OR($F322="sell_put",$F322="sell_call"),$AE322,0)-IF(AND(OR($F322="buy_to_close",$F322="expire",$F322="roll",$F322="assignment",$F322="called_away"),$F322&lt;&gt;"roll"),$AE322,0))</f>
        <v/>
      </c>
      <c r="AR322" t="str">
        <f t="shared" si="81"/>
        <v/>
      </c>
      <c r="AS322" s="50" t="str">
        <f t="shared" si="82"/>
        <v/>
      </c>
      <c r="AT322" s="50" t="str">
        <f>IF($A322="","",MAX(IF($T322=IFERROR(LOOKUP(2,1/($B$9:$B$321=$B322),$T$9:$T321),0),IFERROR(LOOKUP(2,1/($B$9:$B$321=$B322),$AT$9:$AT321),0),0),$AS322))</f>
        <v/>
      </c>
      <c r="AU322" t="str">
        <f t="shared" si="83"/>
        <v/>
      </c>
      <c r="AV322" s="51">
        <f>IF($AU322="",0,IF(AND(IFERROR(LOOKUP(2,1/($B$9:$B$321=$B322),$AR$9:$AR321),1),NOT(AND(OR($F322="dividend",$F322="fee"),IFERROR(LOOKUP(2,1/($B$9:$B$321=$B322),$T$9:$T321),0)&gt;0))),ROW(),0))</f>
        <v>0</v>
      </c>
      <c r="AW322">
        <f>IF($A322="",0,IF($AV322&gt;0,MAX($AW$9:$AW$321)+1,MAX($AW$9:$AW$321)))</f>
        <v>0</v>
      </c>
      <c r="AX322">
        <f>IF($AU322="",0,IF(AND($AR322,OR(NOT(IFERROR(LOOKUP(2,1/($B$9:$B$321=$B322),$AR$9:$AR321),1)),IFERROR(LOOKUP(2,1/($B$9:$B$321=$B322),$T$9:$T321),0)=0)),ROW(),0))</f>
        <v>0</v>
      </c>
      <c r="AY322" t="str">
        <f t="shared" si="84"/>
        <v/>
      </c>
    </row>
    <row r="323" spans="1:51" ht="15" x14ac:dyDescent="0.25">
      <c r="A323" s="41" t="str">
        <f>IF(Trades!$A323="","",Trades!O323)</f>
        <v/>
      </c>
      <c r="B323" s="41" t="str">
        <f>IF(Trades!$A323="","",Trades!B323)</f>
        <v/>
      </c>
      <c r="C323" s="41" t="str">
        <f>IF(Trades!$A323="","",Trades!C323)</f>
        <v/>
      </c>
      <c r="D323" s="42" t="str">
        <f>IF(Trades!$A323="","",IF(Trades!$L323&gt;0,Trades!$L323,Trades!$C$6))</f>
        <v/>
      </c>
      <c r="E323" s="43" t="str">
        <f>IF(Trades!$A323="","",Trades!A323)</f>
        <v/>
      </c>
      <c r="F323" s="41" t="str">
        <f>IF(Trades!$A323="","",IFERROR(INDEX(Trades!$V$2:$V$14,MATCH(Trades!$E323,Trades!$U$2:$U$14,0)),""))</f>
        <v/>
      </c>
      <c r="G323" s="41" t="str">
        <f>IF(Trades!$A323="","",Trades!N323)</f>
        <v/>
      </c>
      <c r="H323" s="42" t="str">
        <f>IF(Trades!$A323="","",Trades!F323)</f>
        <v/>
      </c>
      <c r="I323" s="44" t="str">
        <f>IF(Trades!$A323="","",Trades!G323)</f>
        <v/>
      </c>
      <c r="J323" s="44" t="str">
        <f>IF(Trades!$A323="","",Trades!I323)</f>
        <v/>
      </c>
      <c r="K323" s="44" t="str">
        <f>IF(Trades!$A323="","",Trades!Q323)</f>
        <v/>
      </c>
      <c r="L323" s="42" t="str">
        <f>IF(Trades!$A323="","",Trades!F323)</f>
        <v/>
      </c>
      <c r="M323" s="44" t="str">
        <f>IF(Trades!$A323="","",Trades!M323)</f>
        <v/>
      </c>
      <c r="N323" s="44" t="str">
        <f>IF(Trades!$A323="","",Trades!R323)</f>
        <v/>
      </c>
      <c r="O323" s="44" t="str">
        <f>IF(Trades!$A323="","",Trades!J323)</f>
        <v/>
      </c>
      <c r="P323" s="43" t="str">
        <f>IF(Trades!$A323="","",Trades!H323)</f>
        <v/>
      </c>
      <c r="Q323" s="41" t="str">
        <f>IF(Trades!$A323="","",Trades!P323)</f>
        <v/>
      </c>
      <c r="R323" s="45" t="str">
        <f t="shared" si="68"/>
        <v/>
      </c>
      <c r="S323" s="45" t="str">
        <f t="shared" si="69"/>
        <v/>
      </c>
      <c r="T323" s="46" t="str">
        <f>IF(OR($A323="",$B323=""),"",IF(AND(IFERROR(LOOKUP(2,1/($B$9:$B$322=$B323),$AR$9:$AR322),1),NOT(AND(OR($F323="dividend",$F323="fee"),IFERROR(LOOKUP(2,1/($B$9:$B$322=$B323),$T$9:$T322),0)&gt;0))),IFERROR(LOOKUP(2,1/($B$9:$B$322=$B323),$T$9:$T322),0)+1,IFERROR(LOOKUP(2,1/($B$9:$B$322=$B323),$T$9:$T322),0)))</f>
        <v/>
      </c>
      <c r="U323" s="47" t="str">
        <f t="shared" si="70"/>
        <v/>
      </c>
      <c r="V323" s="47" t="str">
        <f>IF($A323="","",IF(OR($B323="",$C323="",$D323="",$E323="",$F323=""),"Missing required field",IF(COUNTIFS($A$9:$A323,$A323,$B$9:$B323,$B323)&gt;1,"Duplicate event ID",IF(AND($E323&lt;&gt;IFERROR(LOOKUP(2,1/($B$9:$B$322=$B323),$E$9:$E322),0),IFERROR(LOOKUP(2,1/($B$9:$B$322=$B323),$E$9:$E322),0)&gt;$E323),"Date out of order",IF(AND(OR($F323="buy_to_close",$F323="expire",$F323="roll",$F323="assignment",$F323="called_away"),$AF323=0),"Unknown lot",IF(OR(AND($F323="assignment",$AF323&gt;0,IF($AF323&gt;0,INDEX($AG$9:$AG$322,$AF323),"")&lt;&gt;"put"),AND($F323="called_away",$AF323&gt;0,IF($AF323&gt;0,INDEX($AG$9:$AG$322,$AF323),"")&lt;&gt;"call")),"Wrong option leg",IF(OR(AND(OR($F323="sell_put",$F323="sell_call"),OR($H323&lt;=0,$I323&lt;=0,$J323&lt;0)),AND(OR($F323="buy_to_close",$F323="expire",$F323="assignment",$F323="called_away"),OR($H323&lt;=0,$J323&lt;0)),AND($F323="roll",OR($H323&lt;=0,$I323&lt;=0,$J323&lt;0,$K323&lt;0)),AND(OR($F323="buy_shares",$F323="sell_shares"),OR($L323&lt;=0,$M323&lt;0)),AND(OR($F323="dividend",$F323="fee"),$N323&lt;0)),"Invalid value",IF(AND(OR($F323="sell_shares",$F323="called_away"),$AL323&lt;IF($F323="called_away",$AE323*$D323,$L323)),"Insufficient shares (capped)",IF(AND(OR($F323="buy_to_close",$F323="expire",$F323="roll",$F323="assignment",$F323="called_away"),$AF323&gt;0,$H323&gt;IF($AF323&gt;0,MAX(0,INDEX($AI$9:$AI$322,$AF323)-SUMIFS($AE$9:$AE$322,$G$9:$G$322,$G323,$B$9:$B$322,$B323)),0)),"Close quantity capped","OK")))))))))</f>
        <v/>
      </c>
      <c r="W323" s="48" t="str">
        <f t="shared" si="71"/>
        <v/>
      </c>
      <c r="X323" s="49" t="str">
        <f t="shared" si="72"/>
        <v/>
      </c>
      <c r="Y323" s="50" t="str">
        <f t="shared" si="73"/>
        <v/>
      </c>
      <c r="Z323" s="50" t="str">
        <f t="shared" si="74"/>
        <v/>
      </c>
      <c r="AA323" s="50" t="str">
        <f t="shared" si="75"/>
        <v/>
      </c>
      <c r="AB323" s="50" t="str">
        <f t="shared" si="76"/>
        <v/>
      </c>
      <c r="AC323" s="50" t="str">
        <f>IF($A323="","",IF($F323="assignment",IF($AF323&gt;0,INDEX($AH$9:$AH$322,$AF323),0)*$AE323*$D323,IF($F323="buy_shares",$M323*$AL323,0)))</f>
        <v/>
      </c>
      <c r="AD323" s="50" t="str">
        <f>IF($A323="","",IF($F323="called_away",IF($AF323&gt;0,INDEX($AH$9:$AH$322,$AF323),0)*$AL323,IF($F323="sell_shares",$M323*$AL323,0)))</f>
        <v/>
      </c>
      <c r="AE323" s="51" t="str">
        <f>IF($A323="","",IF(OR($F323="sell_put",$F323="sell_call"),IF(AND($H323&gt;0,$I323&gt;0,$J323&gt;=0),$H323,0),IF(OR($F323="buy_to_close",$F323="expire",$F323="roll",$F323="assignment",$F323="called_away"),IF(AND($AF323&gt;0,$H323&gt;0,IF($F323="assignment",IF($AF323&gt;0,INDEX($AG$9:$AG$322,$AF323),"")="put",TRUE),IF($F323="called_away",IF($AF323&gt;0,INDEX($AG$9:$AG$322,$AF323),"")="call",TRUE)),MIN($H323,IF($AF323&gt;0,MAX(0,INDEX($AI$9:$AI$322,$AF323)-SUMIFS($AE$9:$AE$322,$G$9:$G$322,$G323,$B$9:$B$322,$B323)),0)),0),0)))</f>
        <v/>
      </c>
      <c r="AF323" t="str">
        <f>IF($A323="","",IFERROR(MATCH(LEN($B323)&amp;":"&amp;$B323&amp;$G323,$AY$9:$AY$322,0),0))</f>
        <v/>
      </c>
      <c r="AG323" t="str">
        <f>IF($A323="","",IF($F323="sell_put","put",IF($F323="sell_call","call",IF($F323="roll",IF($AF323&gt;0,IF($AF323&gt;0,INDEX($AG$9:$AG$322,$AF323),""),""),IF($AF323&gt;0,IF($AF323&gt;0,INDEX($AG$9:$AG$322,$AF323),""),"")))))</f>
        <v/>
      </c>
      <c r="AH323" t="str">
        <f>IF($A323="","",IF(OR($F323="sell_put",$F323="sell_call",$F323="roll"),$I323,IF($AF323&gt;0,IF($AF323&gt;0,INDEX($AH$9:$AH$322,$AF323),0),0)))</f>
        <v/>
      </c>
      <c r="AI323" s="51" t="str">
        <f t="shared" si="77"/>
        <v/>
      </c>
      <c r="AJ323" s="51" t="str">
        <f>IF($A323="","",IFERROR(LOOKUP(2,1/($B$9:$B$322=$B323),$AM$9:$AM322),0))</f>
        <v/>
      </c>
      <c r="AK323" t="str">
        <f>IF($A323="","",IFERROR(LOOKUP(2,1/($B$9:$B$322=$B323),$AN$9:$AN322),0))</f>
        <v/>
      </c>
      <c r="AL323" s="51" t="str">
        <f t="shared" si="78"/>
        <v/>
      </c>
      <c r="AM323" s="51" t="str">
        <f t="shared" si="79"/>
        <v/>
      </c>
      <c r="AN323" t="str">
        <f t="shared" si="80"/>
        <v/>
      </c>
      <c r="AO323" s="50" t="str">
        <f>IF($A323="","",IFERROR(LOOKUP(2,1/($B$9:$B$322=$B323),$AO$9:$AO322),0)+IF($F323="sell_put",$I323*$AE323*$D323,IF($F323="roll",IF($AG323="put",($I323-IF($AF323&gt;0,INDEX($AH$9:$AH$322,$AF323),0))*$AE323*$D323,0),IF(AND(OR($F323="buy_to_close",$F323="expire",$F323="roll",$F323="assignment",$F323="called_away"),$F323&lt;&gt;"roll",$AG323="put"),-IF($AF323&gt;0,INDEX($AH$9:$AH$322,$AF323),0)*$AE323*$D323,0))))</f>
        <v/>
      </c>
      <c r="AP323" s="51" t="str">
        <f>IF($A323="","",IFERROR(LOOKUP(2,1/($B$9:$B$322=$B323),$AP$9:$AP322),0)+IF($F323="sell_put",$AE323*$D323,IF(AND(OR($F323="buy_to_close",$F323="expire",$F323="roll",$F323="assignment",$F323="called_away"),$F323&lt;&gt;"roll",$AG323="put"),-$AE323*$D323,0)))</f>
        <v/>
      </c>
      <c r="AQ323" s="51" t="str">
        <f>IF($A323="","",IFERROR(LOOKUP(2,1/($B$9:$B$322=$B323),$AQ$9:$AQ322),0)+IF(OR($F323="sell_put",$F323="sell_call"),$AE323,0)-IF(AND(OR($F323="buy_to_close",$F323="expire",$F323="roll",$F323="assignment",$F323="called_away"),$F323&lt;&gt;"roll"),$AE323,0))</f>
        <v/>
      </c>
      <c r="AR323" t="str">
        <f t="shared" si="81"/>
        <v/>
      </c>
      <c r="AS323" s="50" t="str">
        <f t="shared" si="82"/>
        <v/>
      </c>
      <c r="AT323" s="50" t="str">
        <f>IF($A323="","",MAX(IF($T323=IFERROR(LOOKUP(2,1/($B$9:$B$322=$B323),$T$9:$T322),0),IFERROR(LOOKUP(2,1/($B$9:$B$322=$B323),$AT$9:$AT322),0),0),$AS323))</f>
        <v/>
      </c>
      <c r="AU323" t="str">
        <f t="shared" si="83"/>
        <v/>
      </c>
      <c r="AV323" s="51">
        <f>IF($AU323="",0,IF(AND(IFERROR(LOOKUP(2,1/($B$9:$B$322=$B323),$AR$9:$AR322),1),NOT(AND(OR($F323="dividend",$F323="fee"),IFERROR(LOOKUP(2,1/($B$9:$B$322=$B323),$T$9:$T322),0)&gt;0))),ROW(),0))</f>
        <v>0</v>
      </c>
      <c r="AW323">
        <f>IF($A323="",0,IF($AV323&gt;0,MAX($AW$9:$AW$322)+1,MAX($AW$9:$AW$322)))</f>
        <v>0</v>
      </c>
      <c r="AX323">
        <f>IF($AU323="",0,IF(AND($AR323,OR(NOT(IFERROR(LOOKUP(2,1/($B$9:$B$322=$B323),$AR$9:$AR322),1)),IFERROR(LOOKUP(2,1/($B$9:$B$322=$B323),$T$9:$T322),0)=0)),ROW(),0))</f>
        <v>0</v>
      </c>
      <c r="AY323" t="str">
        <f t="shared" si="84"/>
        <v/>
      </c>
    </row>
    <row r="324" spans="1:51" ht="15" x14ac:dyDescent="0.25">
      <c r="A324" s="52" t="str">
        <f>IF(Trades!$A324="","",Trades!O324)</f>
        <v/>
      </c>
      <c r="B324" s="52" t="str">
        <f>IF(Trades!$A324="","",Trades!B324)</f>
        <v/>
      </c>
      <c r="C324" s="52" t="str">
        <f>IF(Trades!$A324="","",Trades!C324)</f>
        <v/>
      </c>
      <c r="D324" s="53" t="str">
        <f>IF(Trades!$A324="","",IF(Trades!$L324&gt;0,Trades!$L324,Trades!$C$6))</f>
        <v/>
      </c>
      <c r="E324" s="54" t="str">
        <f>IF(Trades!$A324="","",Trades!A324)</f>
        <v/>
      </c>
      <c r="F324" s="52" t="str">
        <f>IF(Trades!$A324="","",IFERROR(INDEX(Trades!$V$2:$V$14,MATCH(Trades!$E324,Trades!$U$2:$U$14,0)),""))</f>
        <v/>
      </c>
      <c r="G324" s="52" t="str">
        <f>IF(Trades!$A324="","",Trades!N324)</f>
        <v/>
      </c>
      <c r="H324" s="53" t="str">
        <f>IF(Trades!$A324="","",Trades!F324)</f>
        <v/>
      </c>
      <c r="I324" s="55" t="str">
        <f>IF(Trades!$A324="","",Trades!G324)</f>
        <v/>
      </c>
      <c r="J324" s="55" t="str">
        <f>IF(Trades!$A324="","",Trades!I324)</f>
        <v/>
      </c>
      <c r="K324" s="55" t="str">
        <f>IF(Trades!$A324="","",Trades!Q324)</f>
        <v/>
      </c>
      <c r="L324" s="53" t="str">
        <f>IF(Trades!$A324="","",Trades!F324)</f>
        <v/>
      </c>
      <c r="M324" s="55" t="str">
        <f>IF(Trades!$A324="","",Trades!M324)</f>
        <v/>
      </c>
      <c r="N324" s="55" t="str">
        <f>IF(Trades!$A324="","",Trades!R324)</f>
        <v/>
      </c>
      <c r="O324" s="55" t="str">
        <f>IF(Trades!$A324="","",Trades!J324)</f>
        <v/>
      </c>
      <c r="P324" s="54" t="str">
        <f>IF(Trades!$A324="","",Trades!H324)</f>
        <v/>
      </c>
      <c r="Q324" s="52" t="str">
        <f>IF(Trades!$A324="","",Trades!P324)</f>
        <v/>
      </c>
      <c r="R324" s="56" t="str">
        <f t="shared" si="68"/>
        <v/>
      </c>
      <c r="S324" s="56" t="str">
        <f t="shared" si="69"/>
        <v/>
      </c>
      <c r="T324" s="57" t="str">
        <f>IF(OR($A324="",$B324=""),"",IF(AND(IFERROR(LOOKUP(2,1/($B$9:$B$323=$B324),$AR$9:$AR323),1),NOT(AND(OR($F324="dividend",$F324="fee"),IFERROR(LOOKUP(2,1/($B$9:$B$323=$B324),$T$9:$T323),0)&gt;0))),IFERROR(LOOKUP(2,1/($B$9:$B$323=$B324),$T$9:$T323),0)+1,IFERROR(LOOKUP(2,1/($B$9:$B$323=$B324),$T$9:$T323),0)))</f>
        <v/>
      </c>
      <c r="U324" s="58" t="str">
        <f t="shared" si="70"/>
        <v/>
      </c>
      <c r="V324" s="58" t="str">
        <f>IF($A324="","",IF(OR($B324="",$C324="",$D324="",$E324="",$F324=""),"Missing required field",IF(COUNTIFS($A$9:$A324,$A324,$B$9:$B324,$B324)&gt;1,"Duplicate event ID",IF(AND($E324&lt;&gt;IFERROR(LOOKUP(2,1/($B$9:$B$323=$B324),$E$9:$E323),0),IFERROR(LOOKUP(2,1/($B$9:$B$323=$B324),$E$9:$E323),0)&gt;$E324),"Date out of order",IF(AND(OR($F324="buy_to_close",$F324="expire",$F324="roll",$F324="assignment",$F324="called_away"),$AF324=0),"Unknown lot",IF(OR(AND($F324="assignment",$AF324&gt;0,IF($AF324&gt;0,INDEX($AG$9:$AG$323,$AF324),"")&lt;&gt;"put"),AND($F324="called_away",$AF324&gt;0,IF($AF324&gt;0,INDEX($AG$9:$AG$323,$AF324),"")&lt;&gt;"call")),"Wrong option leg",IF(OR(AND(OR($F324="sell_put",$F324="sell_call"),OR($H324&lt;=0,$I324&lt;=0,$J324&lt;0)),AND(OR($F324="buy_to_close",$F324="expire",$F324="assignment",$F324="called_away"),OR($H324&lt;=0,$J324&lt;0)),AND($F324="roll",OR($H324&lt;=0,$I324&lt;=0,$J324&lt;0,$K324&lt;0)),AND(OR($F324="buy_shares",$F324="sell_shares"),OR($L324&lt;=0,$M324&lt;0)),AND(OR($F324="dividend",$F324="fee"),$N324&lt;0)),"Invalid value",IF(AND(OR($F324="sell_shares",$F324="called_away"),$AL324&lt;IF($F324="called_away",$AE324*$D324,$L324)),"Insufficient shares (capped)",IF(AND(OR($F324="buy_to_close",$F324="expire",$F324="roll",$F324="assignment",$F324="called_away"),$AF324&gt;0,$H324&gt;IF($AF324&gt;0,MAX(0,INDEX($AI$9:$AI$323,$AF324)-SUMIFS($AE$9:$AE$323,$G$9:$G$323,$G324,$B$9:$B$323,$B324)),0)),"Close quantity capped","OK")))))))))</f>
        <v/>
      </c>
      <c r="W324" s="59" t="str">
        <f t="shared" si="71"/>
        <v/>
      </c>
      <c r="X324" s="60" t="str">
        <f t="shared" si="72"/>
        <v/>
      </c>
      <c r="Y324" s="50" t="str">
        <f t="shared" si="73"/>
        <v/>
      </c>
      <c r="Z324" s="50" t="str">
        <f t="shared" si="74"/>
        <v/>
      </c>
      <c r="AA324" s="50" t="str">
        <f t="shared" si="75"/>
        <v/>
      </c>
      <c r="AB324" s="50" t="str">
        <f t="shared" si="76"/>
        <v/>
      </c>
      <c r="AC324" s="50" t="str">
        <f>IF($A324="","",IF($F324="assignment",IF($AF324&gt;0,INDEX($AH$9:$AH$323,$AF324),0)*$AE324*$D324,IF($F324="buy_shares",$M324*$AL324,0)))</f>
        <v/>
      </c>
      <c r="AD324" s="50" t="str">
        <f>IF($A324="","",IF($F324="called_away",IF($AF324&gt;0,INDEX($AH$9:$AH$323,$AF324),0)*$AL324,IF($F324="sell_shares",$M324*$AL324,0)))</f>
        <v/>
      </c>
      <c r="AE324" s="51" t="str">
        <f>IF($A324="","",IF(OR($F324="sell_put",$F324="sell_call"),IF(AND($H324&gt;0,$I324&gt;0,$J324&gt;=0),$H324,0),IF(OR($F324="buy_to_close",$F324="expire",$F324="roll",$F324="assignment",$F324="called_away"),IF(AND($AF324&gt;0,$H324&gt;0,IF($F324="assignment",IF($AF324&gt;0,INDEX($AG$9:$AG$323,$AF324),"")="put",TRUE),IF($F324="called_away",IF($AF324&gt;0,INDEX($AG$9:$AG$323,$AF324),"")="call",TRUE)),MIN($H324,IF($AF324&gt;0,MAX(0,INDEX($AI$9:$AI$323,$AF324)-SUMIFS($AE$9:$AE$323,$G$9:$G$323,$G324,$B$9:$B$323,$B324)),0)),0),0)))</f>
        <v/>
      </c>
      <c r="AF324" t="str">
        <f>IF($A324="","",IFERROR(MATCH(LEN($B324)&amp;":"&amp;$B324&amp;$G324,$AY$9:$AY$323,0),0))</f>
        <v/>
      </c>
      <c r="AG324" t="str">
        <f>IF($A324="","",IF($F324="sell_put","put",IF($F324="sell_call","call",IF($F324="roll",IF($AF324&gt;0,IF($AF324&gt;0,INDEX($AG$9:$AG$323,$AF324),""),""),IF($AF324&gt;0,IF($AF324&gt;0,INDEX($AG$9:$AG$323,$AF324),""),"")))))</f>
        <v/>
      </c>
      <c r="AH324" t="str">
        <f>IF($A324="","",IF(OR($F324="sell_put",$F324="sell_call",$F324="roll"),$I324,IF($AF324&gt;0,IF($AF324&gt;0,INDEX($AH$9:$AH$323,$AF324),0),0)))</f>
        <v/>
      </c>
      <c r="AI324" s="51" t="str">
        <f t="shared" si="77"/>
        <v/>
      </c>
      <c r="AJ324" s="51" t="str">
        <f>IF($A324="","",IFERROR(LOOKUP(2,1/($B$9:$B$323=$B324),$AM$9:$AM323),0))</f>
        <v/>
      </c>
      <c r="AK324" t="str">
        <f>IF($A324="","",IFERROR(LOOKUP(2,1/($B$9:$B$323=$B324),$AN$9:$AN323),0))</f>
        <v/>
      </c>
      <c r="AL324" s="51" t="str">
        <f t="shared" si="78"/>
        <v/>
      </c>
      <c r="AM324" s="51" t="str">
        <f t="shared" si="79"/>
        <v/>
      </c>
      <c r="AN324" t="str">
        <f t="shared" si="80"/>
        <v/>
      </c>
      <c r="AO324" s="50" t="str">
        <f>IF($A324="","",IFERROR(LOOKUP(2,1/($B$9:$B$323=$B324),$AO$9:$AO323),0)+IF($F324="sell_put",$I324*$AE324*$D324,IF($F324="roll",IF($AG324="put",($I324-IF($AF324&gt;0,INDEX($AH$9:$AH$323,$AF324),0))*$AE324*$D324,0),IF(AND(OR($F324="buy_to_close",$F324="expire",$F324="roll",$F324="assignment",$F324="called_away"),$F324&lt;&gt;"roll",$AG324="put"),-IF($AF324&gt;0,INDEX($AH$9:$AH$323,$AF324),0)*$AE324*$D324,0))))</f>
        <v/>
      </c>
      <c r="AP324" s="51" t="str">
        <f>IF($A324="","",IFERROR(LOOKUP(2,1/($B$9:$B$323=$B324),$AP$9:$AP323),0)+IF($F324="sell_put",$AE324*$D324,IF(AND(OR($F324="buy_to_close",$F324="expire",$F324="roll",$F324="assignment",$F324="called_away"),$F324&lt;&gt;"roll",$AG324="put"),-$AE324*$D324,0)))</f>
        <v/>
      </c>
      <c r="AQ324" s="51" t="str">
        <f>IF($A324="","",IFERROR(LOOKUP(2,1/($B$9:$B$323=$B324),$AQ$9:$AQ323),0)+IF(OR($F324="sell_put",$F324="sell_call"),$AE324,0)-IF(AND(OR($F324="buy_to_close",$F324="expire",$F324="roll",$F324="assignment",$F324="called_away"),$F324&lt;&gt;"roll"),$AE324,0))</f>
        <v/>
      </c>
      <c r="AR324" t="str">
        <f t="shared" si="81"/>
        <v/>
      </c>
      <c r="AS324" s="50" t="str">
        <f t="shared" si="82"/>
        <v/>
      </c>
      <c r="AT324" s="50" t="str">
        <f>IF($A324="","",MAX(IF($T324=IFERROR(LOOKUP(2,1/($B$9:$B$323=$B324),$T$9:$T323),0),IFERROR(LOOKUP(2,1/($B$9:$B$323=$B324),$AT$9:$AT323),0),0),$AS324))</f>
        <v/>
      </c>
      <c r="AU324" t="str">
        <f t="shared" si="83"/>
        <v/>
      </c>
      <c r="AV324" s="51">
        <f>IF($AU324="",0,IF(AND(IFERROR(LOOKUP(2,1/($B$9:$B$323=$B324),$AR$9:$AR323),1),NOT(AND(OR($F324="dividend",$F324="fee"),IFERROR(LOOKUP(2,1/($B$9:$B$323=$B324),$T$9:$T323),0)&gt;0))),ROW(),0))</f>
        <v>0</v>
      </c>
      <c r="AW324">
        <f>IF($A324="",0,IF($AV324&gt;0,MAX($AW$9:$AW$323)+1,MAX($AW$9:$AW$323)))</f>
        <v>0</v>
      </c>
      <c r="AX324">
        <f>IF($AU324="",0,IF(AND($AR324,OR(NOT(IFERROR(LOOKUP(2,1/($B$9:$B$323=$B324),$AR$9:$AR323),1)),IFERROR(LOOKUP(2,1/($B$9:$B$323=$B324),$T$9:$T323),0)=0)),ROW(),0))</f>
        <v>0</v>
      </c>
      <c r="AY324" t="str">
        <f t="shared" si="84"/>
        <v/>
      </c>
    </row>
    <row r="325" spans="1:51" ht="15" x14ac:dyDescent="0.25">
      <c r="A325" s="41" t="str">
        <f>IF(Trades!$A325="","",Trades!O325)</f>
        <v/>
      </c>
      <c r="B325" s="41" t="str">
        <f>IF(Trades!$A325="","",Trades!B325)</f>
        <v/>
      </c>
      <c r="C325" s="41" t="str">
        <f>IF(Trades!$A325="","",Trades!C325)</f>
        <v/>
      </c>
      <c r="D325" s="42" t="str">
        <f>IF(Trades!$A325="","",IF(Trades!$L325&gt;0,Trades!$L325,Trades!$C$6))</f>
        <v/>
      </c>
      <c r="E325" s="43" t="str">
        <f>IF(Trades!$A325="","",Trades!A325)</f>
        <v/>
      </c>
      <c r="F325" s="41" t="str">
        <f>IF(Trades!$A325="","",IFERROR(INDEX(Trades!$V$2:$V$14,MATCH(Trades!$E325,Trades!$U$2:$U$14,0)),""))</f>
        <v/>
      </c>
      <c r="G325" s="41" t="str">
        <f>IF(Trades!$A325="","",Trades!N325)</f>
        <v/>
      </c>
      <c r="H325" s="42" t="str">
        <f>IF(Trades!$A325="","",Trades!F325)</f>
        <v/>
      </c>
      <c r="I325" s="44" t="str">
        <f>IF(Trades!$A325="","",Trades!G325)</f>
        <v/>
      </c>
      <c r="J325" s="44" t="str">
        <f>IF(Trades!$A325="","",Trades!I325)</f>
        <v/>
      </c>
      <c r="K325" s="44" t="str">
        <f>IF(Trades!$A325="","",Trades!Q325)</f>
        <v/>
      </c>
      <c r="L325" s="42" t="str">
        <f>IF(Trades!$A325="","",Trades!F325)</f>
        <v/>
      </c>
      <c r="M325" s="44" t="str">
        <f>IF(Trades!$A325="","",Trades!M325)</f>
        <v/>
      </c>
      <c r="N325" s="44" t="str">
        <f>IF(Trades!$A325="","",Trades!R325)</f>
        <v/>
      </c>
      <c r="O325" s="44" t="str">
        <f>IF(Trades!$A325="","",Trades!J325)</f>
        <v/>
      </c>
      <c r="P325" s="43" t="str">
        <f>IF(Trades!$A325="","",Trades!H325)</f>
        <v/>
      </c>
      <c r="Q325" s="41" t="str">
        <f>IF(Trades!$A325="","",Trades!P325)</f>
        <v/>
      </c>
      <c r="R325" s="45" t="str">
        <f t="shared" si="68"/>
        <v/>
      </c>
      <c r="S325" s="45" t="str">
        <f t="shared" si="69"/>
        <v/>
      </c>
      <c r="T325" s="46" t="str">
        <f>IF(OR($A325="",$B325=""),"",IF(AND(IFERROR(LOOKUP(2,1/($B$9:$B$324=$B325),$AR$9:$AR324),1),NOT(AND(OR($F325="dividend",$F325="fee"),IFERROR(LOOKUP(2,1/($B$9:$B$324=$B325),$T$9:$T324),0)&gt;0))),IFERROR(LOOKUP(2,1/($B$9:$B$324=$B325),$T$9:$T324),0)+1,IFERROR(LOOKUP(2,1/($B$9:$B$324=$B325),$T$9:$T324),0)))</f>
        <v/>
      </c>
      <c r="U325" s="47" t="str">
        <f t="shared" si="70"/>
        <v/>
      </c>
      <c r="V325" s="47" t="str">
        <f>IF($A325="","",IF(OR($B325="",$C325="",$D325="",$E325="",$F325=""),"Missing required field",IF(COUNTIFS($A$9:$A325,$A325,$B$9:$B325,$B325)&gt;1,"Duplicate event ID",IF(AND($E325&lt;&gt;IFERROR(LOOKUP(2,1/($B$9:$B$324=$B325),$E$9:$E324),0),IFERROR(LOOKUP(2,1/($B$9:$B$324=$B325),$E$9:$E324),0)&gt;$E325),"Date out of order",IF(AND(OR($F325="buy_to_close",$F325="expire",$F325="roll",$F325="assignment",$F325="called_away"),$AF325=0),"Unknown lot",IF(OR(AND($F325="assignment",$AF325&gt;0,IF($AF325&gt;0,INDEX($AG$9:$AG$324,$AF325),"")&lt;&gt;"put"),AND($F325="called_away",$AF325&gt;0,IF($AF325&gt;0,INDEX($AG$9:$AG$324,$AF325),"")&lt;&gt;"call")),"Wrong option leg",IF(OR(AND(OR($F325="sell_put",$F325="sell_call"),OR($H325&lt;=0,$I325&lt;=0,$J325&lt;0)),AND(OR($F325="buy_to_close",$F325="expire",$F325="assignment",$F325="called_away"),OR($H325&lt;=0,$J325&lt;0)),AND($F325="roll",OR($H325&lt;=0,$I325&lt;=0,$J325&lt;0,$K325&lt;0)),AND(OR($F325="buy_shares",$F325="sell_shares"),OR($L325&lt;=0,$M325&lt;0)),AND(OR($F325="dividend",$F325="fee"),$N325&lt;0)),"Invalid value",IF(AND(OR($F325="sell_shares",$F325="called_away"),$AL325&lt;IF($F325="called_away",$AE325*$D325,$L325)),"Insufficient shares (capped)",IF(AND(OR($F325="buy_to_close",$F325="expire",$F325="roll",$F325="assignment",$F325="called_away"),$AF325&gt;0,$H325&gt;IF($AF325&gt;0,MAX(0,INDEX($AI$9:$AI$324,$AF325)-SUMIFS($AE$9:$AE$324,$G$9:$G$324,$G325,$B$9:$B$324,$B325)),0)),"Close quantity capped","OK")))))))))</f>
        <v/>
      </c>
      <c r="W325" s="48" t="str">
        <f t="shared" si="71"/>
        <v/>
      </c>
      <c r="X325" s="49" t="str">
        <f t="shared" si="72"/>
        <v/>
      </c>
      <c r="Y325" s="50" t="str">
        <f t="shared" si="73"/>
        <v/>
      </c>
      <c r="Z325" s="50" t="str">
        <f t="shared" si="74"/>
        <v/>
      </c>
      <c r="AA325" s="50" t="str">
        <f t="shared" si="75"/>
        <v/>
      </c>
      <c r="AB325" s="50" t="str">
        <f t="shared" si="76"/>
        <v/>
      </c>
      <c r="AC325" s="50" t="str">
        <f>IF($A325="","",IF($F325="assignment",IF($AF325&gt;0,INDEX($AH$9:$AH$324,$AF325),0)*$AE325*$D325,IF($F325="buy_shares",$M325*$AL325,0)))</f>
        <v/>
      </c>
      <c r="AD325" s="50" t="str">
        <f>IF($A325="","",IF($F325="called_away",IF($AF325&gt;0,INDEX($AH$9:$AH$324,$AF325),0)*$AL325,IF($F325="sell_shares",$M325*$AL325,0)))</f>
        <v/>
      </c>
      <c r="AE325" s="51" t="str">
        <f>IF($A325="","",IF(OR($F325="sell_put",$F325="sell_call"),IF(AND($H325&gt;0,$I325&gt;0,$J325&gt;=0),$H325,0),IF(OR($F325="buy_to_close",$F325="expire",$F325="roll",$F325="assignment",$F325="called_away"),IF(AND($AF325&gt;0,$H325&gt;0,IF($F325="assignment",IF($AF325&gt;0,INDEX($AG$9:$AG$324,$AF325),"")="put",TRUE),IF($F325="called_away",IF($AF325&gt;0,INDEX($AG$9:$AG$324,$AF325),"")="call",TRUE)),MIN($H325,IF($AF325&gt;0,MAX(0,INDEX($AI$9:$AI$324,$AF325)-SUMIFS($AE$9:$AE$324,$G$9:$G$324,$G325,$B$9:$B$324,$B325)),0)),0),0)))</f>
        <v/>
      </c>
      <c r="AF325" t="str">
        <f>IF($A325="","",IFERROR(MATCH(LEN($B325)&amp;":"&amp;$B325&amp;$G325,$AY$9:$AY$324,0),0))</f>
        <v/>
      </c>
      <c r="AG325" t="str">
        <f>IF($A325="","",IF($F325="sell_put","put",IF($F325="sell_call","call",IF($F325="roll",IF($AF325&gt;0,IF($AF325&gt;0,INDEX($AG$9:$AG$324,$AF325),""),""),IF($AF325&gt;0,IF($AF325&gt;0,INDEX($AG$9:$AG$324,$AF325),""),"")))))</f>
        <v/>
      </c>
      <c r="AH325" t="str">
        <f>IF($A325="","",IF(OR($F325="sell_put",$F325="sell_call",$F325="roll"),$I325,IF($AF325&gt;0,IF($AF325&gt;0,INDEX($AH$9:$AH$324,$AF325),0),0)))</f>
        <v/>
      </c>
      <c r="AI325" s="51" t="str">
        <f t="shared" si="77"/>
        <v/>
      </c>
      <c r="AJ325" s="51" t="str">
        <f>IF($A325="","",IFERROR(LOOKUP(2,1/($B$9:$B$324=$B325),$AM$9:$AM324),0))</f>
        <v/>
      </c>
      <c r="AK325" t="str">
        <f>IF($A325="","",IFERROR(LOOKUP(2,1/($B$9:$B$324=$B325),$AN$9:$AN324),0))</f>
        <v/>
      </c>
      <c r="AL325" s="51" t="str">
        <f t="shared" si="78"/>
        <v/>
      </c>
      <c r="AM325" s="51" t="str">
        <f t="shared" si="79"/>
        <v/>
      </c>
      <c r="AN325" t="str">
        <f t="shared" si="80"/>
        <v/>
      </c>
      <c r="AO325" s="50" t="str">
        <f>IF($A325="","",IFERROR(LOOKUP(2,1/($B$9:$B$324=$B325),$AO$9:$AO324),0)+IF($F325="sell_put",$I325*$AE325*$D325,IF($F325="roll",IF($AG325="put",($I325-IF($AF325&gt;0,INDEX($AH$9:$AH$324,$AF325),0))*$AE325*$D325,0),IF(AND(OR($F325="buy_to_close",$F325="expire",$F325="roll",$F325="assignment",$F325="called_away"),$F325&lt;&gt;"roll",$AG325="put"),-IF($AF325&gt;0,INDEX($AH$9:$AH$324,$AF325),0)*$AE325*$D325,0))))</f>
        <v/>
      </c>
      <c r="AP325" s="51" t="str">
        <f>IF($A325="","",IFERROR(LOOKUP(2,1/($B$9:$B$324=$B325),$AP$9:$AP324),0)+IF($F325="sell_put",$AE325*$D325,IF(AND(OR($F325="buy_to_close",$F325="expire",$F325="roll",$F325="assignment",$F325="called_away"),$F325&lt;&gt;"roll",$AG325="put"),-$AE325*$D325,0)))</f>
        <v/>
      </c>
      <c r="AQ325" s="51" t="str">
        <f>IF($A325="","",IFERROR(LOOKUP(2,1/($B$9:$B$324=$B325),$AQ$9:$AQ324),0)+IF(OR($F325="sell_put",$F325="sell_call"),$AE325,0)-IF(AND(OR($F325="buy_to_close",$F325="expire",$F325="roll",$F325="assignment",$F325="called_away"),$F325&lt;&gt;"roll"),$AE325,0))</f>
        <v/>
      </c>
      <c r="AR325" t="str">
        <f t="shared" si="81"/>
        <v/>
      </c>
      <c r="AS325" s="50" t="str">
        <f t="shared" si="82"/>
        <v/>
      </c>
      <c r="AT325" s="50" t="str">
        <f>IF($A325="","",MAX(IF($T325=IFERROR(LOOKUP(2,1/($B$9:$B$324=$B325),$T$9:$T324),0),IFERROR(LOOKUP(2,1/($B$9:$B$324=$B325),$AT$9:$AT324),0),0),$AS325))</f>
        <v/>
      </c>
      <c r="AU325" t="str">
        <f t="shared" si="83"/>
        <v/>
      </c>
      <c r="AV325" s="51">
        <f>IF($AU325="",0,IF(AND(IFERROR(LOOKUP(2,1/($B$9:$B$324=$B325),$AR$9:$AR324),1),NOT(AND(OR($F325="dividend",$F325="fee"),IFERROR(LOOKUP(2,1/($B$9:$B$324=$B325),$T$9:$T324),0)&gt;0))),ROW(),0))</f>
        <v>0</v>
      </c>
      <c r="AW325">
        <f>IF($A325="",0,IF($AV325&gt;0,MAX($AW$9:$AW$324)+1,MAX($AW$9:$AW$324)))</f>
        <v>0</v>
      </c>
      <c r="AX325">
        <f>IF($AU325="",0,IF(AND($AR325,OR(NOT(IFERROR(LOOKUP(2,1/($B$9:$B$324=$B325),$AR$9:$AR324),1)),IFERROR(LOOKUP(2,1/($B$9:$B$324=$B325),$T$9:$T324),0)=0)),ROW(),0))</f>
        <v>0</v>
      </c>
      <c r="AY325" t="str">
        <f t="shared" si="84"/>
        <v/>
      </c>
    </row>
    <row r="326" spans="1:51" ht="15" x14ac:dyDescent="0.25">
      <c r="A326" s="52" t="str">
        <f>IF(Trades!$A326="","",Trades!O326)</f>
        <v/>
      </c>
      <c r="B326" s="52" t="str">
        <f>IF(Trades!$A326="","",Trades!B326)</f>
        <v/>
      </c>
      <c r="C326" s="52" t="str">
        <f>IF(Trades!$A326="","",Trades!C326)</f>
        <v/>
      </c>
      <c r="D326" s="53" t="str">
        <f>IF(Trades!$A326="","",IF(Trades!$L326&gt;0,Trades!$L326,Trades!$C$6))</f>
        <v/>
      </c>
      <c r="E326" s="54" t="str">
        <f>IF(Trades!$A326="","",Trades!A326)</f>
        <v/>
      </c>
      <c r="F326" s="52" t="str">
        <f>IF(Trades!$A326="","",IFERROR(INDEX(Trades!$V$2:$V$14,MATCH(Trades!$E326,Trades!$U$2:$U$14,0)),""))</f>
        <v/>
      </c>
      <c r="G326" s="52" t="str">
        <f>IF(Trades!$A326="","",Trades!N326)</f>
        <v/>
      </c>
      <c r="H326" s="53" t="str">
        <f>IF(Trades!$A326="","",Trades!F326)</f>
        <v/>
      </c>
      <c r="I326" s="55" t="str">
        <f>IF(Trades!$A326="","",Trades!G326)</f>
        <v/>
      </c>
      <c r="J326" s="55" t="str">
        <f>IF(Trades!$A326="","",Trades!I326)</f>
        <v/>
      </c>
      <c r="K326" s="55" t="str">
        <f>IF(Trades!$A326="","",Trades!Q326)</f>
        <v/>
      </c>
      <c r="L326" s="53" t="str">
        <f>IF(Trades!$A326="","",Trades!F326)</f>
        <v/>
      </c>
      <c r="M326" s="55" t="str">
        <f>IF(Trades!$A326="","",Trades!M326)</f>
        <v/>
      </c>
      <c r="N326" s="55" t="str">
        <f>IF(Trades!$A326="","",Trades!R326)</f>
        <v/>
      </c>
      <c r="O326" s="55" t="str">
        <f>IF(Trades!$A326="","",Trades!J326)</f>
        <v/>
      </c>
      <c r="P326" s="54" t="str">
        <f>IF(Trades!$A326="","",Trades!H326)</f>
        <v/>
      </c>
      <c r="Q326" s="52" t="str">
        <f>IF(Trades!$A326="","",Trades!P326)</f>
        <v/>
      </c>
      <c r="R326" s="56" t="str">
        <f t="shared" si="68"/>
        <v/>
      </c>
      <c r="S326" s="56" t="str">
        <f t="shared" si="69"/>
        <v/>
      </c>
      <c r="T326" s="57" t="str">
        <f>IF(OR($A326="",$B326=""),"",IF(AND(IFERROR(LOOKUP(2,1/($B$9:$B$325=$B326),$AR$9:$AR325),1),NOT(AND(OR($F326="dividend",$F326="fee"),IFERROR(LOOKUP(2,1/($B$9:$B$325=$B326),$T$9:$T325),0)&gt;0))),IFERROR(LOOKUP(2,1/($B$9:$B$325=$B326),$T$9:$T325),0)+1,IFERROR(LOOKUP(2,1/($B$9:$B$325=$B326),$T$9:$T325),0)))</f>
        <v/>
      </c>
      <c r="U326" s="58" t="str">
        <f t="shared" si="70"/>
        <v/>
      </c>
      <c r="V326" s="58" t="str">
        <f>IF($A326="","",IF(OR($B326="",$C326="",$D326="",$E326="",$F326=""),"Missing required field",IF(COUNTIFS($A$9:$A326,$A326,$B$9:$B326,$B326)&gt;1,"Duplicate event ID",IF(AND($E326&lt;&gt;IFERROR(LOOKUP(2,1/($B$9:$B$325=$B326),$E$9:$E325),0),IFERROR(LOOKUP(2,1/($B$9:$B$325=$B326),$E$9:$E325),0)&gt;$E326),"Date out of order",IF(AND(OR($F326="buy_to_close",$F326="expire",$F326="roll",$F326="assignment",$F326="called_away"),$AF326=0),"Unknown lot",IF(OR(AND($F326="assignment",$AF326&gt;0,IF($AF326&gt;0,INDEX($AG$9:$AG$325,$AF326),"")&lt;&gt;"put"),AND($F326="called_away",$AF326&gt;0,IF($AF326&gt;0,INDEX($AG$9:$AG$325,$AF326),"")&lt;&gt;"call")),"Wrong option leg",IF(OR(AND(OR($F326="sell_put",$F326="sell_call"),OR($H326&lt;=0,$I326&lt;=0,$J326&lt;0)),AND(OR($F326="buy_to_close",$F326="expire",$F326="assignment",$F326="called_away"),OR($H326&lt;=0,$J326&lt;0)),AND($F326="roll",OR($H326&lt;=0,$I326&lt;=0,$J326&lt;0,$K326&lt;0)),AND(OR($F326="buy_shares",$F326="sell_shares"),OR($L326&lt;=0,$M326&lt;0)),AND(OR($F326="dividend",$F326="fee"),$N326&lt;0)),"Invalid value",IF(AND(OR($F326="sell_shares",$F326="called_away"),$AL326&lt;IF($F326="called_away",$AE326*$D326,$L326)),"Insufficient shares (capped)",IF(AND(OR($F326="buy_to_close",$F326="expire",$F326="roll",$F326="assignment",$F326="called_away"),$AF326&gt;0,$H326&gt;IF($AF326&gt;0,MAX(0,INDEX($AI$9:$AI$325,$AF326)-SUMIFS($AE$9:$AE$325,$G$9:$G$325,$G326,$B$9:$B$325,$B326)),0)),"Close quantity capped","OK")))))))))</f>
        <v/>
      </c>
      <c r="W326" s="59" t="str">
        <f t="shared" si="71"/>
        <v/>
      </c>
      <c r="X326" s="60" t="str">
        <f t="shared" si="72"/>
        <v/>
      </c>
      <c r="Y326" s="50" t="str">
        <f t="shared" si="73"/>
        <v/>
      </c>
      <c r="Z326" s="50" t="str">
        <f t="shared" si="74"/>
        <v/>
      </c>
      <c r="AA326" s="50" t="str">
        <f t="shared" si="75"/>
        <v/>
      </c>
      <c r="AB326" s="50" t="str">
        <f t="shared" si="76"/>
        <v/>
      </c>
      <c r="AC326" s="50" t="str">
        <f>IF($A326="","",IF($F326="assignment",IF($AF326&gt;0,INDEX($AH$9:$AH$325,$AF326),0)*$AE326*$D326,IF($F326="buy_shares",$M326*$AL326,0)))</f>
        <v/>
      </c>
      <c r="AD326" s="50" t="str">
        <f>IF($A326="","",IF($F326="called_away",IF($AF326&gt;0,INDEX($AH$9:$AH$325,$AF326),0)*$AL326,IF($F326="sell_shares",$M326*$AL326,0)))</f>
        <v/>
      </c>
      <c r="AE326" s="51" t="str">
        <f>IF($A326="","",IF(OR($F326="sell_put",$F326="sell_call"),IF(AND($H326&gt;0,$I326&gt;0,$J326&gt;=0),$H326,0),IF(OR($F326="buy_to_close",$F326="expire",$F326="roll",$F326="assignment",$F326="called_away"),IF(AND($AF326&gt;0,$H326&gt;0,IF($F326="assignment",IF($AF326&gt;0,INDEX($AG$9:$AG$325,$AF326),"")="put",TRUE),IF($F326="called_away",IF($AF326&gt;0,INDEX($AG$9:$AG$325,$AF326),"")="call",TRUE)),MIN($H326,IF($AF326&gt;0,MAX(0,INDEX($AI$9:$AI$325,$AF326)-SUMIFS($AE$9:$AE$325,$G$9:$G$325,$G326,$B$9:$B$325,$B326)),0)),0),0)))</f>
        <v/>
      </c>
      <c r="AF326" t="str">
        <f>IF($A326="","",IFERROR(MATCH(LEN($B326)&amp;":"&amp;$B326&amp;$G326,$AY$9:$AY$325,0),0))</f>
        <v/>
      </c>
      <c r="AG326" t="str">
        <f>IF($A326="","",IF($F326="sell_put","put",IF($F326="sell_call","call",IF($F326="roll",IF($AF326&gt;0,IF($AF326&gt;0,INDEX($AG$9:$AG$325,$AF326),""),""),IF($AF326&gt;0,IF($AF326&gt;0,INDEX($AG$9:$AG$325,$AF326),""),"")))))</f>
        <v/>
      </c>
      <c r="AH326" t="str">
        <f>IF($A326="","",IF(OR($F326="sell_put",$F326="sell_call",$F326="roll"),$I326,IF($AF326&gt;0,IF($AF326&gt;0,INDEX($AH$9:$AH$325,$AF326),0),0)))</f>
        <v/>
      </c>
      <c r="AI326" s="51" t="str">
        <f t="shared" si="77"/>
        <v/>
      </c>
      <c r="AJ326" s="51" t="str">
        <f>IF($A326="","",IFERROR(LOOKUP(2,1/($B$9:$B$325=$B326),$AM$9:$AM325),0))</f>
        <v/>
      </c>
      <c r="AK326" t="str">
        <f>IF($A326="","",IFERROR(LOOKUP(2,1/($B$9:$B$325=$B326),$AN$9:$AN325),0))</f>
        <v/>
      </c>
      <c r="AL326" s="51" t="str">
        <f t="shared" si="78"/>
        <v/>
      </c>
      <c r="AM326" s="51" t="str">
        <f t="shared" si="79"/>
        <v/>
      </c>
      <c r="AN326" t="str">
        <f t="shared" si="80"/>
        <v/>
      </c>
      <c r="AO326" s="50" t="str">
        <f>IF($A326="","",IFERROR(LOOKUP(2,1/($B$9:$B$325=$B326),$AO$9:$AO325),0)+IF($F326="sell_put",$I326*$AE326*$D326,IF($F326="roll",IF($AG326="put",($I326-IF($AF326&gt;0,INDEX($AH$9:$AH$325,$AF326),0))*$AE326*$D326,0),IF(AND(OR($F326="buy_to_close",$F326="expire",$F326="roll",$F326="assignment",$F326="called_away"),$F326&lt;&gt;"roll",$AG326="put"),-IF($AF326&gt;0,INDEX($AH$9:$AH$325,$AF326),0)*$AE326*$D326,0))))</f>
        <v/>
      </c>
      <c r="AP326" s="51" t="str">
        <f>IF($A326="","",IFERROR(LOOKUP(2,1/($B$9:$B$325=$B326),$AP$9:$AP325),0)+IF($F326="sell_put",$AE326*$D326,IF(AND(OR($F326="buy_to_close",$F326="expire",$F326="roll",$F326="assignment",$F326="called_away"),$F326&lt;&gt;"roll",$AG326="put"),-$AE326*$D326,0)))</f>
        <v/>
      </c>
      <c r="AQ326" s="51" t="str">
        <f>IF($A326="","",IFERROR(LOOKUP(2,1/($B$9:$B$325=$B326),$AQ$9:$AQ325),0)+IF(OR($F326="sell_put",$F326="sell_call"),$AE326,0)-IF(AND(OR($F326="buy_to_close",$F326="expire",$F326="roll",$F326="assignment",$F326="called_away"),$F326&lt;&gt;"roll"),$AE326,0))</f>
        <v/>
      </c>
      <c r="AR326" t="str">
        <f t="shared" si="81"/>
        <v/>
      </c>
      <c r="AS326" s="50" t="str">
        <f t="shared" si="82"/>
        <v/>
      </c>
      <c r="AT326" s="50" t="str">
        <f>IF($A326="","",MAX(IF($T326=IFERROR(LOOKUP(2,1/($B$9:$B$325=$B326),$T$9:$T325),0),IFERROR(LOOKUP(2,1/($B$9:$B$325=$B326),$AT$9:$AT325),0),0),$AS326))</f>
        <v/>
      </c>
      <c r="AU326" t="str">
        <f t="shared" si="83"/>
        <v/>
      </c>
      <c r="AV326" s="51">
        <f>IF($AU326="",0,IF(AND(IFERROR(LOOKUP(2,1/($B$9:$B$325=$B326),$AR$9:$AR325),1),NOT(AND(OR($F326="dividend",$F326="fee"),IFERROR(LOOKUP(2,1/($B$9:$B$325=$B326),$T$9:$T325),0)&gt;0))),ROW(),0))</f>
        <v>0</v>
      </c>
      <c r="AW326">
        <f>IF($A326="",0,IF($AV326&gt;0,MAX($AW$9:$AW$325)+1,MAX($AW$9:$AW$325)))</f>
        <v>0</v>
      </c>
      <c r="AX326">
        <f>IF($AU326="",0,IF(AND($AR326,OR(NOT(IFERROR(LOOKUP(2,1/($B$9:$B$325=$B326),$AR$9:$AR325),1)),IFERROR(LOOKUP(2,1/($B$9:$B$325=$B326),$T$9:$T325),0)=0)),ROW(),0))</f>
        <v>0</v>
      </c>
      <c r="AY326" t="str">
        <f t="shared" si="84"/>
        <v/>
      </c>
    </row>
    <row r="327" spans="1:51" ht="15" x14ac:dyDescent="0.25">
      <c r="A327" s="41" t="str">
        <f>IF(Trades!$A327="","",Trades!O327)</f>
        <v/>
      </c>
      <c r="B327" s="41" t="str">
        <f>IF(Trades!$A327="","",Trades!B327)</f>
        <v/>
      </c>
      <c r="C327" s="41" t="str">
        <f>IF(Trades!$A327="","",Trades!C327)</f>
        <v/>
      </c>
      <c r="D327" s="42" t="str">
        <f>IF(Trades!$A327="","",IF(Trades!$L327&gt;0,Trades!$L327,Trades!$C$6))</f>
        <v/>
      </c>
      <c r="E327" s="43" t="str">
        <f>IF(Trades!$A327="","",Trades!A327)</f>
        <v/>
      </c>
      <c r="F327" s="41" t="str">
        <f>IF(Trades!$A327="","",IFERROR(INDEX(Trades!$V$2:$V$14,MATCH(Trades!$E327,Trades!$U$2:$U$14,0)),""))</f>
        <v/>
      </c>
      <c r="G327" s="41" t="str">
        <f>IF(Trades!$A327="","",Trades!N327)</f>
        <v/>
      </c>
      <c r="H327" s="42" t="str">
        <f>IF(Trades!$A327="","",Trades!F327)</f>
        <v/>
      </c>
      <c r="I327" s="44" t="str">
        <f>IF(Trades!$A327="","",Trades!G327)</f>
        <v/>
      </c>
      <c r="J327" s="44" t="str">
        <f>IF(Trades!$A327="","",Trades!I327)</f>
        <v/>
      </c>
      <c r="K327" s="44" t="str">
        <f>IF(Trades!$A327="","",Trades!Q327)</f>
        <v/>
      </c>
      <c r="L327" s="42" t="str">
        <f>IF(Trades!$A327="","",Trades!F327)</f>
        <v/>
      </c>
      <c r="M327" s="44" t="str">
        <f>IF(Trades!$A327="","",Trades!M327)</f>
        <v/>
      </c>
      <c r="N327" s="44" t="str">
        <f>IF(Trades!$A327="","",Trades!R327)</f>
        <v/>
      </c>
      <c r="O327" s="44" t="str">
        <f>IF(Trades!$A327="","",Trades!J327)</f>
        <v/>
      </c>
      <c r="P327" s="43" t="str">
        <f>IF(Trades!$A327="","",Trades!H327)</f>
        <v/>
      </c>
      <c r="Q327" s="41" t="str">
        <f>IF(Trades!$A327="","",Trades!P327)</f>
        <v/>
      </c>
      <c r="R327" s="45" t="str">
        <f t="shared" si="68"/>
        <v/>
      </c>
      <c r="S327" s="45" t="str">
        <f t="shared" si="69"/>
        <v/>
      </c>
      <c r="T327" s="46" t="str">
        <f>IF(OR($A327="",$B327=""),"",IF(AND(IFERROR(LOOKUP(2,1/($B$9:$B$326=$B327),$AR$9:$AR326),1),NOT(AND(OR($F327="dividend",$F327="fee"),IFERROR(LOOKUP(2,1/($B$9:$B$326=$B327),$T$9:$T326),0)&gt;0))),IFERROR(LOOKUP(2,1/($B$9:$B$326=$B327),$T$9:$T326),0)+1,IFERROR(LOOKUP(2,1/($B$9:$B$326=$B327),$T$9:$T326),0)))</f>
        <v/>
      </c>
      <c r="U327" s="47" t="str">
        <f t="shared" si="70"/>
        <v/>
      </c>
      <c r="V327" s="47" t="str">
        <f>IF($A327="","",IF(OR($B327="",$C327="",$D327="",$E327="",$F327=""),"Missing required field",IF(COUNTIFS($A$9:$A327,$A327,$B$9:$B327,$B327)&gt;1,"Duplicate event ID",IF(AND($E327&lt;&gt;IFERROR(LOOKUP(2,1/($B$9:$B$326=$B327),$E$9:$E326),0),IFERROR(LOOKUP(2,1/($B$9:$B$326=$B327),$E$9:$E326),0)&gt;$E327),"Date out of order",IF(AND(OR($F327="buy_to_close",$F327="expire",$F327="roll",$F327="assignment",$F327="called_away"),$AF327=0),"Unknown lot",IF(OR(AND($F327="assignment",$AF327&gt;0,IF($AF327&gt;0,INDEX($AG$9:$AG$326,$AF327),"")&lt;&gt;"put"),AND($F327="called_away",$AF327&gt;0,IF($AF327&gt;0,INDEX($AG$9:$AG$326,$AF327),"")&lt;&gt;"call")),"Wrong option leg",IF(OR(AND(OR($F327="sell_put",$F327="sell_call"),OR($H327&lt;=0,$I327&lt;=0,$J327&lt;0)),AND(OR($F327="buy_to_close",$F327="expire",$F327="assignment",$F327="called_away"),OR($H327&lt;=0,$J327&lt;0)),AND($F327="roll",OR($H327&lt;=0,$I327&lt;=0,$J327&lt;0,$K327&lt;0)),AND(OR($F327="buy_shares",$F327="sell_shares"),OR($L327&lt;=0,$M327&lt;0)),AND(OR($F327="dividend",$F327="fee"),$N327&lt;0)),"Invalid value",IF(AND(OR($F327="sell_shares",$F327="called_away"),$AL327&lt;IF($F327="called_away",$AE327*$D327,$L327)),"Insufficient shares (capped)",IF(AND(OR($F327="buy_to_close",$F327="expire",$F327="roll",$F327="assignment",$F327="called_away"),$AF327&gt;0,$H327&gt;IF($AF327&gt;0,MAX(0,INDEX($AI$9:$AI$326,$AF327)-SUMIFS($AE$9:$AE$326,$G$9:$G$326,$G327,$B$9:$B$326,$B327)),0)),"Close quantity capped","OK")))))))))</f>
        <v/>
      </c>
      <c r="W327" s="48" t="str">
        <f t="shared" si="71"/>
        <v/>
      </c>
      <c r="X327" s="49" t="str">
        <f t="shared" si="72"/>
        <v/>
      </c>
      <c r="Y327" s="50" t="str">
        <f t="shared" si="73"/>
        <v/>
      </c>
      <c r="Z327" s="50" t="str">
        <f t="shared" si="74"/>
        <v/>
      </c>
      <c r="AA327" s="50" t="str">
        <f t="shared" si="75"/>
        <v/>
      </c>
      <c r="AB327" s="50" t="str">
        <f t="shared" si="76"/>
        <v/>
      </c>
      <c r="AC327" s="50" t="str">
        <f>IF($A327="","",IF($F327="assignment",IF($AF327&gt;0,INDEX($AH$9:$AH$326,$AF327),0)*$AE327*$D327,IF($F327="buy_shares",$M327*$AL327,0)))</f>
        <v/>
      </c>
      <c r="AD327" s="50" t="str">
        <f>IF($A327="","",IF($F327="called_away",IF($AF327&gt;0,INDEX($AH$9:$AH$326,$AF327),0)*$AL327,IF($F327="sell_shares",$M327*$AL327,0)))</f>
        <v/>
      </c>
      <c r="AE327" s="51" t="str">
        <f>IF($A327="","",IF(OR($F327="sell_put",$F327="sell_call"),IF(AND($H327&gt;0,$I327&gt;0,$J327&gt;=0),$H327,0),IF(OR($F327="buy_to_close",$F327="expire",$F327="roll",$F327="assignment",$F327="called_away"),IF(AND($AF327&gt;0,$H327&gt;0,IF($F327="assignment",IF($AF327&gt;0,INDEX($AG$9:$AG$326,$AF327),"")="put",TRUE),IF($F327="called_away",IF($AF327&gt;0,INDEX($AG$9:$AG$326,$AF327),"")="call",TRUE)),MIN($H327,IF($AF327&gt;0,MAX(0,INDEX($AI$9:$AI$326,$AF327)-SUMIFS($AE$9:$AE$326,$G$9:$G$326,$G327,$B$9:$B$326,$B327)),0)),0),0)))</f>
        <v/>
      </c>
      <c r="AF327" t="str">
        <f>IF($A327="","",IFERROR(MATCH(LEN($B327)&amp;":"&amp;$B327&amp;$G327,$AY$9:$AY$326,0),0))</f>
        <v/>
      </c>
      <c r="AG327" t="str">
        <f>IF($A327="","",IF($F327="sell_put","put",IF($F327="sell_call","call",IF($F327="roll",IF($AF327&gt;0,IF($AF327&gt;0,INDEX($AG$9:$AG$326,$AF327),""),""),IF($AF327&gt;0,IF($AF327&gt;0,INDEX($AG$9:$AG$326,$AF327),""),"")))))</f>
        <v/>
      </c>
      <c r="AH327" t="str">
        <f>IF($A327="","",IF(OR($F327="sell_put",$F327="sell_call",$F327="roll"),$I327,IF($AF327&gt;0,IF($AF327&gt;0,INDEX($AH$9:$AH$326,$AF327),0),0)))</f>
        <v/>
      </c>
      <c r="AI327" s="51" t="str">
        <f t="shared" si="77"/>
        <v/>
      </c>
      <c r="AJ327" s="51" t="str">
        <f>IF($A327="","",IFERROR(LOOKUP(2,1/($B$9:$B$326=$B327),$AM$9:$AM326),0))</f>
        <v/>
      </c>
      <c r="AK327" t="str">
        <f>IF($A327="","",IFERROR(LOOKUP(2,1/($B$9:$B$326=$B327),$AN$9:$AN326),0))</f>
        <v/>
      </c>
      <c r="AL327" s="51" t="str">
        <f t="shared" si="78"/>
        <v/>
      </c>
      <c r="AM327" s="51" t="str">
        <f t="shared" si="79"/>
        <v/>
      </c>
      <c r="AN327" t="str">
        <f t="shared" si="80"/>
        <v/>
      </c>
      <c r="AO327" s="50" t="str">
        <f>IF($A327="","",IFERROR(LOOKUP(2,1/($B$9:$B$326=$B327),$AO$9:$AO326),0)+IF($F327="sell_put",$I327*$AE327*$D327,IF($F327="roll",IF($AG327="put",($I327-IF($AF327&gt;0,INDEX($AH$9:$AH$326,$AF327),0))*$AE327*$D327,0),IF(AND(OR($F327="buy_to_close",$F327="expire",$F327="roll",$F327="assignment",$F327="called_away"),$F327&lt;&gt;"roll",$AG327="put"),-IF($AF327&gt;0,INDEX($AH$9:$AH$326,$AF327),0)*$AE327*$D327,0))))</f>
        <v/>
      </c>
      <c r="AP327" s="51" t="str">
        <f>IF($A327="","",IFERROR(LOOKUP(2,1/($B$9:$B$326=$B327),$AP$9:$AP326),0)+IF($F327="sell_put",$AE327*$D327,IF(AND(OR($F327="buy_to_close",$F327="expire",$F327="roll",$F327="assignment",$F327="called_away"),$F327&lt;&gt;"roll",$AG327="put"),-$AE327*$D327,0)))</f>
        <v/>
      </c>
      <c r="AQ327" s="51" t="str">
        <f>IF($A327="","",IFERROR(LOOKUP(2,1/($B$9:$B$326=$B327),$AQ$9:$AQ326),0)+IF(OR($F327="sell_put",$F327="sell_call"),$AE327,0)-IF(AND(OR($F327="buy_to_close",$F327="expire",$F327="roll",$F327="assignment",$F327="called_away"),$F327&lt;&gt;"roll"),$AE327,0))</f>
        <v/>
      </c>
      <c r="AR327" t="str">
        <f t="shared" si="81"/>
        <v/>
      </c>
      <c r="AS327" s="50" t="str">
        <f t="shared" si="82"/>
        <v/>
      </c>
      <c r="AT327" s="50" t="str">
        <f>IF($A327="","",MAX(IF($T327=IFERROR(LOOKUP(2,1/($B$9:$B$326=$B327),$T$9:$T326),0),IFERROR(LOOKUP(2,1/($B$9:$B$326=$B327),$AT$9:$AT326),0),0),$AS327))</f>
        <v/>
      </c>
      <c r="AU327" t="str">
        <f t="shared" si="83"/>
        <v/>
      </c>
      <c r="AV327" s="51">
        <f>IF($AU327="",0,IF(AND(IFERROR(LOOKUP(2,1/($B$9:$B$326=$B327),$AR$9:$AR326),1),NOT(AND(OR($F327="dividend",$F327="fee"),IFERROR(LOOKUP(2,1/($B$9:$B$326=$B327),$T$9:$T326),0)&gt;0))),ROW(),0))</f>
        <v>0</v>
      </c>
      <c r="AW327">
        <f>IF($A327="",0,IF($AV327&gt;0,MAX($AW$9:$AW$326)+1,MAX($AW$9:$AW$326)))</f>
        <v>0</v>
      </c>
      <c r="AX327">
        <f>IF($AU327="",0,IF(AND($AR327,OR(NOT(IFERROR(LOOKUP(2,1/($B$9:$B$326=$B327),$AR$9:$AR326),1)),IFERROR(LOOKUP(2,1/($B$9:$B$326=$B327),$T$9:$T326),0)=0)),ROW(),0))</f>
        <v>0</v>
      </c>
      <c r="AY327" t="str">
        <f t="shared" si="84"/>
        <v/>
      </c>
    </row>
    <row r="328" spans="1:51" ht="15" x14ac:dyDescent="0.25">
      <c r="A328" s="52" t="str">
        <f>IF(Trades!$A328="","",Trades!O328)</f>
        <v/>
      </c>
      <c r="B328" s="52" t="str">
        <f>IF(Trades!$A328="","",Trades!B328)</f>
        <v/>
      </c>
      <c r="C328" s="52" t="str">
        <f>IF(Trades!$A328="","",Trades!C328)</f>
        <v/>
      </c>
      <c r="D328" s="53" t="str">
        <f>IF(Trades!$A328="","",IF(Trades!$L328&gt;0,Trades!$L328,Trades!$C$6))</f>
        <v/>
      </c>
      <c r="E328" s="54" t="str">
        <f>IF(Trades!$A328="","",Trades!A328)</f>
        <v/>
      </c>
      <c r="F328" s="52" t="str">
        <f>IF(Trades!$A328="","",IFERROR(INDEX(Trades!$V$2:$V$14,MATCH(Trades!$E328,Trades!$U$2:$U$14,0)),""))</f>
        <v/>
      </c>
      <c r="G328" s="52" t="str">
        <f>IF(Trades!$A328="","",Trades!N328)</f>
        <v/>
      </c>
      <c r="H328" s="53" t="str">
        <f>IF(Trades!$A328="","",Trades!F328)</f>
        <v/>
      </c>
      <c r="I328" s="55" t="str">
        <f>IF(Trades!$A328="","",Trades!G328)</f>
        <v/>
      </c>
      <c r="J328" s="55" t="str">
        <f>IF(Trades!$A328="","",Trades!I328)</f>
        <v/>
      </c>
      <c r="K328" s="55" t="str">
        <f>IF(Trades!$A328="","",Trades!Q328)</f>
        <v/>
      </c>
      <c r="L328" s="53" t="str">
        <f>IF(Trades!$A328="","",Trades!F328)</f>
        <v/>
      </c>
      <c r="M328" s="55" t="str">
        <f>IF(Trades!$A328="","",Trades!M328)</f>
        <v/>
      </c>
      <c r="N328" s="55" t="str">
        <f>IF(Trades!$A328="","",Trades!R328)</f>
        <v/>
      </c>
      <c r="O328" s="55" t="str">
        <f>IF(Trades!$A328="","",Trades!J328)</f>
        <v/>
      </c>
      <c r="P328" s="54" t="str">
        <f>IF(Trades!$A328="","",Trades!H328)</f>
        <v/>
      </c>
      <c r="Q328" s="52" t="str">
        <f>IF(Trades!$A328="","",Trades!P328)</f>
        <v/>
      </c>
      <c r="R328" s="56" t="str">
        <f t="shared" si="68"/>
        <v/>
      </c>
      <c r="S328" s="56" t="str">
        <f t="shared" si="69"/>
        <v/>
      </c>
      <c r="T328" s="57" t="str">
        <f>IF(OR($A328="",$B328=""),"",IF(AND(IFERROR(LOOKUP(2,1/($B$9:$B$327=$B328),$AR$9:$AR327),1),NOT(AND(OR($F328="dividend",$F328="fee"),IFERROR(LOOKUP(2,1/($B$9:$B$327=$B328),$T$9:$T327),0)&gt;0))),IFERROR(LOOKUP(2,1/($B$9:$B$327=$B328),$T$9:$T327),0)+1,IFERROR(LOOKUP(2,1/($B$9:$B$327=$B328),$T$9:$T327),0)))</f>
        <v/>
      </c>
      <c r="U328" s="58" t="str">
        <f t="shared" si="70"/>
        <v/>
      </c>
      <c r="V328" s="58" t="str">
        <f>IF($A328="","",IF(OR($B328="",$C328="",$D328="",$E328="",$F328=""),"Missing required field",IF(COUNTIFS($A$9:$A328,$A328,$B$9:$B328,$B328)&gt;1,"Duplicate event ID",IF(AND($E328&lt;&gt;IFERROR(LOOKUP(2,1/($B$9:$B$327=$B328),$E$9:$E327),0),IFERROR(LOOKUP(2,1/($B$9:$B$327=$B328),$E$9:$E327),0)&gt;$E328),"Date out of order",IF(AND(OR($F328="buy_to_close",$F328="expire",$F328="roll",$F328="assignment",$F328="called_away"),$AF328=0),"Unknown lot",IF(OR(AND($F328="assignment",$AF328&gt;0,IF($AF328&gt;0,INDEX($AG$9:$AG$327,$AF328),"")&lt;&gt;"put"),AND($F328="called_away",$AF328&gt;0,IF($AF328&gt;0,INDEX($AG$9:$AG$327,$AF328),"")&lt;&gt;"call")),"Wrong option leg",IF(OR(AND(OR($F328="sell_put",$F328="sell_call"),OR($H328&lt;=0,$I328&lt;=0,$J328&lt;0)),AND(OR($F328="buy_to_close",$F328="expire",$F328="assignment",$F328="called_away"),OR($H328&lt;=0,$J328&lt;0)),AND($F328="roll",OR($H328&lt;=0,$I328&lt;=0,$J328&lt;0,$K328&lt;0)),AND(OR($F328="buy_shares",$F328="sell_shares"),OR($L328&lt;=0,$M328&lt;0)),AND(OR($F328="dividend",$F328="fee"),$N328&lt;0)),"Invalid value",IF(AND(OR($F328="sell_shares",$F328="called_away"),$AL328&lt;IF($F328="called_away",$AE328*$D328,$L328)),"Insufficient shares (capped)",IF(AND(OR($F328="buy_to_close",$F328="expire",$F328="roll",$F328="assignment",$F328="called_away"),$AF328&gt;0,$H328&gt;IF($AF328&gt;0,MAX(0,INDEX($AI$9:$AI$327,$AF328)-SUMIFS($AE$9:$AE$327,$G$9:$G$327,$G328,$B$9:$B$327,$B328)),0)),"Close quantity capped","OK")))))))))</f>
        <v/>
      </c>
      <c r="W328" s="59" t="str">
        <f t="shared" si="71"/>
        <v/>
      </c>
      <c r="X328" s="60" t="str">
        <f t="shared" si="72"/>
        <v/>
      </c>
      <c r="Y328" s="50" t="str">
        <f t="shared" si="73"/>
        <v/>
      </c>
      <c r="Z328" s="50" t="str">
        <f t="shared" si="74"/>
        <v/>
      </c>
      <c r="AA328" s="50" t="str">
        <f t="shared" si="75"/>
        <v/>
      </c>
      <c r="AB328" s="50" t="str">
        <f t="shared" si="76"/>
        <v/>
      </c>
      <c r="AC328" s="50" t="str">
        <f>IF($A328="","",IF($F328="assignment",IF($AF328&gt;0,INDEX($AH$9:$AH$327,$AF328),0)*$AE328*$D328,IF($F328="buy_shares",$M328*$AL328,0)))</f>
        <v/>
      </c>
      <c r="AD328" s="50" t="str">
        <f>IF($A328="","",IF($F328="called_away",IF($AF328&gt;0,INDEX($AH$9:$AH$327,$AF328),0)*$AL328,IF($F328="sell_shares",$M328*$AL328,0)))</f>
        <v/>
      </c>
      <c r="AE328" s="51" t="str">
        <f>IF($A328="","",IF(OR($F328="sell_put",$F328="sell_call"),IF(AND($H328&gt;0,$I328&gt;0,$J328&gt;=0),$H328,0),IF(OR($F328="buy_to_close",$F328="expire",$F328="roll",$F328="assignment",$F328="called_away"),IF(AND($AF328&gt;0,$H328&gt;0,IF($F328="assignment",IF($AF328&gt;0,INDEX($AG$9:$AG$327,$AF328),"")="put",TRUE),IF($F328="called_away",IF($AF328&gt;0,INDEX($AG$9:$AG$327,$AF328),"")="call",TRUE)),MIN($H328,IF($AF328&gt;0,MAX(0,INDEX($AI$9:$AI$327,$AF328)-SUMIFS($AE$9:$AE$327,$G$9:$G$327,$G328,$B$9:$B$327,$B328)),0)),0),0)))</f>
        <v/>
      </c>
      <c r="AF328" t="str">
        <f>IF($A328="","",IFERROR(MATCH(LEN($B328)&amp;":"&amp;$B328&amp;$G328,$AY$9:$AY$327,0),0))</f>
        <v/>
      </c>
      <c r="AG328" t="str">
        <f>IF($A328="","",IF($F328="sell_put","put",IF($F328="sell_call","call",IF($F328="roll",IF($AF328&gt;0,IF($AF328&gt;0,INDEX($AG$9:$AG$327,$AF328),""),""),IF($AF328&gt;0,IF($AF328&gt;0,INDEX($AG$9:$AG$327,$AF328),""),"")))))</f>
        <v/>
      </c>
      <c r="AH328" t="str">
        <f>IF($A328="","",IF(OR($F328="sell_put",$F328="sell_call",$F328="roll"),$I328,IF($AF328&gt;0,IF($AF328&gt;0,INDEX($AH$9:$AH$327,$AF328),0),0)))</f>
        <v/>
      </c>
      <c r="AI328" s="51" t="str">
        <f t="shared" si="77"/>
        <v/>
      </c>
      <c r="AJ328" s="51" t="str">
        <f>IF($A328="","",IFERROR(LOOKUP(2,1/($B$9:$B$327=$B328),$AM$9:$AM327),0))</f>
        <v/>
      </c>
      <c r="AK328" t="str">
        <f>IF($A328="","",IFERROR(LOOKUP(2,1/($B$9:$B$327=$B328),$AN$9:$AN327),0))</f>
        <v/>
      </c>
      <c r="AL328" s="51" t="str">
        <f t="shared" si="78"/>
        <v/>
      </c>
      <c r="AM328" s="51" t="str">
        <f t="shared" si="79"/>
        <v/>
      </c>
      <c r="AN328" t="str">
        <f t="shared" si="80"/>
        <v/>
      </c>
      <c r="AO328" s="50" t="str">
        <f>IF($A328="","",IFERROR(LOOKUP(2,1/($B$9:$B$327=$B328),$AO$9:$AO327),0)+IF($F328="sell_put",$I328*$AE328*$D328,IF($F328="roll",IF($AG328="put",($I328-IF($AF328&gt;0,INDEX($AH$9:$AH$327,$AF328),0))*$AE328*$D328,0),IF(AND(OR($F328="buy_to_close",$F328="expire",$F328="roll",$F328="assignment",$F328="called_away"),$F328&lt;&gt;"roll",$AG328="put"),-IF($AF328&gt;0,INDEX($AH$9:$AH$327,$AF328),0)*$AE328*$D328,0))))</f>
        <v/>
      </c>
      <c r="AP328" s="51" t="str">
        <f>IF($A328="","",IFERROR(LOOKUP(2,1/($B$9:$B$327=$B328),$AP$9:$AP327),0)+IF($F328="sell_put",$AE328*$D328,IF(AND(OR($F328="buy_to_close",$F328="expire",$F328="roll",$F328="assignment",$F328="called_away"),$F328&lt;&gt;"roll",$AG328="put"),-$AE328*$D328,0)))</f>
        <v/>
      </c>
      <c r="AQ328" s="51" t="str">
        <f>IF($A328="","",IFERROR(LOOKUP(2,1/($B$9:$B$327=$B328),$AQ$9:$AQ327),0)+IF(OR($F328="sell_put",$F328="sell_call"),$AE328,0)-IF(AND(OR($F328="buy_to_close",$F328="expire",$F328="roll",$F328="assignment",$F328="called_away"),$F328&lt;&gt;"roll"),$AE328,0))</f>
        <v/>
      </c>
      <c r="AR328" t="str">
        <f t="shared" si="81"/>
        <v/>
      </c>
      <c r="AS328" s="50" t="str">
        <f t="shared" si="82"/>
        <v/>
      </c>
      <c r="AT328" s="50" t="str">
        <f>IF($A328="","",MAX(IF($T328=IFERROR(LOOKUP(2,1/($B$9:$B$327=$B328),$T$9:$T327),0),IFERROR(LOOKUP(2,1/($B$9:$B$327=$B328),$AT$9:$AT327),0),0),$AS328))</f>
        <v/>
      </c>
      <c r="AU328" t="str">
        <f t="shared" si="83"/>
        <v/>
      </c>
      <c r="AV328" s="51">
        <f>IF($AU328="",0,IF(AND(IFERROR(LOOKUP(2,1/($B$9:$B$327=$B328),$AR$9:$AR327),1),NOT(AND(OR($F328="dividend",$F328="fee"),IFERROR(LOOKUP(2,1/($B$9:$B$327=$B328),$T$9:$T327),0)&gt;0))),ROW(),0))</f>
        <v>0</v>
      </c>
      <c r="AW328">
        <f>IF($A328="",0,IF($AV328&gt;0,MAX($AW$9:$AW$327)+1,MAX($AW$9:$AW$327)))</f>
        <v>0</v>
      </c>
      <c r="AX328">
        <f>IF($AU328="",0,IF(AND($AR328,OR(NOT(IFERROR(LOOKUP(2,1/($B$9:$B$327=$B328),$AR$9:$AR327),1)),IFERROR(LOOKUP(2,1/($B$9:$B$327=$B328),$T$9:$T327),0)=0)),ROW(),0))</f>
        <v>0</v>
      </c>
      <c r="AY328" t="str">
        <f t="shared" si="84"/>
        <v/>
      </c>
    </row>
    <row r="329" spans="1:51" ht="15" x14ac:dyDescent="0.25">
      <c r="A329" s="41" t="str">
        <f>IF(Trades!$A329="","",Trades!O329)</f>
        <v/>
      </c>
      <c r="B329" s="41" t="str">
        <f>IF(Trades!$A329="","",Trades!B329)</f>
        <v/>
      </c>
      <c r="C329" s="41" t="str">
        <f>IF(Trades!$A329="","",Trades!C329)</f>
        <v/>
      </c>
      <c r="D329" s="42" t="str">
        <f>IF(Trades!$A329="","",IF(Trades!$L329&gt;0,Trades!$L329,Trades!$C$6))</f>
        <v/>
      </c>
      <c r="E329" s="43" t="str">
        <f>IF(Trades!$A329="","",Trades!A329)</f>
        <v/>
      </c>
      <c r="F329" s="41" t="str">
        <f>IF(Trades!$A329="","",IFERROR(INDEX(Trades!$V$2:$V$14,MATCH(Trades!$E329,Trades!$U$2:$U$14,0)),""))</f>
        <v/>
      </c>
      <c r="G329" s="41" t="str">
        <f>IF(Trades!$A329="","",Trades!N329)</f>
        <v/>
      </c>
      <c r="H329" s="42" t="str">
        <f>IF(Trades!$A329="","",Trades!F329)</f>
        <v/>
      </c>
      <c r="I329" s="44" t="str">
        <f>IF(Trades!$A329="","",Trades!G329)</f>
        <v/>
      </c>
      <c r="J329" s="44" t="str">
        <f>IF(Trades!$A329="","",Trades!I329)</f>
        <v/>
      </c>
      <c r="K329" s="44" t="str">
        <f>IF(Trades!$A329="","",Trades!Q329)</f>
        <v/>
      </c>
      <c r="L329" s="42" t="str">
        <f>IF(Trades!$A329="","",Trades!F329)</f>
        <v/>
      </c>
      <c r="M329" s="44" t="str">
        <f>IF(Trades!$A329="","",Trades!M329)</f>
        <v/>
      </c>
      <c r="N329" s="44" t="str">
        <f>IF(Trades!$A329="","",Trades!R329)</f>
        <v/>
      </c>
      <c r="O329" s="44" t="str">
        <f>IF(Trades!$A329="","",Trades!J329)</f>
        <v/>
      </c>
      <c r="P329" s="43" t="str">
        <f>IF(Trades!$A329="","",Trades!H329)</f>
        <v/>
      </c>
      <c r="Q329" s="41" t="str">
        <f>IF(Trades!$A329="","",Trades!P329)</f>
        <v/>
      </c>
      <c r="R329" s="45" t="str">
        <f t="shared" ref="R329:R392" si="85">IF($A329="","",$Y329-$Z329)</f>
        <v/>
      </c>
      <c r="S329" s="45" t="str">
        <f t="shared" ref="S329:S392" si="86">IF($A329="","",$R329+$AA329-$AB329-$AC329+$AD329)</f>
        <v/>
      </c>
      <c r="T329" s="46" t="str">
        <f>IF(OR($A329="",$B329=""),"",IF(AND(IFERROR(LOOKUP(2,1/($B$9:$B$328=$B329),$AR$9:$AR328),1),NOT(AND(OR($F329="dividend",$F329="fee"),IFERROR(LOOKUP(2,1/($B$9:$B$328=$B329),$T$9:$T328),0)&gt;0))),IFERROR(LOOKUP(2,1/($B$9:$B$328=$B329),$T$9:$T328),0)+1,IFERROR(LOOKUP(2,1/($B$9:$B$328=$B329),$T$9:$T328),0)))</f>
        <v/>
      </c>
      <c r="U329" s="47" t="str">
        <f t="shared" ref="U329:U392" si="87">IF($A329="","",IF($AR329,"Flat / cycle closed",IF($AM329&gt;0,"Shares held","Short option open")))</f>
        <v/>
      </c>
      <c r="V329" s="47" t="str">
        <f>IF($A329="","",IF(OR($B329="",$C329="",$D329="",$E329="",$F329=""),"Missing required field",IF(COUNTIFS($A$9:$A329,$A329,$B$9:$B329,$B329)&gt;1,"Duplicate event ID",IF(AND($E329&lt;&gt;IFERROR(LOOKUP(2,1/($B$9:$B$328=$B329),$E$9:$E328),0),IFERROR(LOOKUP(2,1/($B$9:$B$328=$B329),$E$9:$E328),0)&gt;$E329),"Date out of order",IF(AND(OR($F329="buy_to_close",$F329="expire",$F329="roll",$F329="assignment",$F329="called_away"),$AF329=0),"Unknown lot",IF(OR(AND($F329="assignment",$AF329&gt;0,IF($AF329&gt;0,INDEX($AG$9:$AG$328,$AF329),"")&lt;&gt;"put"),AND($F329="called_away",$AF329&gt;0,IF($AF329&gt;0,INDEX($AG$9:$AG$328,$AF329),"")&lt;&gt;"call")),"Wrong option leg",IF(OR(AND(OR($F329="sell_put",$F329="sell_call"),OR($H329&lt;=0,$I329&lt;=0,$J329&lt;0)),AND(OR($F329="buy_to_close",$F329="expire",$F329="assignment",$F329="called_away"),OR($H329&lt;=0,$J329&lt;0)),AND($F329="roll",OR($H329&lt;=0,$I329&lt;=0,$J329&lt;0,$K329&lt;0)),AND(OR($F329="buy_shares",$F329="sell_shares"),OR($L329&lt;=0,$M329&lt;0)),AND(OR($F329="dividend",$F329="fee"),$N329&lt;0)),"Invalid value",IF(AND(OR($F329="sell_shares",$F329="called_away"),$AL329&lt;IF($F329="called_away",$AE329*$D329,$L329)),"Insufficient shares (capped)",IF(AND(OR($F329="buy_to_close",$F329="expire",$F329="roll",$F329="assignment",$F329="called_away"),$AF329&gt;0,$H329&gt;IF($AF329&gt;0,MAX(0,INDEX($AI$9:$AI$328,$AF329)-SUMIFS($AE$9:$AE$328,$G$9:$G$328,$G329,$B$9:$B$328,$B329)),0)),"Close quantity capped","OK")))))))))</f>
        <v/>
      </c>
      <c r="W329" s="48" t="str">
        <f t="shared" ref="W329:W392" si="88">IF($A329="","",$AM329)</f>
        <v/>
      </c>
      <c r="X329" s="49" t="str">
        <f t="shared" ref="X329:X392" si="89">IF($A329="","",$AS329)</f>
        <v/>
      </c>
      <c r="Y329" s="50" t="str">
        <f t="shared" ref="Y329:Y392" si="90">IF($A329="","",IF(OR($F329="sell_put",$F329="sell_call"),$J329*$AE329*$D329,IF($F329="roll",$J329*$AE329*$D329,0)))</f>
        <v/>
      </c>
      <c r="Z329" s="50" t="str">
        <f t="shared" ref="Z329:Z392" si="91">IF($A329="","",IF($F329="buy_to_close",$J329*$AE329*$D329,IF($F329="roll",$K329*$AE329*$D329,0)))</f>
        <v/>
      </c>
      <c r="AA329" s="50" t="str">
        <f t="shared" ref="AA329:AA392" si="92">IF($A329="","",IF(AND($F329="dividend",$N329&gt;=0),$N329,0))</f>
        <v/>
      </c>
      <c r="AB329" s="50" t="str">
        <f t="shared" ref="AB329:AB392" si="93">IF($A329="","",IF($O329&gt;=0,$O329,0)+IF(AND($F329="fee",$N329&gt;=0),$N329,0))</f>
        <v/>
      </c>
      <c r="AC329" s="50" t="str">
        <f>IF($A329="","",IF($F329="assignment",IF($AF329&gt;0,INDEX($AH$9:$AH$328,$AF329),0)*$AE329*$D329,IF($F329="buy_shares",$M329*$AL329,0)))</f>
        <v/>
      </c>
      <c r="AD329" s="50" t="str">
        <f>IF($A329="","",IF($F329="called_away",IF($AF329&gt;0,INDEX($AH$9:$AH$328,$AF329),0)*$AL329,IF($F329="sell_shares",$M329*$AL329,0)))</f>
        <v/>
      </c>
      <c r="AE329" s="51" t="str">
        <f>IF($A329="","",IF(OR($F329="sell_put",$F329="sell_call"),IF(AND($H329&gt;0,$I329&gt;0,$J329&gt;=0),$H329,0),IF(OR($F329="buy_to_close",$F329="expire",$F329="roll",$F329="assignment",$F329="called_away"),IF(AND($AF329&gt;0,$H329&gt;0,IF($F329="assignment",IF($AF329&gt;0,INDEX($AG$9:$AG$328,$AF329),"")="put",TRUE),IF($F329="called_away",IF($AF329&gt;0,INDEX($AG$9:$AG$328,$AF329),"")="call",TRUE)),MIN($H329,IF($AF329&gt;0,MAX(0,INDEX($AI$9:$AI$328,$AF329)-SUMIFS($AE$9:$AE$328,$G$9:$G$328,$G329,$B$9:$B$328,$B329)),0)),0),0)))</f>
        <v/>
      </c>
      <c r="AF329" t="str">
        <f>IF($A329="","",IFERROR(MATCH(LEN($B329)&amp;":"&amp;$B329&amp;$G329,$AY$9:$AY$328,0),0))</f>
        <v/>
      </c>
      <c r="AG329" t="str">
        <f>IF($A329="","",IF($F329="sell_put","put",IF($F329="sell_call","call",IF($F329="roll",IF($AF329&gt;0,IF($AF329&gt;0,INDEX($AG$9:$AG$328,$AF329),""),""),IF($AF329&gt;0,IF($AF329&gt;0,INDEX($AG$9:$AG$328,$AF329),""),"")))))</f>
        <v/>
      </c>
      <c r="AH329" t="str">
        <f>IF($A329="","",IF(OR($F329="sell_put",$F329="sell_call",$F329="roll"),$I329,IF($AF329&gt;0,IF($AF329&gt;0,INDEX($AH$9:$AH$328,$AF329),0),0)))</f>
        <v/>
      </c>
      <c r="AI329" s="51" t="str">
        <f t="shared" ref="AI329:AI392" si="94">IF($A329="","",IF(OR($F329="sell_put",$F329="sell_call"),IF(AND($H329&gt;0,$I329&gt;0,$J329&gt;=0),$H329,0),IF($F329="roll",$AE329,0)))</f>
        <v/>
      </c>
      <c r="AJ329" s="51" t="str">
        <f>IF($A329="","",IFERROR(LOOKUP(2,1/($B$9:$B$328=$B329),$AM$9:$AM328),0))</f>
        <v/>
      </c>
      <c r="AK329" t="str">
        <f>IF($A329="","",IFERROR(LOOKUP(2,1/($B$9:$B$328=$B329),$AN$9:$AN328),0))</f>
        <v/>
      </c>
      <c r="AL329" s="51" t="str">
        <f t="shared" ref="AL329:AL392" si="95">IF($A329="","",IF($F329="assignment",$AE329*$D329,IF($F329="called_away",MIN(MAX(0,$AE329*$D329),MAX(0,$AJ329)),IF($F329="buy_shares",IF(AND($L329&gt;0,$M329&gt;=0),$L329,0),IF($F329="sell_shares",IF(AND($L329&gt;0,$M329&gt;=0),MIN($L329,MAX(0,$AJ329)),0),0)))))</f>
        <v/>
      </c>
      <c r="AM329" s="51" t="str">
        <f t="shared" ref="AM329:AM392" si="96">IF($A329="","",MAX(0,$AJ329+IF(OR($F329="assignment",$F329="buy_shares"),$AL329,-$AL329)))</f>
        <v/>
      </c>
      <c r="AN329" t="str">
        <f t="shared" ref="AN329:AN392" si="97">IF($A329="","",IF($AM329&lt;=0.000000001,0,MAX(0,$AK329+$AC329-IF(OR($F329="called_away",$F329="sell_shares"),IF($AJ329&gt;0,$AK329/$AJ329*$AL329,0),0))))</f>
        <v/>
      </c>
      <c r="AO329" s="50" t="str">
        <f>IF($A329="","",IFERROR(LOOKUP(2,1/($B$9:$B$328=$B329),$AO$9:$AO328),0)+IF($F329="sell_put",$I329*$AE329*$D329,IF($F329="roll",IF($AG329="put",($I329-IF($AF329&gt;0,INDEX($AH$9:$AH$328,$AF329),0))*$AE329*$D329,0),IF(AND(OR($F329="buy_to_close",$F329="expire",$F329="roll",$F329="assignment",$F329="called_away"),$F329&lt;&gt;"roll",$AG329="put"),-IF($AF329&gt;0,INDEX($AH$9:$AH$328,$AF329),0)*$AE329*$D329,0))))</f>
        <v/>
      </c>
      <c r="AP329" s="51" t="str">
        <f>IF($A329="","",IFERROR(LOOKUP(2,1/($B$9:$B$328=$B329),$AP$9:$AP328),0)+IF($F329="sell_put",$AE329*$D329,IF(AND(OR($F329="buy_to_close",$F329="expire",$F329="roll",$F329="assignment",$F329="called_away"),$F329&lt;&gt;"roll",$AG329="put"),-$AE329*$D329,0)))</f>
        <v/>
      </c>
      <c r="AQ329" s="51" t="str">
        <f>IF($A329="","",IFERROR(LOOKUP(2,1/($B$9:$B$328=$B329),$AQ$9:$AQ328),0)+IF(OR($F329="sell_put",$F329="sell_call"),$AE329,0)-IF(AND(OR($F329="buy_to_close",$F329="expire",$F329="roll",$F329="assignment",$F329="called_away"),$F329&lt;&gt;"roll"),$AE329,0))</f>
        <v/>
      </c>
      <c r="AR329" t="str">
        <f t="shared" ref="AR329:AR392" si="98">IF($A329="","",AND($AM329&lt;=0.000000001,$AQ329&lt;=0.000000001))</f>
        <v/>
      </c>
      <c r="AS329" s="50" t="str">
        <f t="shared" ref="AS329:AS392" si="99">IF($A329="","",$AO329+$AN329)</f>
        <v/>
      </c>
      <c r="AT329" s="50" t="str">
        <f>IF($A329="","",MAX(IF($T329=IFERROR(LOOKUP(2,1/($B$9:$B$328=$B329),$T$9:$T328),0),IFERROR(LOOKUP(2,1/($B$9:$B$328=$B329),$AT$9:$AT328),0),0),$AS329))</f>
        <v/>
      </c>
      <c r="AU329" t="str">
        <f t="shared" ref="AU329:AU392" si="100">IF(OR($A329="",$B329="",$T329=""),"",$B329&amp;"¦"&amp;$T329)</f>
        <v/>
      </c>
      <c r="AV329" s="51">
        <f>IF($AU329="",0,IF(AND(IFERROR(LOOKUP(2,1/($B$9:$B$328=$B329),$AR$9:$AR328),1),NOT(AND(OR($F329="dividend",$F329="fee"),IFERROR(LOOKUP(2,1/($B$9:$B$328=$B329),$T$9:$T328),0)&gt;0))),ROW(),0))</f>
        <v>0</v>
      </c>
      <c r="AW329">
        <f>IF($A329="",0,IF($AV329&gt;0,MAX($AW$9:$AW$328)+1,MAX($AW$9:$AW$328)))</f>
        <v>0</v>
      </c>
      <c r="AX329">
        <f>IF($AU329="",0,IF(AND($AR329,OR(NOT(IFERROR(LOOKUP(2,1/($B$9:$B$328=$B329),$AR$9:$AR328),1)),IFERROR(LOOKUP(2,1/($B$9:$B$328=$B329),$T$9:$T328),0)=0)),ROW(),0))</f>
        <v>0</v>
      </c>
      <c r="AY329" t="str">
        <f t="shared" ref="AY329:AY392" si="101">IF(OR($A329="",$B329=""),"",LEN($B329)&amp;":"&amp;$B329&amp;$A329)</f>
        <v/>
      </c>
    </row>
    <row r="330" spans="1:51" ht="15" x14ac:dyDescent="0.25">
      <c r="A330" s="52" t="str">
        <f>IF(Trades!$A330="","",Trades!O330)</f>
        <v/>
      </c>
      <c r="B330" s="52" t="str">
        <f>IF(Trades!$A330="","",Trades!B330)</f>
        <v/>
      </c>
      <c r="C330" s="52" t="str">
        <f>IF(Trades!$A330="","",Trades!C330)</f>
        <v/>
      </c>
      <c r="D330" s="53" t="str">
        <f>IF(Trades!$A330="","",IF(Trades!$L330&gt;0,Trades!$L330,Trades!$C$6))</f>
        <v/>
      </c>
      <c r="E330" s="54" t="str">
        <f>IF(Trades!$A330="","",Trades!A330)</f>
        <v/>
      </c>
      <c r="F330" s="52" t="str">
        <f>IF(Trades!$A330="","",IFERROR(INDEX(Trades!$V$2:$V$14,MATCH(Trades!$E330,Trades!$U$2:$U$14,0)),""))</f>
        <v/>
      </c>
      <c r="G330" s="52" t="str">
        <f>IF(Trades!$A330="","",Trades!N330)</f>
        <v/>
      </c>
      <c r="H330" s="53" t="str">
        <f>IF(Trades!$A330="","",Trades!F330)</f>
        <v/>
      </c>
      <c r="I330" s="55" t="str">
        <f>IF(Trades!$A330="","",Trades!G330)</f>
        <v/>
      </c>
      <c r="J330" s="55" t="str">
        <f>IF(Trades!$A330="","",Trades!I330)</f>
        <v/>
      </c>
      <c r="K330" s="55" t="str">
        <f>IF(Trades!$A330="","",Trades!Q330)</f>
        <v/>
      </c>
      <c r="L330" s="53" t="str">
        <f>IF(Trades!$A330="","",Trades!F330)</f>
        <v/>
      </c>
      <c r="M330" s="55" t="str">
        <f>IF(Trades!$A330="","",Trades!M330)</f>
        <v/>
      </c>
      <c r="N330" s="55" t="str">
        <f>IF(Trades!$A330="","",Trades!R330)</f>
        <v/>
      </c>
      <c r="O330" s="55" t="str">
        <f>IF(Trades!$A330="","",Trades!J330)</f>
        <v/>
      </c>
      <c r="P330" s="54" t="str">
        <f>IF(Trades!$A330="","",Trades!H330)</f>
        <v/>
      </c>
      <c r="Q330" s="52" t="str">
        <f>IF(Trades!$A330="","",Trades!P330)</f>
        <v/>
      </c>
      <c r="R330" s="56" t="str">
        <f t="shared" si="85"/>
        <v/>
      </c>
      <c r="S330" s="56" t="str">
        <f t="shared" si="86"/>
        <v/>
      </c>
      <c r="T330" s="57" t="str">
        <f>IF(OR($A330="",$B330=""),"",IF(AND(IFERROR(LOOKUP(2,1/($B$9:$B$329=$B330),$AR$9:$AR329),1),NOT(AND(OR($F330="dividend",$F330="fee"),IFERROR(LOOKUP(2,1/($B$9:$B$329=$B330),$T$9:$T329),0)&gt;0))),IFERROR(LOOKUP(2,1/($B$9:$B$329=$B330),$T$9:$T329),0)+1,IFERROR(LOOKUP(2,1/($B$9:$B$329=$B330),$T$9:$T329),0)))</f>
        <v/>
      </c>
      <c r="U330" s="58" t="str">
        <f t="shared" si="87"/>
        <v/>
      </c>
      <c r="V330" s="58" t="str">
        <f>IF($A330="","",IF(OR($B330="",$C330="",$D330="",$E330="",$F330=""),"Missing required field",IF(COUNTIFS($A$9:$A330,$A330,$B$9:$B330,$B330)&gt;1,"Duplicate event ID",IF(AND($E330&lt;&gt;IFERROR(LOOKUP(2,1/($B$9:$B$329=$B330),$E$9:$E329),0),IFERROR(LOOKUP(2,1/($B$9:$B$329=$B330),$E$9:$E329),0)&gt;$E330),"Date out of order",IF(AND(OR($F330="buy_to_close",$F330="expire",$F330="roll",$F330="assignment",$F330="called_away"),$AF330=0),"Unknown lot",IF(OR(AND($F330="assignment",$AF330&gt;0,IF($AF330&gt;0,INDEX($AG$9:$AG$329,$AF330),"")&lt;&gt;"put"),AND($F330="called_away",$AF330&gt;0,IF($AF330&gt;0,INDEX($AG$9:$AG$329,$AF330),"")&lt;&gt;"call")),"Wrong option leg",IF(OR(AND(OR($F330="sell_put",$F330="sell_call"),OR($H330&lt;=0,$I330&lt;=0,$J330&lt;0)),AND(OR($F330="buy_to_close",$F330="expire",$F330="assignment",$F330="called_away"),OR($H330&lt;=0,$J330&lt;0)),AND($F330="roll",OR($H330&lt;=0,$I330&lt;=0,$J330&lt;0,$K330&lt;0)),AND(OR($F330="buy_shares",$F330="sell_shares"),OR($L330&lt;=0,$M330&lt;0)),AND(OR($F330="dividend",$F330="fee"),$N330&lt;0)),"Invalid value",IF(AND(OR($F330="sell_shares",$F330="called_away"),$AL330&lt;IF($F330="called_away",$AE330*$D330,$L330)),"Insufficient shares (capped)",IF(AND(OR($F330="buy_to_close",$F330="expire",$F330="roll",$F330="assignment",$F330="called_away"),$AF330&gt;0,$H330&gt;IF($AF330&gt;0,MAX(0,INDEX($AI$9:$AI$329,$AF330)-SUMIFS($AE$9:$AE$329,$G$9:$G$329,$G330,$B$9:$B$329,$B330)),0)),"Close quantity capped","OK")))))))))</f>
        <v/>
      </c>
      <c r="W330" s="59" t="str">
        <f t="shared" si="88"/>
        <v/>
      </c>
      <c r="X330" s="60" t="str">
        <f t="shared" si="89"/>
        <v/>
      </c>
      <c r="Y330" s="50" t="str">
        <f t="shared" si="90"/>
        <v/>
      </c>
      <c r="Z330" s="50" t="str">
        <f t="shared" si="91"/>
        <v/>
      </c>
      <c r="AA330" s="50" t="str">
        <f t="shared" si="92"/>
        <v/>
      </c>
      <c r="AB330" s="50" t="str">
        <f t="shared" si="93"/>
        <v/>
      </c>
      <c r="AC330" s="50" t="str">
        <f>IF($A330="","",IF($F330="assignment",IF($AF330&gt;0,INDEX($AH$9:$AH$329,$AF330),0)*$AE330*$D330,IF($F330="buy_shares",$M330*$AL330,0)))</f>
        <v/>
      </c>
      <c r="AD330" s="50" t="str">
        <f>IF($A330="","",IF($F330="called_away",IF($AF330&gt;0,INDEX($AH$9:$AH$329,$AF330),0)*$AL330,IF($F330="sell_shares",$M330*$AL330,0)))</f>
        <v/>
      </c>
      <c r="AE330" s="51" t="str">
        <f>IF($A330="","",IF(OR($F330="sell_put",$F330="sell_call"),IF(AND($H330&gt;0,$I330&gt;0,$J330&gt;=0),$H330,0),IF(OR($F330="buy_to_close",$F330="expire",$F330="roll",$F330="assignment",$F330="called_away"),IF(AND($AF330&gt;0,$H330&gt;0,IF($F330="assignment",IF($AF330&gt;0,INDEX($AG$9:$AG$329,$AF330),"")="put",TRUE),IF($F330="called_away",IF($AF330&gt;0,INDEX($AG$9:$AG$329,$AF330),"")="call",TRUE)),MIN($H330,IF($AF330&gt;0,MAX(0,INDEX($AI$9:$AI$329,$AF330)-SUMIFS($AE$9:$AE$329,$G$9:$G$329,$G330,$B$9:$B$329,$B330)),0)),0),0)))</f>
        <v/>
      </c>
      <c r="AF330" t="str">
        <f>IF($A330="","",IFERROR(MATCH(LEN($B330)&amp;":"&amp;$B330&amp;$G330,$AY$9:$AY$329,0),0))</f>
        <v/>
      </c>
      <c r="AG330" t="str">
        <f>IF($A330="","",IF($F330="sell_put","put",IF($F330="sell_call","call",IF($F330="roll",IF($AF330&gt;0,IF($AF330&gt;0,INDEX($AG$9:$AG$329,$AF330),""),""),IF($AF330&gt;0,IF($AF330&gt;0,INDEX($AG$9:$AG$329,$AF330),""),"")))))</f>
        <v/>
      </c>
      <c r="AH330" t="str">
        <f>IF($A330="","",IF(OR($F330="sell_put",$F330="sell_call",$F330="roll"),$I330,IF($AF330&gt;0,IF($AF330&gt;0,INDEX($AH$9:$AH$329,$AF330),0),0)))</f>
        <v/>
      </c>
      <c r="AI330" s="51" t="str">
        <f t="shared" si="94"/>
        <v/>
      </c>
      <c r="AJ330" s="51" t="str">
        <f>IF($A330="","",IFERROR(LOOKUP(2,1/($B$9:$B$329=$B330),$AM$9:$AM329),0))</f>
        <v/>
      </c>
      <c r="AK330" t="str">
        <f>IF($A330="","",IFERROR(LOOKUP(2,1/($B$9:$B$329=$B330),$AN$9:$AN329),0))</f>
        <v/>
      </c>
      <c r="AL330" s="51" t="str">
        <f t="shared" si="95"/>
        <v/>
      </c>
      <c r="AM330" s="51" t="str">
        <f t="shared" si="96"/>
        <v/>
      </c>
      <c r="AN330" t="str">
        <f t="shared" si="97"/>
        <v/>
      </c>
      <c r="AO330" s="50" t="str">
        <f>IF($A330="","",IFERROR(LOOKUP(2,1/($B$9:$B$329=$B330),$AO$9:$AO329),0)+IF($F330="sell_put",$I330*$AE330*$D330,IF($F330="roll",IF($AG330="put",($I330-IF($AF330&gt;0,INDEX($AH$9:$AH$329,$AF330),0))*$AE330*$D330,0),IF(AND(OR($F330="buy_to_close",$F330="expire",$F330="roll",$F330="assignment",$F330="called_away"),$F330&lt;&gt;"roll",$AG330="put"),-IF($AF330&gt;0,INDEX($AH$9:$AH$329,$AF330),0)*$AE330*$D330,0))))</f>
        <v/>
      </c>
      <c r="AP330" s="51" t="str">
        <f>IF($A330="","",IFERROR(LOOKUP(2,1/($B$9:$B$329=$B330),$AP$9:$AP329),0)+IF($F330="sell_put",$AE330*$D330,IF(AND(OR($F330="buy_to_close",$F330="expire",$F330="roll",$F330="assignment",$F330="called_away"),$F330&lt;&gt;"roll",$AG330="put"),-$AE330*$D330,0)))</f>
        <v/>
      </c>
      <c r="AQ330" s="51" t="str">
        <f>IF($A330="","",IFERROR(LOOKUP(2,1/($B$9:$B$329=$B330),$AQ$9:$AQ329),0)+IF(OR($F330="sell_put",$F330="sell_call"),$AE330,0)-IF(AND(OR($F330="buy_to_close",$F330="expire",$F330="roll",$F330="assignment",$F330="called_away"),$F330&lt;&gt;"roll"),$AE330,0))</f>
        <v/>
      </c>
      <c r="AR330" t="str">
        <f t="shared" si="98"/>
        <v/>
      </c>
      <c r="AS330" s="50" t="str">
        <f t="shared" si="99"/>
        <v/>
      </c>
      <c r="AT330" s="50" t="str">
        <f>IF($A330="","",MAX(IF($T330=IFERROR(LOOKUP(2,1/($B$9:$B$329=$B330),$T$9:$T329),0),IFERROR(LOOKUP(2,1/($B$9:$B$329=$B330),$AT$9:$AT329),0),0),$AS330))</f>
        <v/>
      </c>
      <c r="AU330" t="str">
        <f t="shared" si="100"/>
        <v/>
      </c>
      <c r="AV330" s="51">
        <f>IF($AU330="",0,IF(AND(IFERROR(LOOKUP(2,1/($B$9:$B$329=$B330),$AR$9:$AR329),1),NOT(AND(OR($F330="dividend",$F330="fee"),IFERROR(LOOKUP(2,1/($B$9:$B$329=$B330),$T$9:$T329),0)&gt;0))),ROW(),0))</f>
        <v>0</v>
      </c>
      <c r="AW330">
        <f>IF($A330="",0,IF($AV330&gt;0,MAX($AW$9:$AW$329)+1,MAX($AW$9:$AW$329)))</f>
        <v>0</v>
      </c>
      <c r="AX330">
        <f>IF($AU330="",0,IF(AND($AR330,OR(NOT(IFERROR(LOOKUP(2,1/($B$9:$B$329=$B330),$AR$9:$AR329),1)),IFERROR(LOOKUP(2,1/($B$9:$B$329=$B330),$T$9:$T329),0)=0)),ROW(),0))</f>
        <v>0</v>
      </c>
      <c r="AY330" t="str">
        <f t="shared" si="101"/>
        <v/>
      </c>
    </row>
    <row r="331" spans="1:51" ht="15" x14ac:dyDescent="0.25">
      <c r="A331" s="41" t="str">
        <f>IF(Trades!$A331="","",Trades!O331)</f>
        <v/>
      </c>
      <c r="B331" s="41" t="str">
        <f>IF(Trades!$A331="","",Trades!B331)</f>
        <v/>
      </c>
      <c r="C331" s="41" t="str">
        <f>IF(Trades!$A331="","",Trades!C331)</f>
        <v/>
      </c>
      <c r="D331" s="42" t="str">
        <f>IF(Trades!$A331="","",IF(Trades!$L331&gt;0,Trades!$L331,Trades!$C$6))</f>
        <v/>
      </c>
      <c r="E331" s="43" t="str">
        <f>IF(Trades!$A331="","",Trades!A331)</f>
        <v/>
      </c>
      <c r="F331" s="41" t="str">
        <f>IF(Trades!$A331="","",IFERROR(INDEX(Trades!$V$2:$V$14,MATCH(Trades!$E331,Trades!$U$2:$U$14,0)),""))</f>
        <v/>
      </c>
      <c r="G331" s="41" t="str">
        <f>IF(Trades!$A331="","",Trades!N331)</f>
        <v/>
      </c>
      <c r="H331" s="42" t="str">
        <f>IF(Trades!$A331="","",Trades!F331)</f>
        <v/>
      </c>
      <c r="I331" s="44" t="str">
        <f>IF(Trades!$A331="","",Trades!G331)</f>
        <v/>
      </c>
      <c r="J331" s="44" t="str">
        <f>IF(Trades!$A331="","",Trades!I331)</f>
        <v/>
      </c>
      <c r="K331" s="44" t="str">
        <f>IF(Trades!$A331="","",Trades!Q331)</f>
        <v/>
      </c>
      <c r="L331" s="42" t="str">
        <f>IF(Trades!$A331="","",Trades!F331)</f>
        <v/>
      </c>
      <c r="M331" s="44" t="str">
        <f>IF(Trades!$A331="","",Trades!M331)</f>
        <v/>
      </c>
      <c r="N331" s="44" t="str">
        <f>IF(Trades!$A331="","",Trades!R331)</f>
        <v/>
      </c>
      <c r="O331" s="44" t="str">
        <f>IF(Trades!$A331="","",Trades!J331)</f>
        <v/>
      </c>
      <c r="P331" s="43" t="str">
        <f>IF(Trades!$A331="","",Trades!H331)</f>
        <v/>
      </c>
      <c r="Q331" s="41" t="str">
        <f>IF(Trades!$A331="","",Trades!P331)</f>
        <v/>
      </c>
      <c r="R331" s="45" t="str">
        <f t="shared" si="85"/>
        <v/>
      </c>
      <c r="S331" s="45" t="str">
        <f t="shared" si="86"/>
        <v/>
      </c>
      <c r="T331" s="46" t="str">
        <f>IF(OR($A331="",$B331=""),"",IF(AND(IFERROR(LOOKUP(2,1/($B$9:$B$330=$B331),$AR$9:$AR330),1),NOT(AND(OR($F331="dividend",$F331="fee"),IFERROR(LOOKUP(2,1/($B$9:$B$330=$B331),$T$9:$T330),0)&gt;0))),IFERROR(LOOKUP(2,1/($B$9:$B$330=$B331),$T$9:$T330),0)+1,IFERROR(LOOKUP(2,1/($B$9:$B$330=$B331),$T$9:$T330),0)))</f>
        <v/>
      </c>
      <c r="U331" s="47" t="str">
        <f t="shared" si="87"/>
        <v/>
      </c>
      <c r="V331" s="47" t="str">
        <f>IF($A331="","",IF(OR($B331="",$C331="",$D331="",$E331="",$F331=""),"Missing required field",IF(COUNTIFS($A$9:$A331,$A331,$B$9:$B331,$B331)&gt;1,"Duplicate event ID",IF(AND($E331&lt;&gt;IFERROR(LOOKUP(2,1/($B$9:$B$330=$B331),$E$9:$E330),0),IFERROR(LOOKUP(2,1/($B$9:$B$330=$B331),$E$9:$E330),0)&gt;$E331),"Date out of order",IF(AND(OR($F331="buy_to_close",$F331="expire",$F331="roll",$F331="assignment",$F331="called_away"),$AF331=0),"Unknown lot",IF(OR(AND($F331="assignment",$AF331&gt;0,IF($AF331&gt;0,INDEX($AG$9:$AG$330,$AF331),"")&lt;&gt;"put"),AND($F331="called_away",$AF331&gt;0,IF($AF331&gt;0,INDEX($AG$9:$AG$330,$AF331),"")&lt;&gt;"call")),"Wrong option leg",IF(OR(AND(OR($F331="sell_put",$F331="sell_call"),OR($H331&lt;=0,$I331&lt;=0,$J331&lt;0)),AND(OR($F331="buy_to_close",$F331="expire",$F331="assignment",$F331="called_away"),OR($H331&lt;=0,$J331&lt;0)),AND($F331="roll",OR($H331&lt;=0,$I331&lt;=0,$J331&lt;0,$K331&lt;0)),AND(OR($F331="buy_shares",$F331="sell_shares"),OR($L331&lt;=0,$M331&lt;0)),AND(OR($F331="dividend",$F331="fee"),$N331&lt;0)),"Invalid value",IF(AND(OR($F331="sell_shares",$F331="called_away"),$AL331&lt;IF($F331="called_away",$AE331*$D331,$L331)),"Insufficient shares (capped)",IF(AND(OR($F331="buy_to_close",$F331="expire",$F331="roll",$F331="assignment",$F331="called_away"),$AF331&gt;0,$H331&gt;IF($AF331&gt;0,MAX(0,INDEX($AI$9:$AI$330,$AF331)-SUMIFS($AE$9:$AE$330,$G$9:$G$330,$G331,$B$9:$B$330,$B331)),0)),"Close quantity capped","OK")))))))))</f>
        <v/>
      </c>
      <c r="W331" s="48" t="str">
        <f t="shared" si="88"/>
        <v/>
      </c>
      <c r="X331" s="49" t="str">
        <f t="shared" si="89"/>
        <v/>
      </c>
      <c r="Y331" s="50" t="str">
        <f t="shared" si="90"/>
        <v/>
      </c>
      <c r="Z331" s="50" t="str">
        <f t="shared" si="91"/>
        <v/>
      </c>
      <c r="AA331" s="50" t="str">
        <f t="shared" si="92"/>
        <v/>
      </c>
      <c r="AB331" s="50" t="str">
        <f t="shared" si="93"/>
        <v/>
      </c>
      <c r="AC331" s="50" t="str">
        <f>IF($A331="","",IF($F331="assignment",IF($AF331&gt;0,INDEX($AH$9:$AH$330,$AF331),0)*$AE331*$D331,IF($F331="buy_shares",$M331*$AL331,0)))</f>
        <v/>
      </c>
      <c r="AD331" s="50" t="str">
        <f>IF($A331="","",IF($F331="called_away",IF($AF331&gt;0,INDEX($AH$9:$AH$330,$AF331),0)*$AL331,IF($F331="sell_shares",$M331*$AL331,0)))</f>
        <v/>
      </c>
      <c r="AE331" s="51" t="str">
        <f>IF($A331="","",IF(OR($F331="sell_put",$F331="sell_call"),IF(AND($H331&gt;0,$I331&gt;0,$J331&gt;=0),$H331,0),IF(OR($F331="buy_to_close",$F331="expire",$F331="roll",$F331="assignment",$F331="called_away"),IF(AND($AF331&gt;0,$H331&gt;0,IF($F331="assignment",IF($AF331&gt;0,INDEX($AG$9:$AG$330,$AF331),"")="put",TRUE),IF($F331="called_away",IF($AF331&gt;0,INDEX($AG$9:$AG$330,$AF331),"")="call",TRUE)),MIN($H331,IF($AF331&gt;0,MAX(0,INDEX($AI$9:$AI$330,$AF331)-SUMIFS($AE$9:$AE$330,$G$9:$G$330,$G331,$B$9:$B$330,$B331)),0)),0),0)))</f>
        <v/>
      </c>
      <c r="AF331" t="str">
        <f>IF($A331="","",IFERROR(MATCH(LEN($B331)&amp;":"&amp;$B331&amp;$G331,$AY$9:$AY$330,0),0))</f>
        <v/>
      </c>
      <c r="AG331" t="str">
        <f>IF($A331="","",IF($F331="sell_put","put",IF($F331="sell_call","call",IF($F331="roll",IF($AF331&gt;0,IF($AF331&gt;0,INDEX($AG$9:$AG$330,$AF331),""),""),IF($AF331&gt;0,IF($AF331&gt;0,INDEX($AG$9:$AG$330,$AF331),""),"")))))</f>
        <v/>
      </c>
      <c r="AH331" t="str">
        <f>IF($A331="","",IF(OR($F331="sell_put",$F331="sell_call",$F331="roll"),$I331,IF($AF331&gt;0,IF($AF331&gt;0,INDEX($AH$9:$AH$330,$AF331),0),0)))</f>
        <v/>
      </c>
      <c r="AI331" s="51" t="str">
        <f t="shared" si="94"/>
        <v/>
      </c>
      <c r="AJ331" s="51" t="str">
        <f>IF($A331="","",IFERROR(LOOKUP(2,1/($B$9:$B$330=$B331),$AM$9:$AM330),0))</f>
        <v/>
      </c>
      <c r="AK331" t="str">
        <f>IF($A331="","",IFERROR(LOOKUP(2,1/($B$9:$B$330=$B331),$AN$9:$AN330),0))</f>
        <v/>
      </c>
      <c r="AL331" s="51" t="str">
        <f t="shared" si="95"/>
        <v/>
      </c>
      <c r="AM331" s="51" t="str">
        <f t="shared" si="96"/>
        <v/>
      </c>
      <c r="AN331" t="str">
        <f t="shared" si="97"/>
        <v/>
      </c>
      <c r="AO331" s="50" t="str">
        <f>IF($A331="","",IFERROR(LOOKUP(2,1/($B$9:$B$330=$B331),$AO$9:$AO330),0)+IF($F331="sell_put",$I331*$AE331*$D331,IF($F331="roll",IF($AG331="put",($I331-IF($AF331&gt;0,INDEX($AH$9:$AH$330,$AF331),0))*$AE331*$D331,0),IF(AND(OR($F331="buy_to_close",$F331="expire",$F331="roll",$F331="assignment",$F331="called_away"),$F331&lt;&gt;"roll",$AG331="put"),-IF($AF331&gt;0,INDEX($AH$9:$AH$330,$AF331),0)*$AE331*$D331,0))))</f>
        <v/>
      </c>
      <c r="AP331" s="51" t="str">
        <f>IF($A331="","",IFERROR(LOOKUP(2,1/($B$9:$B$330=$B331),$AP$9:$AP330),0)+IF($F331="sell_put",$AE331*$D331,IF(AND(OR($F331="buy_to_close",$F331="expire",$F331="roll",$F331="assignment",$F331="called_away"),$F331&lt;&gt;"roll",$AG331="put"),-$AE331*$D331,0)))</f>
        <v/>
      </c>
      <c r="AQ331" s="51" t="str">
        <f>IF($A331="","",IFERROR(LOOKUP(2,1/($B$9:$B$330=$B331),$AQ$9:$AQ330),0)+IF(OR($F331="sell_put",$F331="sell_call"),$AE331,0)-IF(AND(OR($F331="buy_to_close",$F331="expire",$F331="roll",$F331="assignment",$F331="called_away"),$F331&lt;&gt;"roll"),$AE331,0))</f>
        <v/>
      </c>
      <c r="AR331" t="str">
        <f t="shared" si="98"/>
        <v/>
      </c>
      <c r="AS331" s="50" t="str">
        <f t="shared" si="99"/>
        <v/>
      </c>
      <c r="AT331" s="50" t="str">
        <f>IF($A331="","",MAX(IF($T331=IFERROR(LOOKUP(2,1/($B$9:$B$330=$B331),$T$9:$T330),0),IFERROR(LOOKUP(2,1/($B$9:$B$330=$B331),$AT$9:$AT330),0),0),$AS331))</f>
        <v/>
      </c>
      <c r="AU331" t="str">
        <f t="shared" si="100"/>
        <v/>
      </c>
      <c r="AV331" s="51">
        <f>IF($AU331="",0,IF(AND(IFERROR(LOOKUP(2,1/($B$9:$B$330=$B331),$AR$9:$AR330),1),NOT(AND(OR($F331="dividend",$F331="fee"),IFERROR(LOOKUP(2,1/($B$9:$B$330=$B331),$T$9:$T330),0)&gt;0))),ROW(),0))</f>
        <v>0</v>
      </c>
      <c r="AW331">
        <f>IF($A331="",0,IF($AV331&gt;0,MAX($AW$9:$AW$330)+1,MAX($AW$9:$AW$330)))</f>
        <v>0</v>
      </c>
      <c r="AX331">
        <f>IF($AU331="",0,IF(AND($AR331,OR(NOT(IFERROR(LOOKUP(2,1/($B$9:$B$330=$B331),$AR$9:$AR330),1)),IFERROR(LOOKUP(2,1/($B$9:$B$330=$B331),$T$9:$T330),0)=0)),ROW(),0))</f>
        <v>0</v>
      </c>
      <c r="AY331" t="str">
        <f t="shared" si="101"/>
        <v/>
      </c>
    </row>
    <row r="332" spans="1:51" ht="15" x14ac:dyDescent="0.25">
      <c r="A332" s="52" t="str">
        <f>IF(Trades!$A332="","",Trades!O332)</f>
        <v/>
      </c>
      <c r="B332" s="52" t="str">
        <f>IF(Trades!$A332="","",Trades!B332)</f>
        <v/>
      </c>
      <c r="C332" s="52" t="str">
        <f>IF(Trades!$A332="","",Trades!C332)</f>
        <v/>
      </c>
      <c r="D332" s="53" t="str">
        <f>IF(Trades!$A332="","",IF(Trades!$L332&gt;0,Trades!$L332,Trades!$C$6))</f>
        <v/>
      </c>
      <c r="E332" s="54" t="str">
        <f>IF(Trades!$A332="","",Trades!A332)</f>
        <v/>
      </c>
      <c r="F332" s="52" t="str">
        <f>IF(Trades!$A332="","",IFERROR(INDEX(Trades!$V$2:$V$14,MATCH(Trades!$E332,Trades!$U$2:$U$14,0)),""))</f>
        <v/>
      </c>
      <c r="G332" s="52" t="str">
        <f>IF(Trades!$A332="","",Trades!N332)</f>
        <v/>
      </c>
      <c r="H332" s="53" t="str">
        <f>IF(Trades!$A332="","",Trades!F332)</f>
        <v/>
      </c>
      <c r="I332" s="55" t="str">
        <f>IF(Trades!$A332="","",Trades!G332)</f>
        <v/>
      </c>
      <c r="J332" s="55" t="str">
        <f>IF(Trades!$A332="","",Trades!I332)</f>
        <v/>
      </c>
      <c r="K332" s="55" t="str">
        <f>IF(Trades!$A332="","",Trades!Q332)</f>
        <v/>
      </c>
      <c r="L332" s="53" t="str">
        <f>IF(Trades!$A332="","",Trades!F332)</f>
        <v/>
      </c>
      <c r="M332" s="55" t="str">
        <f>IF(Trades!$A332="","",Trades!M332)</f>
        <v/>
      </c>
      <c r="N332" s="55" t="str">
        <f>IF(Trades!$A332="","",Trades!R332)</f>
        <v/>
      </c>
      <c r="O332" s="55" t="str">
        <f>IF(Trades!$A332="","",Trades!J332)</f>
        <v/>
      </c>
      <c r="P332" s="54" t="str">
        <f>IF(Trades!$A332="","",Trades!H332)</f>
        <v/>
      </c>
      <c r="Q332" s="52" t="str">
        <f>IF(Trades!$A332="","",Trades!P332)</f>
        <v/>
      </c>
      <c r="R332" s="56" t="str">
        <f t="shared" si="85"/>
        <v/>
      </c>
      <c r="S332" s="56" t="str">
        <f t="shared" si="86"/>
        <v/>
      </c>
      <c r="T332" s="57" t="str">
        <f>IF(OR($A332="",$B332=""),"",IF(AND(IFERROR(LOOKUP(2,1/($B$9:$B$331=$B332),$AR$9:$AR331),1),NOT(AND(OR($F332="dividend",$F332="fee"),IFERROR(LOOKUP(2,1/($B$9:$B$331=$B332),$T$9:$T331),0)&gt;0))),IFERROR(LOOKUP(2,1/($B$9:$B$331=$B332),$T$9:$T331),0)+1,IFERROR(LOOKUP(2,1/($B$9:$B$331=$B332),$T$9:$T331),0)))</f>
        <v/>
      </c>
      <c r="U332" s="58" t="str">
        <f t="shared" si="87"/>
        <v/>
      </c>
      <c r="V332" s="58" t="str">
        <f>IF($A332="","",IF(OR($B332="",$C332="",$D332="",$E332="",$F332=""),"Missing required field",IF(COUNTIFS($A$9:$A332,$A332,$B$9:$B332,$B332)&gt;1,"Duplicate event ID",IF(AND($E332&lt;&gt;IFERROR(LOOKUP(2,1/($B$9:$B$331=$B332),$E$9:$E331),0),IFERROR(LOOKUP(2,1/($B$9:$B$331=$B332),$E$9:$E331),0)&gt;$E332),"Date out of order",IF(AND(OR($F332="buy_to_close",$F332="expire",$F332="roll",$F332="assignment",$F332="called_away"),$AF332=0),"Unknown lot",IF(OR(AND($F332="assignment",$AF332&gt;0,IF($AF332&gt;0,INDEX($AG$9:$AG$331,$AF332),"")&lt;&gt;"put"),AND($F332="called_away",$AF332&gt;0,IF($AF332&gt;0,INDEX($AG$9:$AG$331,$AF332),"")&lt;&gt;"call")),"Wrong option leg",IF(OR(AND(OR($F332="sell_put",$F332="sell_call"),OR($H332&lt;=0,$I332&lt;=0,$J332&lt;0)),AND(OR($F332="buy_to_close",$F332="expire",$F332="assignment",$F332="called_away"),OR($H332&lt;=0,$J332&lt;0)),AND($F332="roll",OR($H332&lt;=0,$I332&lt;=0,$J332&lt;0,$K332&lt;0)),AND(OR($F332="buy_shares",$F332="sell_shares"),OR($L332&lt;=0,$M332&lt;0)),AND(OR($F332="dividend",$F332="fee"),$N332&lt;0)),"Invalid value",IF(AND(OR($F332="sell_shares",$F332="called_away"),$AL332&lt;IF($F332="called_away",$AE332*$D332,$L332)),"Insufficient shares (capped)",IF(AND(OR($F332="buy_to_close",$F332="expire",$F332="roll",$F332="assignment",$F332="called_away"),$AF332&gt;0,$H332&gt;IF($AF332&gt;0,MAX(0,INDEX($AI$9:$AI$331,$AF332)-SUMIFS($AE$9:$AE$331,$G$9:$G$331,$G332,$B$9:$B$331,$B332)),0)),"Close quantity capped","OK")))))))))</f>
        <v/>
      </c>
      <c r="W332" s="59" t="str">
        <f t="shared" si="88"/>
        <v/>
      </c>
      <c r="X332" s="60" t="str">
        <f t="shared" si="89"/>
        <v/>
      </c>
      <c r="Y332" s="50" t="str">
        <f t="shared" si="90"/>
        <v/>
      </c>
      <c r="Z332" s="50" t="str">
        <f t="shared" si="91"/>
        <v/>
      </c>
      <c r="AA332" s="50" t="str">
        <f t="shared" si="92"/>
        <v/>
      </c>
      <c r="AB332" s="50" t="str">
        <f t="shared" si="93"/>
        <v/>
      </c>
      <c r="AC332" s="50" t="str">
        <f>IF($A332="","",IF($F332="assignment",IF($AF332&gt;0,INDEX($AH$9:$AH$331,$AF332),0)*$AE332*$D332,IF($F332="buy_shares",$M332*$AL332,0)))</f>
        <v/>
      </c>
      <c r="AD332" s="50" t="str">
        <f>IF($A332="","",IF($F332="called_away",IF($AF332&gt;0,INDEX($AH$9:$AH$331,$AF332),0)*$AL332,IF($F332="sell_shares",$M332*$AL332,0)))</f>
        <v/>
      </c>
      <c r="AE332" s="51" t="str">
        <f>IF($A332="","",IF(OR($F332="sell_put",$F332="sell_call"),IF(AND($H332&gt;0,$I332&gt;0,$J332&gt;=0),$H332,0),IF(OR($F332="buy_to_close",$F332="expire",$F332="roll",$F332="assignment",$F332="called_away"),IF(AND($AF332&gt;0,$H332&gt;0,IF($F332="assignment",IF($AF332&gt;0,INDEX($AG$9:$AG$331,$AF332),"")="put",TRUE),IF($F332="called_away",IF($AF332&gt;0,INDEX($AG$9:$AG$331,$AF332),"")="call",TRUE)),MIN($H332,IF($AF332&gt;0,MAX(0,INDEX($AI$9:$AI$331,$AF332)-SUMIFS($AE$9:$AE$331,$G$9:$G$331,$G332,$B$9:$B$331,$B332)),0)),0),0)))</f>
        <v/>
      </c>
      <c r="AF332" t="str">
        <f>IF($A332="","",IFERROR(MATCH(LEN($B332)&amp;":"&amp;$B332&amp;$G332,$AY$9:$AY$331,0),0))</f>
        <v/>
      </c>
      <c r="AG332" t="str">
        <f>IF($A332="","",IF($F332="sell_put","put",IF($F332="sell_call","call",IF($F332="roll",IF($AF332&gt;0,IF($AF332&gt;0,INDEX($AG$9:$AG$331,$AF332),""),""),IF($AF332&gt;0,IF($AF332&gt;0,INDEX($AG$9:$AG$331,$AF332),""),"")))))</f>
        <v/>
      </c>
      <c r="AH332" t="str">
        <f>IF($A332="","",IF(OR($F332="sell_put",$F332="sell_call",$F332="roll"),$I332,IF($AF332&gt;0,IF($AF332&gt;0,INDEX($AH$9:$AH$331,$AF332),0),0)))</f>
        <v/>
      </c>
      <c r="AI332" s="51" t="str">
        <f t="shared" si="94"/>
        <v/>
      </c>
      <c r="AJ332" s="51" t="str">
        <f>IF($A332="","",IFERROR(LOOKUP(2,1/($B$9:$B$331=$B332),$AM$9:$AM331),0))</f>
        <v/>
      </c>
      <c r="AK332" t="str">
        <f>IF($A332="","",IFERROR(LOOKUP(2,1/($B$9:$B$331=$B332),$AN$9:$AN331),0))</f>
        <v/>
      </c>
      <c r="AL332" s="51" t="str">
        <f t="shared" si="95"/>
        <v/>
      </c>
      <c r="AM332" s="51" t="str">
        <f t="shared" si="96"/>
        <v/>
      </c>
      <c r="AN332" t="str">
        <f t="shared" si="97"/>
        <v/>
      </c>
      <c r="AO332" s="50" t="str">
        <f>IF($A332="","",IFERROR(LOOKUP(2,1/($B$9:$B$331=$B332),$AO$9:$AO331),0)+IF($F332="sell_put",$I332*$AE332*$D332,IF($F332="roll",IF($AG332="put",($I332-IF($AF332&gt;0,INDEX($AH$9:$AH$331,$AF332),0))*$AE332*$D332,0),IF(AND(OR($F332="buy_to_close",$F332="expire",$F332="roll",$F332="assignment",$F332="called_away"),$F332&lt;&gt;"roll",$AG332="put"),-IF($AF332&gt;0,INDEX($AH$9:$AH$331,$AF332),0)*$AE332*$D332,0))))</f>
        <v/>
      </c>
      <c r="AP332" s="51" t="str">
        <f>IF($A332="","",IFERROR(LOOKUP(2,1/($B$9:$B$331=$B332),$AP$9:$AP331),0)+IF($F332="sell_put",$AE332*$D332,IF(AND(OR($F332="buy_to_close",$F332="expire",$F332="roll",$F332="assignment",$F332="called_away"),$F332&lt;&gt;"roll",$AG332="put"),-$AE332*$D332,0)))</f>
        <v/>
      </c>
      <c r="AQ332" s="51" t="str">
        <f>IF($A332="","",IFERROR(LOOKUP(2,1/($B$9:$B$331=$B332),$AQ$9:$AQ331),0)+IF(OR($F332="sell_put",$F332="sell_call"),$AE332,0)-IF(AND(OR($F332="buy_to_close",$F332="expire",$F332="roll",$F332="assignment",$F332="called_away"),$F332&lt;&gt;"roll"),$AE332,0))</f>
        <v/>
      </c>
      <c r="AR332" t="str">
        <f t="shared" si="98"/>
        <v/>
      </c>
      <c r="AS332" s="50" t="str">
        <f t="shared" si="99"/>
        <v/>
      </c>
      <c r="AT332" s="50" t="str">
        <f>IF($A332="","",MAX(IF($T332=IFERROR(LOOKUP(2,1/($B$9:$B$331=$B332),$T$9:$T331),0),IFERROR(LOOKUP(2,1/($B$9:$B$331=$B332),$AT$9:$AT331),0),0),$AS332))</f>
        <v/>
      </c>
      <c r="AU332" t="str">
        <f t="shared" si="100"/>
        <v/>
      </c>
      <c r="AV332" s="51">
        <f>IF($AU332="",0,IF(AND(IFERROR(LOOKUP(2,1/($B$9:$B$331=$B332),$AR$9:$AR331),1),NOT(AND(OR($F332="dividend",$F332="fee"),IFERROR(LOOKUP(2,1/($B$9:$B$331=$B332),$T$9:$T331),0)&gt;0))),ROW(),0))</f>
        <v>0</v>
      </c>
      <c r="AW332">
        <f>IF($A332="",0,IF($AV332&gt;0,MAX($AW$9:$AW$331)+1,MAX($AW$9:$AW$331)))</f>
        <v>0</v>
      </c>
      <c r="AX332">
        <f>IF($AU332="",0,IF(AND($AR332,OR(NOT(IFERROR(LOOKUP(2,1/($B$9:$B$331=$B332),$AR$9:$AR331),1)),IFERROR(LOOKUP(2,1/($B$9:$B$331=$B332),$T$9:$T331),0)=0)),ROW(),0))</f>
        <v>0</v>
      </c>
      <c r="AY332" t="str">
        <f t="shared" si="101"/>
        <v/>
      </c>
    </row>
    <row r="333" spans="1:51" ht="15" x14ac:dyDescent="0.25">
      <c r="A333" s="41" t="str">
        <f>IF(Trades!$A333="","",Trades!O333)</f>
        <v/>
      </c>
      <c r="B333" s="41" t="str">
        <f>IF(Trades!$A333="","",Trades!B333)</f>
        <v/>
      </c>
      <c r="C333" s="41" t="str">
        <f>IF(Trades!$A333="","",Trades!C333)</f>
        <v/>
      </c>
      <c r="D333" s="42" t="str">
        <f>IF(Trades!$A333="","",IF(Trades!$L333&gt;0,Trades!$L333,Trades!$C$6))</f>
        <v/>
      </c>
      <c r="E333" s="43" t="str">
        <f>IF(Trades!$A333="","",Trades!A333)</f>
        <v/>
      </c>
      <c r="F333" s="41" t="str">
        <f>IF(Trades!$A333="","",IFERROR(INDEX(Trades!$V$2:$V$14,MATCH(Trades!$E333,Trades!$U$2:$U$14,0)),""))</f>
        <v/>
      </c>
      <c r="G333" s="41" t="str">
        <f>IF(Trades!$A333="","",Trades!N333)</f>
        <v/>
      </c>
      <c r="H333" s="42" t="str">
        <f>IF(Trades!$A333="","",Trades!F333)</f>
        <v/>
      </c>
      <c r="I333" s="44" t="str">
        <f>IF(Trades!$A333="","",Trades!G333)</f>
        <v/>
      </c>
      <c r="J333" s="44" t="str">
        <f>IF(Trades!$A333="","",Trades!I333)</f>
        <v/>
      </c>
      <c r="K333" s="44" t="str">
        <f>IF(Trades!$A333="","",Trades!Q333)</f>
        <v/>
      </c>
      <c r="L333" s="42" t="str">
        <f>IF(Trades!$A333="","",Trades!F333)</f>
        <v/>
      </c>
      <c r="M333" s="44" t="str">
        <f>IF(Trades!$A333="","",Trades!M333)</f>
        <v/>
      </c>
      <c r="N333" s="44" t="str">
        <f>IF(Trades!$A333="","",Trades!R333)</f>
        <v/>
      </c>
      <c r="O333" s="44" t="str">
        <f>IF(Trades!$A333="","",Trades!J333)</f>
        <v/>
      </c>
      <c r="P333" s="43" t="str">
        <f>IF(Trades!$A333="","",Trades!H333)</f>
        <v/>
      </c>
      <c r="Q333" s="41" t="str">
        <f>IF(Trades!$A333="","",Trades!P333)</f>
        <v/>
      </c>
      <c r="R333" s="45" t="str">
        <f t="shared" si="85"/>
        <v/>
      </c>
      <c r="S333" s="45" t="str">
        <f t="shared" si="86"/>
        <v/>
      </c>
      <c r="T333" s="46" t="str">
        <f>IF(OR($A333="",$B333=""),"",IF(AND(IFERROR(LOOKUP(2,1/($B$9:$B$332=$B333),$AR$9:$AR332),1),NOT(AND(OR($F333="dividend",$F333="fee"),IFERROR(LOOKUP(2,1/($B$9:$B$332=$B333),$T$9:$T332),0)&gt;0))),IFERROR(LOOKUP(2,1/($B$9:$B$332=$B333),$T$9:$T332),0)+1,IFERROR(LOOKUP(2,1/($B$9:$B$332=$B333),$T$9:$T332),0)))</f>
        <v/>
      </c>
      <c r="U333" s="47" t="str">
        <f t="shared" si="87"/>
        <v/>
      </c>
      <c r="V333" s="47" t="str">
        <f>IF($A333="","",IF(OR($B333="",$C333="",$D333="",$E333="",$F333=""),"Missing required field",IF(COUNTIFS($A$9:$A333,$A333,$B$9:$B333,$B333)&gt;1,"Duplicate event ID",IF(AND($E333&lt;&gt;IFERROR(LOOKUP(2,1/($B$9:$B$332=$B333),$E$9:$E332),0),IFERROR(LOOKUP(2,1/($B$9:$B$332=$B333),$E$9:$E332),0)&gt;$E333),"Date out of order",IF(AND(OR($F333="buy_to_close",$F333="expire",$F333="roll",$F333="assignment",$F333="called_away"),$AF333=0),"Unknown lot",IF(OR(AND($F333="assignment",$AF333&gt;0,IF($AF333&gt;0,INDEX($AG$9:$AG$332,$AF333),"")&lt;&gt;"put"),AND($F333="called_away",$AF333&gt;0,IF($AF333&gt;0,INDEX($AG$9:$AG$332,$AF333),"")&lt;&gt;"call")),"Wrong option leg",IF(OR(AND(OR($F333="sell_put",$F333="sell_call"),OR($H333&lt;=0,$I333&lt;=0,$J333&lt;0)),AND(OR($F333="buy_to_close",$F333="expire",$F333="assignment",$F333="called_away"),OR($H333&lt;=0,$J333&lt;0)),AND($F333="roll",OR($H333&lt;=0,$I333&lt;=0,$J333&lt;0,$K333&lt;0)),AND(OR($F333="buy_shares",$F333="sell_shares"),OR($L333&lt;=0,$M333&lt;0)),AND(OR($F333="dividend",$F333="fee"),$N333&lt;0)),"Invalid value",IF(AND(OR($F333="sell_shares",$F333="called_away"),$AL333&lt;IF($F333="called_away",$AE333*$D333,$L333)),"Insufficient shares (capped)",IF(AND(OR($F333="buy_to_close",$F333="expire",$F333="roll",$F333="assignment",$F333="called_away"),$AF333&gt;0,$H333&gt;IF($AF333&gt;0,MAX(0,INDEX($AI$9:$AI$332,$AF333)-SUMIFS($AE$9:$AE$332,$G$9:$G$332,$G333,$B$9:$B$332,$B333)),0)),"Close quantity capped","OK")))))))))</f>
        <v/>
      </c>
      <c r="W333" s="48" t="str">
        <f t="shared" si="88"/>
        <v/>
      </c>
      <c r="X333" s="49" t="str">
        <f t="shared" si="89"/>
        <v/>
      </c>
      <c r="Y333" s="50" t="str">
        <f t="shared" si="90"/>
        <v/>
      </c>
      <c r="Z333" s="50" t="str">
        <f t="shared" si="91"/>
        <v/>
      </c>
      <c r="AA333" s="50" t="str">
        <f t="shared" si="92"/>
        <v/>
      </c>
      <c r="AB333" s="50" t="str">
        <f t="shared" si="93"/>
        <v/>
      </c>
      <c r="AC333" s="50" t="str">
        <f>IF($A333="","",IF($F333="assignment",IF($AF333&gt;0,INDEX($AH$9:$AH$332,$AF333),0)*$AE333*$D333,IF($F333="buy_shares",$M333*$AL333,0)))</f>
        <v/>
      </c>
      <c r="AD333" s="50" t="str">
        <f>IF($A333="","",IF($F333="called_away",IF($AF333&gt;0,INDEX($AH$9:$AH$332,$AF333),0)*$AL333,IF($F333="sell_shares",$M333*$AL333,0)))</f>
        <v/>
      </c>
      <c r="AE333" s="51" t="str">
        <f>IF($A333="","",IF(OR($F333="sell_put",$F333="sell_call"),IF(AND($H333&gt;0,$I333&gt;0,$J333&gt;=0),$H333,0),IF(OR($F333="buy_to_close",$F333="expire",$F333="roll",$F333="assignment",$F333="called_away"),IF(AND($AF333&gt;0,$H333&gt;0,IF($F333="assignment",IF($AF333&gt;0,INDEX($AG$9:$AG$332,$AF333),"")="put",TRUE),IF($F333="called_away",IF($AF333&gt;0,INDEX($AG$9:$AG$332,$AF333),"")="call",TRUE)),MIN($H333,IF($AF333&gt;0,MAX(0,INDEX($AI$9:$AI$332,$AF333)-SUMIFS($AE$9:$AE$332,$G$9:$G$332,$G333,$B$9:$B$332,$B333)),0)),0),0)))</f>
        <v/>
      </c>
      <c r="AF333" t="str">
        <f>IF($A333="","",IFERROR(MATCH(LEN($B333)&amp;":"&amp;$B333&amp;$G333,$AY$9:$AY$332,0),0))</f>
        <v/>
      </c>
      <c r="AG333" t="str">
        <f>IF($A333="","",IF($F333="sell_put","put",IF($F333="sell_call","call",IF($F333="roll",IF($AF333&gt;0,IF($AF333&gt;0,INDEX($AG$9:$AG$332,$AF333),""),""),IF($AF333&gt;0,IF($AF333&gt;0,INDEX($AG$9:$AG$332,$AF333),""),"")))))</f>
        <v/>
      </c>
      <c r="AH333" t="str">
        <f>IF($A333="","",IF(OR($F333="sell_put",$F333="sell_call",$F333="roll"),$I333,IF($AF333&gt;0,IF($AF333&gt;0,INDEX($AH$9:$AH$332,$AF333),0),0)))</f>
        <v/>
      </c>
      <c r="AI333" s="51" t="str">
        <f t="shared" si="94"/>
        <v/>
      </c>
      <c r="AJ333" s="51" t="str">
        <f>IF($A333="","",IFERROR(LOOKUP(2,1/($B$9:$B$332=$B333),$AM$9:$AM332),0))</f>
        <v/>
      </c>
      <c r="AK333" t="str">
        <f>IF($A333="","",IFERROR(LOOKUP(2,1/($B$9:$B$332=$B333),$AN$9:$AN332),0))</f>
        <v/>
      </c>
      <c r="AL333" s="51" t="str">
        <f t="shared" si="95"/>
        <v/>
      </c>
      <c r="AM333" s="51" t="str">
        <f t="shared" si="96"/>
        <v/>
      </c>
      <c r="AN333" t="str">
        <f t="shared" si="97"/>
        <v/>
      </c>
      <c r="AO333" s="50" t="str">
        <f>IF($A333="","",IFERROR(LOOKUP(2,1/($B$9:$B$332=$B333),$AO$9:$AO332),0)+IF($F333="sell_put",$I333*$AE333*$D333,IF($F333="roll",IF($AG333="put",($I333-IF($AF333&gt;0,INDEX($AH$9:$AH$332,$AF333),0))*$AE333*$D333,0),IF(AND(OR($F333="buy_to_close",$F333="expire",$F333="roll",$F333="assignment",$F333="called_away"),$F333&lt;&gt;"roll",$AG333="put"),-IF($AF333&gt;0,INDEX($AH$9:$AH$332,$AF333),0)*$AE333*$D333,0))))</f>
        <v/>
      </c>
      <c r="AP333" s="51" t="str">
        <f>IF($A333="","",IFERROR(LOOKUP(2,1/($B$9:$B$332=$B333),$AP$9:$AP332),0)+IF($F333="sell_put",$AE333*$D333,IF(AND(OR($F333="buy_to_close",$F333="expire",$F333="roll",$F333="assignment",$F333="called_away"),$F333&lt;&gt;"roll",$AG333="put"),-$AE333*$D333,0)))</f>
        <v/>
      </c>
      <c r="AQ333" s="51" t="str">
        <f>IF($A333="","",IFERROR(LOOKUP(2,1/($B$9:$B$332=$B333),$AQ$9:$AQ332),0)+IF(OR($F333="sell_put",$F333="sell_call"),$AE333,0)-IF(AND(OR($F333="buy_to_close",$F333="expire",$F333="roll",$F333="assignment",$F333="called_away"),$F333&lt;&gt;"roll"),$AE333,0))</f>
        <v/>
      </c>
      <c r="AR333" t="str">
        <f t="shared" si="98"/>
        <v/>
      </c>
      <c r="AS333" s="50" t="str">
        <f t="shared" si="99"/>
        <v/>
      </c>
      <c r="AT333" s="50" t="str">
        <f>IF($A333="","",MAX(IF($T333=IFERROR(LOOKUP(2,1/($B$9:$B$332=$B333),$T$9:$T332),0),IFERROR(LOOKUP(2,1/($B$9:$B$332=$B333),$AT$9:$AT332),0),0),$AS333))</f>
        <v/>
      </c>
      <c r="AU333" t="str">
        <f t="shared" si="100"/>
        <v/>
      </c>
      <c r="AV333" s="51">
        <f>IF($AU333="",0,IF(AND(IFERROR(LOOKUP(2,1/($B$9:$B$332=$B333),$AR$9:$AR332),1),NOT(AND(OR($F333="dividend",$F333="fee"),IFERROR(LOOKUP(2,1/($B$9:$B$332=$B333),$T$9:$T332),0)&gt;0))),ROW(),0))</f>
        <v>0</v>
      </c>
      <c r="AW333">
        <f>IF($A333="",0,IF($AV333&gt;0,MAX($AW$9:$AW$332)+1,MAX($AW$9:$AW$332)))</f>
        <v>0</v>
      </c>
      <c r="AX333">
        <f>IF($AU333="",0,IF(AND($AR333,OR(NOT(IFERROR(LOOKUP(2,1/($B$9:$B$332=$B333),$AR$9:$AR332),1)),IFERROR(LOOKUP(2,1/($B$9:$B$332=$B333),$T$9:$T332),0)=0)),ROW(),0))</f>
        <v>0</v>
      </c>
      <c r="AY333" t="str">
        <f t="shared" si="101"/>
        <v/>
      </c>
    </row>
    <row r="334" spans="1:51" ht="15" x14ac:dyDescent="0.25">
      <c r="A334" s="52" t="str">
        <f>IF(Trades!$A334="","",Trades!O334)</f>
        <v/>
      </c>
      <c r="B334" s="52" t="str">
        <f>IF(Trades!$A334="","",Trades!B334)</f>
        <v/>
      </c>
      <c r="C334" s="52" t="str">
        <f>IF(Trades!$A334="","",Trades!C334)</f>
        <v/>
      </c>
      <c r="D334" s="53" t="str">
        <f>IF(Trades!$A334="","",IF(Trades!$L334&gt;0,Trades!$L334,Trades!$C$6))</f>
        <v/>
      </c>
      <c r="E334" s="54" t="str">
        <f>IF(Trades!$A334="","",Trades!A334)</f>
        <v/>
      </c>
      <c r="F334" s="52" t="str">
        <f>IF(Trades!$A334="","",IFERROR(INDEX(Trades!$V$2:$V$14,MATCH(Trades!$E334,Trades!$U$2:$U$14,0)),""))</f>
        <v/>
      </c>
      <c r="G334" s="52" t="str">
        <f>IF(Trades!$A334="","",Trades!N334)</f>
        <v/>
      </c>
      <c r="H334" s="53" t="str">
        <f>IF(Trades!$A334="","",Trades!F334)</f>
        <v/>
      </c>
      <c r="I334" s="55" t="str">
        <f>IF(Trades!$A334="","",Trades!G334)</f>
        <v/>
      </c>
      <c r="J334" s="55" t="str">
        <f>IF(Trades!$A334="","",Trades!I334)</f>
        <v/>
      </c>
      <c r="K334" s="55" t="str">
        <f>IF(Trades!$A334="","",Trades!Q334)</f>
        <v/>
      </c>
      <c r="L334" s="53" t="str">
        <f>IF(Trades!$A334="","",Trades!F334)</f>
        <v/>
      </c>
      <c r="M334" s="55" t="str">
        <f>IF(Trades!$A334="","",Trades!M334)</f>
        <v/>
      </c>
      <c r="N334" s="55" t="str">
        <f>IF(Trades!$A334="","",Trades!R334)</f>
        <v/>
      </c>
      <c r="O334" s="55" t="str">
        <f>IF(Trades!$A334="","",Trades!J334)</f>
        <v/>
      </c>
      <c r="P334" s="54" t="str">
        <f>IF(Trades!$A334="","",Trades!H334)</f>
        <v/>
      </c>
      <c r="Q334" s="52" t="str">
        <f>IF(Trades!$A334="","",Trades!P334)</f>
        <v/>
      </c>
      <c r="R334" s="56" t="str">
        <f t="shared" si="85"/>
        <v/>
      </c>
      <c r="S334" s="56" t="str">
        <f t="shared" si="86"/>
        <v/>
      </c>
      <c r="T334" s="57" t="str">
        <f>IF(OR($A334="",$B334=""),"",IF(AND(IFERROR(LOOKUP(2,1/($B$9:$B$333=$B334),$AR$9:$AR333),1),NOT(AND(OR($F334="dividend",$F334="fee"),IFERROR(LOOKUP(2,1/($B$9:$B$333=$B334),$T$9:$T333),0)&gt;0))),IFERROR(LOOKUP(2,1/($B$9:$B$333=$B334),$T$9:$T333),0)+1,IFERROR(LOOKUP(2,1/($B$9:$B$333=$B334),$T$9:$T333),0)))</f>
        <v/>
      </c>
      <c r="U334" s="58" t="str">
        <f t="shared" si="87"/>
        <v/>
      </c>
      <c r="V334" s="58" t="str">
        <f>IF($A334="","",IF(OR($B334="",$C334="",$D334="",$E334="",$F334=""),"Missing required field",IF(COUNTIFS($A$9:$A334,$A334,$B$9:$B334,$B334)&gt;1,"Duplicate event ID",IF(AND($E334&lt;&gt;IFERROR(LOOKUP(2,1/($B$9:$B$333=$B334),$E$9:$E333),0),IFERROR(LOOKUP(2,1/($B$9:$B$333=$B334),$E$9:$E333),0)&gt;$E334),"Date out of order",IF(AND(OR($F334="buy_to_close",$F334="expire",$F334="roll",$F334="assignment",$F334="called_away"),$AF334=0),"Unknown lot",IF(OR(AND($F334="assignment",$AF334&gt;0,IF($AF334&gt;0,INDEX($AG$9:$AG$333,$AF334),"")&lt;&gt;"put"),AND($F334="called_away",$AF334&gt;0,IF($AF334&gt;0,INDEX($AG$9:$AG$333,$AF334),"")&lt;&gt;"call")),"Wrong option leg",IF(OR(AND(OR($F334="sell_put",$F334="sell_call"),OR($H334&lt;=0,$I334&lt;=0,$J334&lt;0)),AND(OR($F334="buy_to_close",$F334="expire",$F334="assignment",$F334="called_away"),OR($H334&lt;=0,$J334&lt;0)),AND($F334="roll",OR($H334&lt;=0,$I334&lt;=0,$J334&lt;0,$K334&lt;0)),AND(OR($F334="buy_shares",$F334="sell_shares"),OR($L334&lt;=0,$M334&lt;0)),AND(OR($F334="dividend",$F334="fee"),$N334&lt;0)),"Invalid value",IF(AND(OR($F334="sell_shares",$F334="called_away"),$AL334&lt;IF($F334="called_away",$AE334*$D334,$L334)),"Insufficient shares (capped)",IF(AND(OR($F334="buy_to_close",$F334="expire",$F334="roll",$F334="assignment",$F334="called_away"),$AF334&gt;0,$H334&gt;IF($AF334&gt;0,MAX(0,INDEX($AI$9:$AI$333,$AF334)-SUMIFS($AE$9:$AE$333,$G$9:$G$333,$G334,$B$9:$B$333,$B334)),0)),"Close quantity capped","OK")))))))))</f>
        <v/>
      </c>
      <c r="W334" s="59" t="str">
        <f t="shared" si="88"/>
        <v/>
      </c>
      <c r="X334" s="60" t="str">
        <f t="shared" si="89"/>
        <v/>
      </c>
      <c r="Y334" s="50" t="str">
        <f t="shared" si="90"/>
        <v/>
      </c>
      <c r="Z334" s="50" t="str">
        <f t="shared" si="91"/>
        <v/>
      </c>
      <c r="AA334" s="50" t="str">
        <f t="shared" si="92"/>
        <v/>
      </c>
      <c r="AB334" s="50" t="str">
        <f t="shared" si="93"/>
        <v/>
      </c>
      <c r="AC334" s="50" t="str">
        <f>IF($A334="","",IF($F334="assignment",IF($AF334&gt;0,INDEX($AH$9:$AH$333,$AF334),0)*$AE334*$D334,IF($F334="buy_shares",$M334*$AL334,0)))</f>
        <v/>
      </c>
      <c r="AD334" s="50" t="str">
        <f>IF($A334="","",IF($F334="called_away",IF($AF334&gt;0,INDEX($AH$9:$AH$333,$AF334),0)*$AL334,IF($F334="sell_shares",$M334*$AL334,0)))</f>
        <v/>
      </c>
      <c r="AE334" s="51" t="str">
        <f>IF($A334="","",IF(OR($F334="sell_put",$F334="sell_call"),IF(AND($H334&gt;0,$I334&gt;0,$J334&gt;=0),$H334,0),IF(OR($F334="buy_to_close",$F334="expire",$F334="roll",$F334="assignment",$F334="called_away"),IF(AND($AF334&gt;0,$H334&gt;0,IF($F334="assignment",IF($AF334&gt;0,INDEX($AG$9:$AG$333,$AF334),"")="put",TRUE),IF($F334="called_away",IF($AF334&gt;0,INDEX($AG$9:$AG$333,$AF334),"")="call",TRUE)),MIN($H334,IF($AF334&gt;0,MAX(0,INDEX($AI$9:$AI$333,$AF334)-SUMIFS($AE$9:$AE$333,$G$9:$G$333,$G334,$B$9:$B$333,$B334)),0)),0),0)))</f>
        <v/>
      </c>
      <c r="AF334" t="str">
        <f>IF($A334="","",IFERROR(MATCH(LEN($B334)&amp;":"&amp;$B334&amp;$G334,$AY$9:$AY$333,0),0))</f>
        <v/>
      </c>
      <c r="AG334" t="str">
        <f>IF($A334="","",IF($F334="sell_put","put",IF($F334="sell_call","call",IF($F334="roll",IF($AF334&gt;0,IF($AF334&gt;0,INDEX($AG$9:$AG$333,$AF334),""),""),IF($AF334&gt;0,IF($AF334&gt;0,INDEX($AG$9:$AG$333,$AF334),""),"")))))</f>
        <v/>
      </c>
      <c r="AH334" t="str">
        <f>IF($A334="","",IF(OR($F334="sell_put",$F334="sell_call",$F334="roll"),$I334,IF($AF334&gt;0,IF($AF334&gt;0,INDEX($AH$9:$AH$333,$AF334),0),0)))</f>
        <v/>
      </c>
      <c r="AI334" s="51" t="str">
        <f t="shared" si="94"/>
        <v/>
      </c>
      <c r="AJ334" s="51" t="str">
        <f>IF($A334="","",IFERROR(LOOKUP(2,1/($B$9:$B$333=$B334),$AM$9:$AM333),0))</f>
        <v/>
      </c>
      <c r="AK334" t="str">
        <f>IF($A334="","",IFERROR(LOOKUP(2,1/($B$9:$B$333=$B334),$AN$9:$AN333),0))</f>
        <v/>
      </c>
      <c r="AL334" s="51" t="str">
        <f t="shared" si="95"/>
        <v/>
      </c>
      <c r="AM334" s="51" t="str">
        <f t="shared" si="96"/>
        <v/>
      </c>
      <c r="AN334" t="str">
        <f t="shared" si="97"/>
        <v/>
      </c>
      <c r="AO334" s="50" t="str">
        <f>IF($A334="","",IFERROR(LOOKUP(2,1/($B$9:$B$333=$B334),$AO$9:$AO333),0)+IF($F334="sell_put",$I334*$AE334*$D334,IF($F334="roll",IF($AG334="put",($I334-IF($AF334&gt;0,INDEX($AH$9:$AH$333,$AF334),0))*$AE334*$D334,0),IF(AND(OR($F334="buy_to_close",$F334="expire",$F334="roll",$F334="assignment",$F334="called_away"),$F334&lt;&gt;"roll",$AG334="put"),-IF($AF334&gt;0,INDEX($AH$9:$AH$333,$AF334),0)*$AE334*$D334,0))))</f>
        <v/>
      </c>
      <c r="AP334" s="51" t="str">
        <f>IF($A334="","",IFERROR(LOOKUP(2,1/($B$9:$B$333=$B334),$AP$9:$AP333),0)+IF($F334="sell_put",$AE334*$D334,IF(AND(OR($F334="buy_to_close",$F334="expire",$F334="roll",$F334="assignment",$F334="called_away"),$F334&lt;&gt;"roll",$AG334="put"),-$AE334*$D334,0)))</f>
        <v/>
      </c>
      <c r="AQ334" s="51" t="str">
        <f>IF($A334="","",IFERROR(LOOKUP(2,1/($B$9:$B$333=$B334),$AQ$9:$AQ333),0)+IF(OR($F334="sell_put",$F334="sell_call"),$AE334,0)-IF(AND(OR($F334="buy_to_close",$F334="expire",$F334="roll",$F334="assignment",$F334="called_away"),$F334&lt;&gt;"roll"),$AE334,0))</f>
        <v/>
      </c>
      <c r="AR334" t="str">
        <f t="shared" si="98"/>
        <v/>
      </c>
      <c r="AS334" s="50" t="str">
        <f t="shared" si="99"/>
        <v/>
      </c>
      <c r="AT334" s="50" t="str">
        <f>IF($A334="","",MAX(IF($T334=IFERROR(LOOKUP(2,1/($B$9:$B$333=$B334),$T$9:$T333),0),IFERROR(LOOKUP(2,1/($B$9:$B$333=$B334),$AT$9:$AT333),0),0),$AS334))</f>
        <v/>
      </c>
      <c r="AU334" t="str">
        <f t="shared" si="100"/>
        <v/>
      </c>
      <c r="AV334" s="51">
        <f>IF($AU334="",0,IF(AND(IFERROR(LOOKUP(2,1/($B$9:$B$333=$B334),$AR$9:$AR333),1),NOT(AND(OR($F334="dividend",$F334="fee"),IFERROR(LOOKUP(2,1/($B$9:$B$333=$B334),$T$9:$T333),0)&gt;0))),ROW(),0))</f>
        <v>0</v>
      </c>
      <c r="AW334">
        <f>IF($A334="",0,IF($AV334&gt;0,MAX($AW$9:$AW$333)+1,MAX($AW$9:$AW$333)))</f>
        <v>0</v>
      </c>
      <c r="AX334">
        <f>IF($AU334="",0,IF(AND($AR334,OR(NOT(IFERROR(LOOKUP(2,1/($B$9:$B$333=$B334),$AR$9:$AR333),1)),IFERROR(LOOKUP(2,1/($B$9:$B$333=$B334),$T$9:$T333),0)=0)),ROW(),0))</f>
        <v>0</v>
      </c>
      <c r="AY334" t="str">
        <f t="shared" si="101"/>
        <v/>
      </c>
    </row>
    <row r="335" spans="1:51" ht="15" x14ac:dyDescent="0.25">
      <c r="A335" s="41" t="str">
        <f>IF(Trades!$A335="","",Trades!O335)</f>
        <v/>
      </c>
      <c r="B335" s="41" t="str">
        <f>IF(Trades!$A335="","",Trades!B335)</f>
        <v/>
      </c>
      <c r="C335" s="41" t="str">
        <f>IF(Trades!$A335="","",Trades!C335)</f>
        <v/>
      </c>
      <c r="D335" s="42" t="str">
        <f>IF(Trades!$A335="","",IF(Trades!$L335&gt;0,Trades!$L335,Trades!$C$6))</f>
        <v/>
      </c>
      <c r="E335" s="43" t="str">
        <f>IF(Trades!$A335="","",Trades!A335)</f>
        <v/>
      </c>
      <c r="F335" s="41" t="str">
        <f>IF(Trades!$A335="","",IFERROR(INDEX(Trades!$V$2:$V$14,MATCH(Trades!$E335,Trades!$U$2:$U$14,0)),""))</f>
        <v/>
      </c>
      <c r="G335" s="41" t="str">
        <f>IF(Trades!$A335="","",Trades!N335)</f>
        <v/>
      </c>
      <c r="H335" s="42" t="str">
        <f>IF(Trades!$A335="","",Trades!F335)</f>
        <v/>
      </c>
      <c r="I335" s="44" t="str">
        <f>IF(Trades!$A335="","",Trades!G335)</f>
        <v/>
      </c>
      <c r="J335" s="44" t="str">
        <f>IF(Trades!$A335="","",Trades!I335)</f>
        <v/>
      </c>
      <c r="K335" s="44" t="str">
        <f>IF(Trades!$A335="","",Trades!Q335)</f>
        <v/>
      </c>
      <c r="L335" s="42" t="str">
        <f>IF(Trades!$A335="","",Trades!F335)</f>
        <v/>
      </c>
      <c r="M335" s="44" t="str">
        <f>IF(Trades!$A335="","",Trades!M335)</f>
        <v/>
      </c>
      <c r="N335" s="44" t="str">
        <f>IF(Trades!$A335="","",Trades!R335)</f>
        <v/>
      </c>
      <c r="O335" s="44" t="str">
        <f>IF(Trades!$A335="","",Trades!J335)</f>
        <v/>
      </c>
      <c r="P335" s="43" t="str">
        <f>IF(Trades!$A335="","",Trades!H335)</f>
        <v/>
      </c>
      <c r="Q335" s="41" t="str">
        <f>IF(Trades!$A335="","",Trades!P335)</f>
        <v/>
      </c>
      <c r="R335" s="45" t="str">
        <f t="shared" si="85"/>
        <v/>
      </c>
      <c r="S335" s="45" t="str">
        <f t="shared" si="86"/>
        <v/>
      </c>
      <c r="T335" s="46" t="str">
        <f>IF(OR($A335="",$B335=""),"",IF(AND(IFERROR(LOOKUP(2,1/($B$9:$B$334=$B335),$AR$9:$AR334),1),NOT(AND(OR($F335="dividend",$F335="fee"),IFERROR(LOOKUP(2,1/($B$9:$B$334=$B335),$T$9:$T334),0)&gt;0))),IFERROR(LOOKUP(2,1/($B$9:$B$334=$B335),$T$9:$T334),0)+1,IFERROR(LOOKUP(2,1/($B$9:$B$334=$B335),$T$9:$T334),0)))</f>
        <v/>
      </c>
      <c r="U335" s="47" t="str">
        <f t="shared" si="87"/>
        <v/>
      </c>
      <c r="V335" s="47" t="str">
        <f>IF($A335="","",IF(OR($B335="",$C335="",$D335="",$E335="",$F335=""),"Missing required field",IF(COUNTIFS($A$9:$A335,$A335,$B$9:$B335,$B335)&gt;1,"Duplicate event ID",IF(AND($E335&lt;&gt;IFERROR(LOOKUP(2,1/($B$9:$B$334=$B335),$E$9:$E334),0),IFERROR(LOOKUP(2,1/($B$9:$B$334=$B335),$E$9:$E334),0)&gt;$E335),"Date out of order",IF(AND(OR($F335="buy_to_close",$F335="expire",$F335="roll",$F335="assignment",$F335="called_away"),$AF335=0),"Unknown lot",IF(OR(AND($F335="assignment",$AF335&gt;0,IF($AF335&gt;0,INDEX($AG$9:$AG$334,$AF335),"")&lt;&gt;"put"),AND($F335="called_away",$AF335&gt;0,IF($AF335&gt;0,INDEX($AG$9:$AG$334,$AF335),"")&lt;&gt;"call")),"Wrong option leg",IF(OR(AND(OR($F335="sell_put",$F335="sell_call"),OR($H335&lt;=0,$I335&lt;=0,$J335&lt;0)),AND(OR($F335="buy_to_close",$F335="expire",$F335="assignment",$F335="called_away"),OR($H335&lt;=0,$J335&lt;0)),AND($F335="roll",OR($H335&lt;=0,$I335&lt;=0,$J335&lt;0,$K335&lt;0)),AND(OR($F335="buy_shares",$F335="sell_shares"),OR($L335&lt;=0,$M335&lt;0)),AND(OR($F335="dividend",$F335="fee"),$N335&lt;0)),"Invalid value",IF(AND(OR($F335="sell_shares",$F335="called_away"),$AL335&lt;IF($F335="called_away",$AE335*$D335,$L335)),"Insufficient shares (capped)",IF(AND(OR($F335="buy_to_close",$F335="expire",$F335="roll",$F335="assignment",$F335="called_away"),$AF335&gt;0,$H335&gt;IF($AF335&gt;0,MAX(0,INDEX($AI$9:$AI$334,$AF335)-SUMIFS($AE$9:$AE$334,$G$9:$G$334,$G335,$B$9:$B$334,$B335)),0)),"Close quantity capped","OK")))))))))</f>
        <v/>
      </c>
      <c r="W335" s="48" t="str">
        <f t="shared" si="88"/>
        <v/>
      </c>
      <c r="X335" s="49" t="str">
        <f t="shared" si="89"/>
        <v/>
      </c>
      <c r="Y335" s="50" t="str">
        <f t="shared" si="90"/>
        <v/>
      </c>
      <c r="Z335" s="50" t="str">
        <f t="shared" si="91"/>
        <v/>
      </c>
      <c r="AA335" s="50" t="str">
        <f t="shared" si="92"/>
        <v/>
      </c>
      <c r="AB335" s="50" t="str">
        <f t="shared" si="93"/>
        <v/>
      </c>
      <c r="AC335" s="50" t="str">
        <f>IF($A335="","",IF($F335="assignment",IF($AF335&gt;0,INDEX($AH$9:$AH$334,$AF335),0)*$AE335*$D335,IF($F335="buy_shares",$M335*$AL335,0)))</f>
        <v/>
      </c>
      <c r="AD335" s="50" t="str">
        <f>IF($A335="","",IF($F335="called_away",IF($AF335&gt;0,INDEX($AH$9:$AH$334,$AF335),0)*$AL335,IF($F335="sell_shares",$M335*$AL335,0)))</f>
        <v/>
      </c>
      <c r="AE335" s="51" t="str">
        <f>IF($A335="","",IF(OR($F335="sell_put",$F335="sell_call"),IF(AND($H335&gt;0,$I335&gt;0,$J335&gt;=0),$H335,0),IF(OR($F335="buy_to_close",$F335="expire",$F335="roll",$F335="assignment",$F335="called_away"),IF(AND($AF335&gt;0,$H335&gt;0,IF($F335="assignment",IF($AF335&gt;0,INDEX($AG$9:$AG$334,$AF335),"")="put",TRUE),IF($F335="called_away",IF($AF335&gt;0,INDEX($AG$9:$AG$334,$AF335),"")="call",TRUE)),MIN($H335,IF($AF335&gt;0,MAX(0,INDEX($AI$9:$AI$334,$AF335)-SUMIFS($AE$9:$AE$334,$G$9:$G$334,$G335,$B$9:$B$334,$B335)),0)),0),0)))</f>
        <v/>
      </c>
      <c r="AF335" t="str">
        <f>IF($A335="","",IFERROR(MATCH(LEN($B335)&amp;":"&amp;$B335&amp;$G335,$AY$9:$AY$334,0),0))</f>
        <v/>
      </c>
      <c r="AG335" t="str">
        <f>IF($A335="","",IF($F335="sell_put","put",IF($F335="sell_call","call",IF($F335="roll",IF($AF335&gt;0,IF($AF335&gt;0,INDEX($AG$9:$AG$334,$AF335),""),""),IF($AF335&gt;0,IF($AF335&gt;0,INDEX($AG$9:$AG$334,$AF335),""),"")))))</f>
        <v/>
      </c>
      <c r="AH335" t="str">
        <f>IF($A335="","",IF(OR($F335="sell_put",$F335="sell_call",$F335="roll"),$I335,IF($AF335&gt;0,IF($AF335&gt;0,INDEX($AH$9:$AH$334,$AF335),0),0)))</f>
        <v/>
      </c>
      <c r="AI335" s="51" t="str">
        <f t="shared" si="94"/>
        <v/>
      </c>
      <c r="AJ335" s="51" t="str">
        <f>IF($A335="","",IFERROR(LOOKUP(2,1/($B$9:$B$334=$B335),$AM$9:$AM334),0))</f>
        <v/>
      </c>
      <c r="AK335" t="str">
        <f>IF($A335="","",IFERROR(LOOKUP(2,1/($B$9:$B$334=$B335),$AN$9:$AN334),0))</f>
        <v/>
      </c>
      <c r="AL335" s="51" t="str">
        <f t="shared" si="95"/>
        <v/>
      </c>
      <c r="AM335" s="51" t="str">
        <f t="shared" si="96"/>
        <v/>
      </c>
      <c r="AN335" t="str">
        <f t="shared" si="97"/>
        <v/>
      </c>
      <c r="AO335" s="50" t="str">
        <f>IF($A335="","",IFERROR(LOOKUP(2,1/($B$9:$B$334=$B335),$AO$9:$AO334),0)+IF($F335="sell_put",$I335*$AE335*$D335,IF($F335="roll",IF($AG335="put",($I335-IF($AF335&gt;0,INDEX($AH$9:$AH$334,$AF335),0))*$AE335*$D335,0),IF(AND(OR($F335="buy_to_close",$F335="expire",$F335="roll",$F335="assignment",$F335="called_away"),$F335&lt;&gt;"roll",$AG335="put"),-IF($AF335&gt;0,INDEX($AH$9:$AH$334,$AF335),0)*$AE335*$D335,0))))</f>
        <v/>
      </c>
      <c r="AP335" s="51" t="str">
        <f>IF($A335="","",IFERROR(LOOKUP(2,1/($B$9:$B$334=$B335),$AP$9:$AP334),0)+IF($F335="sell_put",$AE335*$D335,IF(AND(OR($F335="buy_to_close",$F335="expire",$F335="roll",$F335="assignment",$F335="called_away"),$F335&lt;&gt;"roll",$AG335="put"),-$AE335*$D335,0)))</f>
        <v/>
      </c>
      <c r="AQ335" s="51" t="str">
        <f>IF($A335="","",IFERROR(LOOKUP(2,1/($B$9:$B$334=$B335),$AQ$9:$AQ334),0)+IF(OR($F335="sell_put",$F335="sell_call"),$AE335,0)-IF(AND(OR($F335="buy_to_close",$F335="expire",$F335="roll",$F335="assignment",$F335="called_away"),$F335&lt;&gt;"roll"),$AE335,0))</f>
        <v/>
      </c>
      <c r="AR335" t="str">
        <f t="shared" si="98"/>
        <v/>
      </c>
      <c r="AS335" s="50" t="str">
        <f t="shared" si="99"/>
        <v/>
      </c>
      <c r="AT335" s="50" t="str">
        <f>IF($A335="","",MAX(IF($T335=IFERROR(LOOKUP(2,1/($B$9:$B$334=$B335),$T$9:$T334),0),IFERROR(LOOKUP(2,1/($B$9:$B$334=$B335),$AT$9:$AT334),0),0),$AS335))</f>
        <v/>
      </c>
      <c r="AU335" t="str">
        <f t="shared" si="100"/>
        <v/>
      </c>
      <c r="AV335" s="51">
        <f>IF($AU335="",0,IF(AND(IFERROR(LOOKUP(2,1/($B$9:$B$334=$B335),$AR$9:$AR334),1),NOT(AND(OR($F335="dividend",$F335="fee"),IFERROR(LOOKUP(2,1/($B$9:$B$334=$B335),$T$9:$T334),0)&gt;0))),ROW(),0))</f>
        <v>0</v>
      </c>
      <c r="AW335">
        <f>IF($A335="",0,IF($AV335&gt;0,MAX($AW$9:$AW$334)+1,MAX($AW$9:$AW$334)))</f>
        <v>0</v>
      </c>
      <c r="AX335">
        <f>IF($AU335="",0,IF(AND($AR335,OR(NOT(IFERROR(LOOKUP(2,1/($B$9:$B$334=$B335),$AR$9:$AR334),1)),IFERROR(LOOKUP(2,1/($B$9:$B$334=$B335),$T$9:$T334),0)=0)),ROW(),0))</f>
        <v>0</v>
      </c>
      <c r="AY335" t="str">
        <f t="shared" si="101"/>
        <v/>
      </c>
    </row>
    <row r="336" spans="1:51" ht="15" x14ac:dyDescent="0.25">
      <c r="A336" s="52" t="str">
        <f>IF(Trades!$A336="","",Trades!O336)</f>
        <v/>
      </c>
      <c r="B336" s="52" t="str">
        <f>IF(Trades!$A336="","",Trades!B336)</f>
        <v/>
      </c>
      <c r="C336" s="52" t="str">
        <f>IF(Trades!$A336="","",Trades!C336)</f>
        <v/>
      </c>
      <c r="D336" s="53" t="str">
        <f>IF(Trades!$A336="","",IF(Trades!$L336&gt;0,Trades!$L336,Trades!$C$6))</f>
        <v/>
      </c>
      <c r="E336" s="54" t="str">
        <f>IF(Trades!$A336="","",Trades!A336)</f>
        <v/>
      </c>
      <c r="F336" s="52" t="str">
        <f>IF(Trades!$A336="","",IFERROR(INDEX(Trades!$V$2:$V$14,MATCH(Trades!$E336,Trades!$U$2:$U$14,0)),""))</f>
        <v/>
      </c>
      <c r="G336" s="52" t="str">
        <f>IF(Trades!$A336="","",Trades!N336)</f>
        <v/>
      </c>
      <c r="H336" s="53" t="str">
        <f>IF(Trades!$A336="","",Trades!F336)</f>
        <v/>
      </c>
      <c r="I336" s="55" t="str">
        <f>IF(Trades!$A336="","",Trades!G336)</f>
        <v/>
      </c>
      <c r="J336" s="55" t="str">
        <f>IF(Trades!$A336="","",Trades!I336)</f>
        <v/>
      </c>
      <c r="K336" s="55" t="str">
        <f>IF(Trades!$A336="","",Trades!Q336)</f>
        <v/>
      </c>
      <c r="L336" s="53" t="str">
        <f>IF(Trades!$A336="","",Trades!F336)</f>
        <v/>
      </c>
      <c r="M336" s="55" t="str">
        <f>IF(Trades!$A336="","",Trades!M336)</f>
        <v/>
      </c>
      <c r="N336" s="55" t="str">
        <f>IF(Trades!$A336="","",Trades!R336)</f>
        <v/>
      </c>
      <c r="O336" s="55" t="str">
        <f>IF(Trades!$A336="","",Trades!J336)</f>
        <v/>
      </c>
      <c r="P336" s="54" t="str">
        <f>IF(Trades!$A336="","",Trades!H336)</f>
        <v/>
      </c>
      <c r="Q336" s="52" t="str">
        <f>IF(Trades!$A336="","",Trades!P336)</f>
        <v/>
      </c>
      <c r="R336" s="56" t="str">
        <f t="shared" si="85"/>
        <v/>
      </c>
      <c r="S336" s="56" t="str">
        <f t="shared" si="86"/>
        <v/>
      </c>
      <c r="T336" s="57" t="str">
        <f>IF(OR($A336="",$B336=""),"",IF(AND(IFERROR(LOOKUP(2,1/($B$9:$B$335=$B336),$AR$9:$AR335),1),NOT(AND(OR($F336="dividend",$F336="fee"),IFERROR(LOOKUP(2,1/($B$9:$B$335=$B336),$T$9:$T335),0)&gt;0))),IFERROR(LOOKUP(2,1/($B$9:$B$335=$B336),$T$9:$T335),0)+1,IFERROR(LOOKUP(2,1/($B$9:$B$335=$B336),$T$9:$T335),0)))</f>
        <v/>
      </c>
      <c r="U336" s="58" t="str">
        <f t="shared" si="87"/>
        <v/>
      </c>
      <c r="V336" s="58" t="str">
        <f>IF($A336="","",IF(OR($B336="",$C336="",$D336="",$E336="",$F336=""),"Missing required field",IF(COUNTIFS($A$9:$A336,$A336,$B$9:$B336,$B336)&gt;1,"Duplicate event ID",IF(AND($E336&lt;&gt;IFERROR(LOOKUP(2,1/($B$9:$B$335=$B336),$E$9:$E335),0),IFERROR(LOOKUP(2,1/($B$9:$B$335=$B336),$E$9:$E335),0)&gt;$E336),"Date out of order",IF(AND(OR($F336="buy_to_close",$F336="expire",$F336="roll",$F336="assignment",$F336="called_away"),$AF336=0),"Unknown lot",IF(OR(AND($F336="assignment",$AF336&gt;0,IF($AF336&gt;0,INDEX($AG$9:$AG$335,$AF336),"")&lt;&gt;"put"),AND($F336="called_away",$AF336&gt;0,IF($AF336&gt;0,INDEX($AG$9:$AG$335,$AF336),"")&lt;&gt;"call")),"Wrong option leg",IF(OR(AND(OR($F336="sell_put",$F336="sell_call"),OR($H336&lt;=0,$I336&lt;=0,$J336&lt;0)),AND(OR($F336="buy_to_close",$F336="expire",$F336="assignment",$F336="called_away"),OR($H336&lt;=0,$J336&lt;0)),AND($F336="roll",OR($H336&lt;=0,$I336&lt;=0,$J336&lt;0,$K336&lt;0)),AND(OR($F336="buy_shares",$F336="sell_shares"),OR($L336&lt;=0,$M336&lt;0)),AND(OR($F336="dividend",$F336="fee"),$N336&lt;0)),"Invalid value",IF(AND(OR($F336="sell_shares",$F336="called_away"),$AL336&lt;IF($F336="called_away",$AE336*$D336,$L336)),"Insufficient shares (capped)",IF(AND(OR($F336="buy_to_close",$F336="expire",$F336="roll",$F336="assignment",$F336="called_away"),$AF336&gt;0,$H336&gt;IF($AF336&gt;0,MAX(0,INDEX($AI$9:$AI$335,$AF336)-SUMIFS($AE$9:$AE$335,$G$9:$G$335,$G336,$B$9:$B$335,$B336)),0)),"Close quantity capped","OK")))))))))</f>
        <v/>
      </c>
      <c r="W336" s="59" t="str">
        <f t="shared" si="88"/>
        <v/>
      </c>
      <c r="X336" s="60" t="str">
        <f t="shared" si="89"/>
        <v/>
      </c>
      <c r="Y336" s="50" t="str">
        <f t="shared" si="90"/>
        <v/>
      </c>
      <c r="Z336" s="50" t="str">
        <f t="shared" si="91"/>
        <v/>
      </c>
      <c r="AA336" s="50" t="str">
        <f t="shared" si="92"/>
        <v/>
      </c>
      <c r="AB336" s="50" t="str">
        <f t="shared" si="93"/>
        <v/>
      </c>
      <c r="AC336" s="50" t="str">
        <f>IF($A336="","",IF($F336="assignment",IF($AF336&gt;0,INDEX($AH$9:$AH$335,$AF336),0)*$AE336*$D336,IF($F336="buy_shares",$M336*$AL336,0)))</f>
        <v/>
      </c>
      <c r="AD336" s="50" t="str">
        <f>IF($A336="","",IF($F336="called_away",IF($AF336&gt;0,INDEX($AH$9:$AH$335,$AF336),0)*$AL336,IF($F336="sell_shares",$M336*$AL336,0)))</f>
        <v/>
      </c>
      <c r="AE336" s="51" t="str">
        <f>IF($A336="","",IF(OR($F336="sell_put",$F336="sell_call"),IF(AND($H336&gt;0,$I336&gt;0,$J336&gt;=0),$H336,0),IF(OR($F336="buy_to_close",$F336="expire",$F336="roll",$F336="assignment",$F336="called_away"),IF(AND($AF336&gt;0,$H336&gt;0,IF($F336="assignment",IF($AF336&gt;0,INDEX($AG$9:$AG$335,$AF336),"")="put",TRUE),IF($F336="called_away",IF($AF336&gt;0,INDEX($AG$9:$AG$335,$AF336),"")="call",TRUE)),MIN($H336,IF($AF336&gt;0,MAX(0,INDEX($AI$9:$AI$335,$AF336)-SUMIFS($AE$9:$AE$335,$G$9:$G$335,$G336,$B$9:$B$335,$B336)),0)),0),0)))</f>
        <v/>
      </c>
      <c r="AF336" t="str">
        <f>IF($A336="","",IFERROR(MATCH(LEN($B336)&amp;":"&amp;$B336&amp;$G336,$AY$9:$AY$335,0),0))</f>
        <v/>
      </c>
      <c r="AG336" t="str">
        <f>IF($A336="","",IF($F336="sell_put","put",IF($F336="sell_call","call",IF($F336="roll",IF($AF336&gt;0,IF($AF336&gt;0,INDEX($AG$9:$AG$335,$AF336),""),""),IF($AF336&gt;0,IF($AF336&gt;0,INDEX($AG$9:$AG$335,$AF336),""),"")))))</f>
        <v/>
      </c>
      <c r="AH336" t="str">
        <f>IF($A336="","",IF(OR($F336="sell_put",$F336="sell_call",$F336="roll"),$I336,IF($AF336&gt;0,IF($AF336&gt;0,INDEX($AH$9:$AH$335,$AF336),0),0)))</f>
        <v/>
      </c>
      <c r="AI336" s="51" t="str">
        <f t="shared" si="94"/>
        <v/>
      </c>
      <c r="AJ336" s="51" t="str">
        <f>IF($A336="","",IFERROR(LOOKUP(2,1/($B$9:$B$335=$B336),$AM$9:$AM335),0))</f>
        <v/>
      </c>
      <c r="AK336" t="str">
        <f>IF($A336="","",IFERROR(LOOKUP(2,1/($B$9:$B$335=$B336),$AN$9:$AN335),0))</f>
        <v/>
      </c>
      <c r="AL336" s="51" t="str">
        <f t="shared" si="95"/>
        <v/>
      </c>
      <c r="AM336" s="51" t="str">
        <f t="shared" si="96"/>
        <v/>
      </c>
      <c r="AN336" t="str">
        <f t="shared" si="97"/>
        <v/>
      </c>
      <c r="AO336" s="50" t="str">
        <f>IF($A336="","",IFERROR(LOOKUP(2,1/($B$9:$B$335=$B336),$AO$9:$AO335),0)+IF($F336="sell_put",$I336*$AE336*$D336,IF($F336="roll",IF($AG336="put",($I336-IF($AF336&gt;0,INDEX($AH$9:$AH$335,$AF336),0))*$AE336*$D336,0),IF(AND(OR($F336="buy_to_close",$F336="expire",$F336="roll",$F336="assignment",$F336="called_away"),$F336&lt;&gt;"roll",$AG336="put"),-IF($AF336&gt;0,INDEX($AH$9:$AH$335,$AF336),0)*$AE336*$D336,0))))</f>
        <v/>
      </c>
      <c r="AP336" s="51" t="str">
        <f>IF($A336="","",IFERROR(LOOKUP(2,1/($B$9:$B$335=$B336),$AP$9:$AP335),0)+IF($F336="sell_put",$AE336*$D336,IF(AND(OR($F336="buy_to_close",$F336="expire",$F336="roll",$F336="assignment",$F336="called_away"),$F336&lt;&gt;"roll",$AG336="put"),-$AE336*$D336,0)))</f>
        <v/>
      </c>
      <c r="AQ336" s="51" t="str">
        <f>IF($A336="","",IFERROR(LOOKUP(2,1/($B$9:$B$335=$B336),$AQ$9:$AQ335),0)+IF(OR($F336="sell_put",$F336="sell_call"),$AE336,0)-IF(AND(OR($F336="buy_to_close",$F336="expire",$F336="roll",$F336="assignment",$F336="called_away"),$F336&lt;&gt;"roll"),$AE336,0))</f>
        <v/>
      </c>
      <c r="AR336" t="str">
        <f t="shared" si="98"/>
        <v/>
      </c>
      <c r="AS336" s="50" t="str">
        <f t="shared" si="99"/>
        <v/>
      </c>
      <c r="AT336" s="50" t="str">
        <f>IF($A336="","",MAX(IF($T336=IFERROR(LOOKUP(2,1/($B$9:$B$335=$B336),$T$9:$T335),0),IFERROR(LOOKUP(2,1/($B$9:$B$335=$B336),$AT$9:$AT335),0),0),$AS336))</f>
        <v/>
      </c>
      <c r="AU336" t="str">
        <f t="shared" si="100"/>
        <v/>
      </c>
      <c r="AV336" s="51">
        <f>IF($AU336="",0,IF(AND(IFERROR(LOOKUP(2,1/($B$9:$B$335=$B336),$AR$9:$AR335),1),NOT(AND(OR($F336="dividend",$F336="fee"),IFERROR(LOOKUP(2,1/($B$9:$B$335=$B336),$T$9:$T335),0)&gt;0))),ROW(),0))</f>
        <v>0</v>
      </c>
      <c r="AW336">
        <f>IF($A336="",0,IF($AV336&gt;0,MAX($AW$9:$AW$335)+1,MAX($AW$9:$AW$335)))</f>
        <v>0</v>
      </c>
      <c r="AX336">
        <f>IF($AU336="",0,IF(AND($AR336,OR(NOT(IFERROR(LOOKUP(2,1/($B$9:$B$335=$B336),$AR$9:$AR335),1)),IFERROR(LOOKUP(2,1/($B$9:$B$335=$B336),$T$9:$T335),0)=0)),ROW(),0))</f>
        <v>0</v>
      </c>
      <c r="AY336" t="str">
        <f t="shared" si="101"/>
        <v/>
      </c>
    </row>
    <row r="337" spans="1:51" ht="15" x14ac:dyDescent="0.25">
      <c r="A337" s="41" t="str">
        <f>IF(Trades!$A337="","",Trades!O337)</f>
        <v/>
      </c>
      <c r="B337" s="41" t="str">
        <f>IF(Trades!$A337="","",Trades!B337)</f>
        <v/>
      </c>
      <c r="C337" s="41" t="str">
        <f>IF(Trades!$A337="","",Trades!C337)</f>
        <v/>
      </c>
      <c r="D337" s="42" t="str">
        <f>IF(Trades!$A337="","",IF(Trades!$L337&gt;0,Trades!$L337,Trades!$C$6))</f>
        <v/>
      </c>
      <c r="E337" s="43" t="str">
        <f>IF(Trades!$A337="","",Trades!A337)</f>
        <v/>
      </c>
      <c r="F337" s="41" t="str">
        <f>IF(Trades!$A337="","",IFERROR(INDEX(Trades!$V$2:$V$14,MATCH(Trades!$E337,Trades!$U$2:$U$14,0)),""))</f>
        <v/>
      </c>
      <c r="G337" s="41" t="str">
        <f>IF(Trades!$A337="","",Trades!N337)</f>
        <v/>
      </c>
      <c r="H337" s="42" t="str">
        <f>IF(Trades!$A337="","",Trades!F337)</f>
        <v/>
      </c>
      <c r="I337" s="44" t="str">
        <f>IF(Trades!$A337="","",Trades!G337)</f>
        <v/>
      </c>
      <c r="J337" s="44" t="str">
        <f>IF(Trades!$A337="","",Trades!I337)</f>
        <v/>
      </c>
      <c r="K337" s="44" t="str">
        <f>IF(Trades!$A337="","",Trades!Q337)</f>
        <v/>
      </c>
      <c r="L337" s="42" t="str">
        <f>IF(Trades!$A337="","",Trades!F337)</f>
        <v/>
      </c>
      <c r="M337" s="44" t="str">
        <f>IF(Trades!$A337="","",Trades!M337)</f>
        <v/>
      </c>
      <c r="N337" s="44" t="str">
        <f>IF(Trades!$A337="","",Trades!R337)</f>
        <v/>
      </c>
      <c r="O337" s="44" t="str">
        <f>IF(Trades!$A337="","",Trades!J337)</f>
        <v/>
      </c>
      <c r="P337" s="43" t="str">
        <f>IF(Trades!$A337="","",Trades!H337)</f>
        <v/>
      </c>
      <c r="Q337" s="41" t="str">
        <f>IF(Trades!$A337="","",Trades!P337)</f>
        <v/>
      </c>
      <c r="R337" s="45" t="str">
        <f t="shared" si="85"/>
        <v/>
      </c>
      <c r="S337" s="45" t="str">
        <f t="shared" si="86"/>
        <v/>
      </c>
      <c r="T337" s="46" t="str">
        <f>IF(OR($A337="",$B337=""),"",IF(AND(IFERROR(LOOKUP(2,1/($B$9:$B$336=$B337),$AR$9:$AR336),1),NOT(AND(OR($F337="dividend",$F337="fee"),IFERROR(LOOKUP(2,1/($B$9:$B$336=$B337),$T$9:$T336),0)&gt;0))),IFERROR(LOOKUP(2,1/($B$9:$B$336=$B337),$T$9:$T336),0)+1,IFERROR(LOOKUP(2,1/($B$9:$B$336=$B337),$T$9:$T336),0)))</f>
        <v/>
      </c>
      <c r="U337" s="47" t="str">
        <f t="shared" si="87"/>
        <v/>
      </c>
      <c r="V337" s="47" t="str">
        <f>IF($A337="","",IF(OR($B337="",$C337="",$D337="",$E337="",$F337=""),"Missing required field",IF(COUNTIFS($A$9:$A337,$A337,$B$9:$B337,$B337)&gt;1,"Duplicate event ID",IF(AND($E337&lt;&gt;IFERROR(LOOKUP(2,1/($B$9:$B$336=$B337),$E$9:$E336),0),IFERROR(LOOKUP(2,1/($B$9:$B$336=$B337),$E$9:$E336),0)&gt;$E337),"Date out of order",IF(AND(OR($F337="buy_to_close",$F337="expire",$F337="roll",$F337="assignment",$F337="called_away"),$AF337=0),"Unknown lot",IF(OR(AND($F337="assignment",$AF337&gt;0,IF($AF337&gt;0,INDEX($AG$9:$AG$336,$AF337),"")&lt;&gt;"put"),AND($F337="called_away",$AF337&gt;0,IF($AF337&gt;0,INDEX($AG$9:$AG$336,$AF337),"")&lt;&gt;"call")),"Wrong option leg",IF(OR(AND(OR($F337="sell_put",$F337="sell_call"),OR($H337&lt;=0,$I337&lt;=0,$J337&lt;0)),AND(OR($F337="buy_to_close",$F337="expire",$F337="assignment",$F337="called_away"),OR($H337&lt;=0,$J337&lt;0)),AND($F337="roll",OR($H337&lt;=0,$I337&lt;=0,$J337&lt;0,$K337&lt;0)),AND(OR($F337="buy_shares",$F337="sell_shares"),OR($L337&lt;=0,$M337&lt;0)),AND(OR($F337="dividend",$F337="fee"),$N337&lt;0)),"Invalid value",IF(AND(OR($F337="sell_shares",$F337="called_away"),$AL337&lt;IF($F337="called_away",$AE337*$D337,$L337)),"Insufficient shares (capped)",IF(AND(OR($F337="buy_to_close",$F337="expire",$F337="roll",$F337="assignment",$F337="called_away"),$AF337&gt;0,$H337&gt;IF($AF337&gt;0,MAX(0,INDEX($AI$9:$AI$336,$AF337)-SUMIFS($AE$9:$AE$336,$G$9:$G$336,$G337,$B$9:$B$336,$B337)),0)),"Close quantity capped","OK")))))))))</f>
        <v/>
      </c>
      <c r="W337" s="48" t="str">
        <f t="shared" si="88"/>
        <v/>
      </c>
      <c r="X337" s="49" t="str">
        <f t="shared" si="89"/>
        <v/>
      </c>
      <c r="Y337" s="50" t="str">
        <f t="shared" si="90"/>
        <v/>
      </c>
      <c r="Z337" s="50" t="str">
        <f t="shared" si="91"/>
        <v/>
      </c>
      <c r="AA337" s="50" t="str">
        <f t="shared" si="92"/>
        <v/>
      </c>
      <c r="AB337" s="50" t="str">
        <f t="shared" si="93"/>
        <v/>
      </c>
      <c r="AC337" s="50" t="str">
        <f>IF($A337="","",IF($F337="assignment",IF($AF337&gt;0,INDEX($AH$9:$AH$336,$AF337),0)*$AE337*$D337,IF($F337="buy_shares",$M337*$AL337,0)))</f>
        <v/>
      </c>
      <c r="AD337" s="50" t="str">
        <f>IF($A337="","",IF($F337="called_away",IF($AF337&gt;0,INDEX($AH$9:$AH$336,$AF337),0)*$AL337,IF($F337="sell_shares",$M337*$AL337,0)))</f>
        <v/>
      </c>
      <c r="AE337" s="51" t="str">
        <f>IF($A337="","",IF(OR($F337="sell_put",$F337="sell_call"),IF(AND($H337&gt;0,$I337&gt;0,$J337&gt;=0),$H337,0),IF(OR($F337="buy_to_close",$F337="expire",$F337="roll",$F337="assignment",$F337="called_away"),IF(AND($AF337&gt;0,$H337&gt;0,IF($F337="assignment",IF($AF337&gt;0,INDEX($AG$9:$AG$336,$AF337),"")="put",TRUE),IF($F337="called_away",IF($AF337&gt;0,INDEX($AG$9:$AG$336,$AF337),"")="call",TRUE)),MIN($H337,IF($AF337&gt;0,MAX(0,INDEX($AI$9:$AI$336,$AF337)-SUMIFS($AE$9:$AE$336,$G$9:$G$336,$G337,$B$9:$B$336,$B337)),0)),0),0)))</f>
        <v/>
      </c>
      <c r="AF337" t="str">
        <f>IF($A337="","",IFERROR(MATCH(LEN($B337)&amp;":"&amp;$B337&amp;$G337,$AY$9:$AY$336,0),0))</f>
        <v/>
      </c>
      <c r="AG337" t="str">
        <f>IF($A337="","",IF($F337="sell_put","put",IF($F337="sell_call","call",IF($F337="roll",IF($AF337&gt;0,IF($AF337&gt;0,INDEX($AG$9:$AG$336,$AF337),""),""),IF($AF337&gt;0,IF($AF337&gt;0,INDEX($AG$9:$AG$336,$AF337),""),"")))))</f>
        <v/>
      </c>
      <c r="AH337" t="str">
        <f>IF($A337="","",IF(OR($F337="sell_put",$F337="sell_call",$F337="roll"),$I337,IF($AF337&gt;0,IF($AF337&gt;0,INDEX($AH$9:$AH$336,$AF337),0),0)))</f>
        <v/>
      </c>
      <c r="AI337" s="51" t="str">
        <f t="shared" si="94"/>
        <v/>
      </c>
      <c r="AJ337" s="51" t="str">
        <f>IF($A337="","",IFERROR(LOOKUP(2,1/($B$9:$B$336=$B337),$AM$9:$AM336),0))</f>
        <v/>
      </c>
      <c r="AK337" t="str">
        <f>IF($A337="","",IFERROR(LOOKUP(2,1/($B$9:$B$336=$B337),$AN$9:$AN336),0))</f>
        <v/>
      </c>
      <c r="AL337" s="51" t="str">
        <f t="shared" si="95"/>
        <v/>
      </c>
      <c r="AM337" s="51" t="str">
        <f t="shared" si="96"/>
        <v/>
      </c>
      <c r="AN337" t="str">
        <f t="shared" si="97"/>
        <v/>
      </c>
      <c r="AO337" s="50" t="str">
        <f>IF($A337="","",IFERROR(LOOKUP(2,1/($B$9:$B$336=$B337),$AO$9:$AO336),0)+IF($F337="sell_put",$I337*$AE337*$D337,IF($F337="roll",IF($AG337="put",($I337-IF($AF337&gt;0,INDEX($AH$9:$AH$336,$AF337),0))*$AE337*$D337,0),IF(AND(OR($F337="buy_to_close",$F337="expire",$F337="roll",$F337="assignment",$F337="called_away"),$F337&lt;&gt;"roll",$AG337="put"),-IF($AF337&gt;0,INDEX($AH$9:$AH$336,$AF337),0)*$AE337*$D337,0))))</f>
        <v/>
      </c>
      <c r="AP337" s="51" t="str">
        <f>IF($A337="","",IFERROR(LOOKUP(2,1/($B$9:$B$336=$B337),$AP$9:$AP336),0)+IF($F337="sell_put",$AE337*$D337,IF(AND(OR($F337="buy_to_close",$F337="expire",$F337="roll",$F337="assignment",$F337="called_away"),$F337&lt;&gt;"roll",$AG337="put"),-$AE337*$D337,0)))</f>
        <v/>
      </c>
      <c r="AQ337" s="51" t="str">
        <f>IF($A337="","",IFERROR(LOOKUP(2,1/($B$9:$B$336=$B337),$AQ$9:$AQ336),0)+IF(OR($F337="sell_put",$F337="sell_call"),$AE337,0)-IF(AND(OR($F337="buy_to_close",$F337="expire",$F337="roll",$F337="assignment",$F337="called_away"),$F337&lt;&gt;"roll"),$AE337,0))</f>
        <v/>
      </c>
      <c r="AR337" t="str">
        <f t="shared" si="98"/>
        <v/>
      </c>
      <c r="AS337" s="50" t="str">
        <f t="shared" si="99"/>
        <v/>
      </c>
      <c r="AT337" s="50" t="str">
        <f>IF($A337="","",MAX(IF($T337=IFERROR(LOOKUP(2,1/($B$9:$B$336=$B337),$T$9:$T336),0),IFERROR(LOOKUP(2,1/($B$9:$B$336=$B337),$AT$9:$AT336),0),0),$AS337))</f>
        <v/>
      </c>
      <c r="AU337" t="str">
        <f t="shared" si="100"/>
        <v/>
      </c>
      <c r="AV337" s="51">
        <f>IF($AU337="",0,IF(AND(IFERROR(LOOKUP(2,1/($B$9:$B$336=$B337),$AR$9:$AR336),1),NOT(AND(OR($F337="dividend",$F337="fee"),IFERROR(LOOKUP(2,1/($B$9:$B$336=$B337),$T$9:$T336),0)&gt;0))),ROW(),0))</f>
        <v>0</v>
      </c>
      <c r="AW337">
        <f>IF($A337="",0,IF($AV337&gt;0,MAX($AW$9:$AW$336)+1,MAX($AW$9:$AW$336)))</f>
        <v>0</v>
      </c>
      <c r="AX337">
        <f>IF($AU337="",0,IF(AND($AR337,OR(NOT(IFERROR(LOOKUP(2,1/($B$9:$B$336=$B337),$AR$9:$AR336),1)),IFERROR(LOOKUP(2,1/($B$9:$B$336=$B337),$T$9:$T336),0)=0)),ROW(),0))</f>
        <v>0</v>
      </c>
      <c r="AY337" t="str">
        <f t="shared" si="101"/>
        <v/>
      </c>
    </row>
    <row r="338" spans="1:51" ht="15" x14ac:dyDescent="0.25">
      <c r="A338" s="52" t="str">
        <f>IF(Trades!$A338="","",Trades!O338)</f>
        <v/>
      </c>
      <c r="B338" s="52" t="str">
        <f>IF(Trades!$A338="","",Trades!B338)</f>
        <v/>
      </c>
      <c r="C338" s="52" t="str">
        <f>IF(Trades!$A338="","",Trades!C338)</f>
        <v/>
      </c>
      <c r="D338" s="53" t="str">
        <f>IF(Trades!$A338="","",IF(Trades!$L338&gt;0,Trades!$L338,Trades!$C$6))</f>
        <v/>
      </c>
      <c r="E338" s="54" t="str">
        <f>IF(Trades!$A338="","",Trades!A338)</f>
        <v/>
      </c>
      <c r="F338" s="52" t="str">
        <f>IF(Trades!$A338="","",IFERROR(INDEX(Trades!$V$2:$V$14,MATCH(Trades!$E338,Trades!$U$2:$U$14,0)),""))</f>
        <v/>
      </c>
      <c r="G338" s="52" t="str">
        <f>IF(Trades!$A338="","",Trades!N338)</f>
        <v/>
      </c>
      <c r="H338" s="53" t="str">
        <f>IF(Trades!$A338="","",Trades!F338)</f>
        <v/>
      </c>
      <c r="I338" s="55" t="str">
        <f>IF(Trades!$A338="","",Trades!G338)</f>
        <v/>
      </c>
      <c r="J338" s="55" t="str">
        <f>IF(Trades!$A338="","",Trades!I338)</f>
        <v/>
      </c>
      <c r="K338" s="55" t="str">
        <f>IF(Trades!$A338="","",Trades!Q338)</f>
        <v/>
      </c>
      <c r="L338" s="53" t="str">
        <f>IF(Trades!$A338="","",Trades!F338)</f>
        <v/>
      </c>
      <c r="M338" s="55" t="str">
        <f>IF(Trades!$A338="","",Trades!M338)</f>
        <v/>
      </c>
      <c r="N338" s="55" t="str">
        <f>IF(Trades!$A338="","",Trades!R338)</f>
        <v/>
      </c>
      <c r="O338" s="55" t="str">
        <f>IF(Trades!$A338="","",Trades!J338)</f>
        <v/>
      </c>
      <c r="P338" s="54" t="str">
        <f>IF(Trades!$A338="","",Trades!H338)</f>
        <v/>
      </c>
      <c r="Q338" s="52" t="str">
        <f>IF(Trades!$A338="","",Trades!P338)</f>
        <v/>
      </c>
      <c r="R338" s="56" t="str">
        <f t="shared" si="85"/>
        <v/>
      </c>
      <c r="S338" s="56" t="str">
        <f t="shared" si="86"/>
        <v/>
      </c>
      <c r="T338" s="57" t="str">
        <f>IF(OR($A338="",$B338=""),"",IF(AND(IFERROR(LOOKUP(2,1/($B$9:$B$337=$B338),$AR$9:$AR337),1),NOT(AND(OR($F338="dividend",$F338="fee"),IFERROR(LOOKUP(2,1/($B$9:$B$337=$B338),$T$9:$T337),0)&gt;0))),IFERROR(LOOKUP(2,1/($B$9:$B$337=$B338),$T$9:$T337),0)+1,IFERROR(LOOKUP(2,1/($B$9:$B$337=$B338),$T$9:$T337),0)))</f>
        <v/>
      </c>
      <c r="U338" s="58" t="str">
        <f t="shared" si="87"/>
        <v/>
      </c>
      <c r="V338" s="58" t="str">
        <f>IF($A338="","",IF(OR($B338="",$C338="",$D338="",$E338="",$F338=""),"Missing required field",IF(COUNTIFS($A$9:$A338,$A338,$B$9:$B338,$B338)&gt;1,"Duplicate event ID",IF(AND($E338&lt;&gt;IFERROR(LOOKUP(2,1/($B$9:$B$337=$B338),$E$9:$E337),0),IFERROR(LOOKUP(2,1/($B$9:$B$337=$B338),$E$9:$E337),0)&gt;$E338),"Date out of order",IF(AND(OR($F338="buy_to_close",$F338="expire",$F338="roll",$F338="assignment",$F338="called_away"),$AF338=0),"Unknown lot",IF(OR(AND($F338="assignment",$AF338&gt;0,IF($AF338&gt;0,INDEX($AG$9:$AG$337,$AF338),"")&lt;&gt;"put"),AND($F338="called_away",$AF338&gt;0,IF($AF338&gt;0,INDEX($AG$9:$AG$337,$AF338),"")&lt;&gt;"call")),"Wrong option leg",IF(OR(AND(OR($F338="sell_put",$F338="sell_call"),OR($H338&lt;=0,$I338&lt;=0,$J338&lt;0)),AND(OR($F338="buy_to_close",$F338="expire",$F338="assignment",$F338="called_away"),OR($H338&lt;=0,$J338&lt;0)),AND($F338="roll",OR($H338&lt;=0,$I338&lt;=0,$J338&lt;0,$K338&lt;0)),AND(OR($F338="buy_shares",$F338="sell_shares"),OR($L338&lt;=0,$M338&lt;0)),AND(OR($F338="dividend",$F338="fee"),$N338&lt;0)),"Invalid value",IF(AND(OR($F338="sell_shares",$F338="called_away"),$AL338&lt;IF($F338="called_away",$AE338*$D338,$L338)),"Insufficient shares (capped)",IF(AND(OR($F338="buy_to_close",$F338="expire",$F338="roll",$F338="assignment",$F338="called_away"),$AF338&gt;0,$H338&gt;IF($AF338&gt;0,MAX(0,INDEX($AI$9:$AI$337,$AF338)-SUMIFS($AE$9:$AE$337,$G$9:$G$337,$G338,$B$9:$B$337,$B338)),0)),"Close quantity capped","OK")))))))))</f>
        <v/>
      </c>
      <c r="W338" s="59" t="str">
        <f t="shared" si="88"/>
        <v/>
      </c>
      <c r="X338" s="60" t="str">
        <f t="shared" si="89"/>
        <v/>
      </c>
      <c r="Y338" s="50" t="str">
        <f t="shared" si="90"/>
        <v/>
      </c>
      <c r="Z338" s="50" t="str">
        <f t="shared" si="91"/>
        <v/>
      </c>
      <c r="AA338" s="50" t="str">
        <f t="shared" si="92"/>
        <v/>
      </c>
      <c r="AB338" s="50" t="str">
        <f t="shared" si="93"/>
        <v/>
      </c>
      <c r="AC338" s="50" t="str">
        <f>IF($A338="","",IF($F338="assignment",IF($AF338&gt;0,INDEX($AH$9:$AH$337,$AF338),0)*$AE338*$D338,IF($F338="buy_shares",$M338*$AL338,0)))</f>
        <v/>
      </c>
      <c r="AD338" s="50" t="str">
        <f>IF($A338="","",IF($F338="called_away",IF($AF338&gt;0,INDEX($AH$9:$AH$337,$AF338),0)*$AL338,IF($F338="sell_shares",$M338*$AL338,0)))</f>
        <v/>
      </c>
      <c r="AE338" s="51" t="str">
        <f>IF($A338="","",IF(OR($F338="sell_put",$F338="sell_call"),IF(AND($H338&gt;0,$I338&gt;0,$J338&gt;=0),$H338,0),IF(OR($F338="buy_to_close",$F338="expire",$F338="roll",$F338="assignment",$F338="called_away"),IF(AND($AF338&gt;0,$H338&gt;0,IF($F338="assignment",IF($AF338&gt;0,INDEX($AG$9:$AG$337,$AF338),"")="put",TRUE),IF($F338="called_away",IF($AF338&gt;0,INDEX($AG$9:$AG$337,$AF338),"")="call",TRUE)),MIN($H338,IF($AF338&gt;0,MAX(0,INDEX($AI$9:$AI$337,$AF338)-SUMIFS($AE$9:$AE$337,$G$9:$G$337,$G338,$B$9:$B$337,$B338)),0)),0),0)))</f>
        <v/>
      </c>
      <c r="AF338" t="str">
        <f>IF($A338="","",IFERROR(MATCH(LEN($B338)&amp;":"&amp;$B338&amp;$G338,$AY$9:$AY$337,0),0))</f>
        <v/>
      </c>
      <c r="AG338" t="str">
        <f>IF($A338="","",IF($F338="sell_put","put",IF($F338="sell_call","call",IF($F338="roll",IF($AF338&gt;0,IF($AF338&gt;0,INDEX($AG$9:$AG$337,$AF338),""),""),IF($AF338&gt;0,IF($AF338&gt;0,INDEX($AG$9:$AG$337,$AF338),""),"")))))</f>
        <v/>
      </c>
      <c r="AH338" t="str">
        <f>IF($A338="","",IF(OR($F338="sell_put",$F338="sell_call",$F338="roll"),$I338,IF($AF338&gt;0,IF($AF338&gt;0,INDEX($AH$9:$AH$337,$AF338),0),0)))</f>
        <v/>
      </c>
      <c r="AI338" s="51" t="str">
        <f t="shared" si="94"/>
        <v/>
      </c>
      <c r="AJ338" s="51" t="str">
        <f>IF($A338="","",IFERROR(LOOKUP(2,1/($B$9:$B$337=$B338),$AM$9:$AM337),0))</f>
        <v/>
      </c>
      <c r="AK338" t="str">
        <f>IF($A338="","",IFERROR(LOOKUP(2,1/($B$9:$B$337=$B338),$AN$9:$AN337),0))</f>
        <v/>
      </c>
      <c r="AL338" s="51" t="str">
        <f t="shared" si="95"/>
        <v/>
      </c>
      <c r="AM338" s="51" t="str">
        <f t="shared" si="96"/>
        <v/>
      </c>
      <c r="AN338" t="str">
        <f t="shared" si="97"/>
        <v/>
      </c>
      <c r="AO338" s="50" t="str">
        <f>IF($A338="","",IFERROR(LOOKUP(2,1/($B$9:$B$337=$B338),$AO$9:$AO337),0)+IF($F338="sell_put",$I338*$AE338*$D338,IF($F338="roll",IF($AG338="put",($I338-IF($AF338&gt;0,INDEX($AH$9:$AH$337,$AF338),0))*$AE338*$D338,0),IF(AND(OR($F338="buy_to_close",$F338="expire",$F338="roll",$F338="assignment",$F338="called_away"),$F338&lt;&gt;"roll",$AG338="put"),-IF($AF338&gt;0,INDEX($AH$9:$AH$337,$AF338),0)*$AE338*$D338,0))))</f>
        <v/>
      </c>
      <c r="AP338" s="51" t="str">
        <f>IF($A338="","",IFERROR(LOOKUP(2,1/($B$9:$B$337=$B338),$AP$9:$AP337),0)+IF($F338="sell_put",$AE338*$D338,IF(AND(OR($F338="buy_to_close",$F338="expire",$F338="roll",$F338="assignment",$F338="called_away"),$F338&lt;&gt;"roll",$AG338="put"),-$AE338*$D338,0)))</f>
        <v/>
      </c>
      <c r="AQ338" s="51" t="str">
        <f>IF($A338="","",IFERROR(LOOKUP(2,1/($B$9:$B$337=$B338),$AQ$9:$AQ337),0)+IF(OR($F338="sell_put",$F338="sell_call"),$AE338,0)-IF(AND(OR($F338="buy_to_close",$F338="expire",$F338="roll",$F338="assignment",$F338="called_away"),$F338&lt;&gt;"roll"),$AE338,0))</f>
        <v/>
      </c>
      <c r="AR338" t="str">
        <f t="shared" si="98"/>
        <v/>
      </c>
      <c r="AS338" s="50" t="str">
        <f t="shared" si="99"/>
        <v/>
      </c>
      <c r="AT338" s="50" t="str">
        <f>IF($A338="","",MAX(IF($T338=IFERROR(LOOKUP(2,1/($B$9:$B$337=$B338),$T$9:$T337),0),IFERROR(LOOKUP(2,1/($B$9:$B$337=$B338),$AT$9:$AT337),0),0),$AS338))</f>
        <v/>
      </c>
      <c r="AU338" t="str">
        <f t="shared" si="100"/>
        <v/>
      </c>
      <c r="AV338" s="51">
        <f>IF($AU338="",0,IF(AND(IFERROR(LOOKUP(2,1/($B$9:$B$337=$B338),$AR$9:$AR337),1),NOT(AND(OR($F338="dividend",$F338="fee"),IFERROR(LOOKUP(2,1/($B$9:$B$337=$B338),$T$9:$T337),0)&gt;0))),ROW(),0))</f>
        <v>0</v>
      </c>
      <c r="AW338">
        <f>IF($A338="",0,IF($AV338&gt;0,MAX($AW$9:$AW$337)+1,MAX($AW$9:$AW$337)))</f>
        <v>0</v>
      </c>
      <c r="AX338">
        <f>IF($AU338="",0,IF(AND($AR338,OR(NOT(IFERROR(LOOKUP(2,1/($B$9:$B$337=$B338),$AR$9:$AR337),1)),IFERROR(LOOKUP(2,1/($B$9:$B$337=$B338),$T$9:$T337),0)=0)),ROW(),0))</f>
        <v>0</v>
      </c>
      <c r="AY338" t="str">
        <f t="shared" si="101"/>
        <v/>
      </c>
    </row>
    <row r="339" spans="1:51" ht="15" x14ac:dyDescent="0.25">
      <c r="A339" s="41" t="str">
        <f>IF(Trades!$A339="","",Trades!O339)</f>
        <v/>
      </c>
      <c r="B339" s="41" t="str">
        <f>IF(Trades!$A339="","",Trades!B339)</f>
        <v/>
      </c>
      <c r="C339" s="41" t="str">
        <f>IF(Trades!$A339="","",Trades!C339)</f>
        <v/>
      </c>
      <c r="D339" s="42" t="str">
        <f>IF(Trades!$A339="","",IF(Trades!$L339&gt;0,Trades!$L339,Trades!$C$6))</f>
        <v/>
      </c>
      <c r="E339" s="43" t="str">
        <f>IF(Trades!$A339="","",Trades!A339)</f>
        <v/>
      </c>
      <c r="F339" s="41" t="str">
        <f>IF(Trades!$A339="","",IFERROR(INDEX(Trades!$V$2:$V$14,MATCH(Trades!$E339,Trades!$U$2:$U$14,0)),""))</f>
        <v/>
      </c>
      <c r="G339" s="41" t="str">
        <f>IF(Trades!$A339="","",Trades!N339)</f>
        <v/>
      </c>
      <c r="H339" s="42" t="str">
        <f>IF(Trades!$A339="","",Trades!F339)</f>
        <v/>
      </c>
      <c r="I339" s="44" t="str">
        <f>IF(Trades!$A339="","",Trades!G339)</f>
        <v/>
      </c>
      <c r="J339" s="44" t="str">
        <f>IF(Trades!$A339="","",Trades!I339)</f>
        <v/>
      </c>
      <c r="K339" s="44" t="str">
        <f>IF(Trades!$A339="","",Trades!Q339)</f>
        <v/>
      </c>
      <c r="L339" s="42" t="str">
        <f>IF(Trades!$A339="","",Trades!F339)</f>
        <v/>
      </c>
      <c r="M339" s="44" t="str">
        <f>IF(Trades!$A339="","",Trades!M339)</f>
        <v/>
      </c>
      <c r="N339" s="44" t="str">
        <f>IF(Trades!$A339="","",Trades!R339)</f>
        <v/>
      </c>
      <c r="O339" s="44" t="str">
        <f>IF(Trades!$A339="","",Trades!J339)</f>
        <v/>
      </c>
      <c r="P339" s="43" t="str">
        <f>IF(Trades!$A339="","",Trades!H339)</f>
        <v/>
      </c>
      <c r="Q339" s="41" t="str">
        <f>IF(Trades!$A339="","",Trades!P339)</f>
        <v/>
      </c>
      <c r="R339" s="45" t="str">
        <f t="shared" si="85"/>
        <v/>
      </c>
      <c r="S339" s="45" t="str">
        <f t="shared" si="86"/>
        <v/>
      </c>
      <c r="T339" s="46" t="str">
        <f>IF(OR($A339="",$B339=""),"",IF(AND(IFERROR(LOOKUP(2,1/($B$9:$B$338=$B339),$AR$9:$AR338),1),NOT(AND(OR($F339="dividend",$F339="fee"),IFERROR(LOOKUP(2,1/($B$9:$B$338=$B339),$T$9:$T338),0)&gt;0))),IFERROR(LOOKUP(2,1/($B$9:$B$338=$B339),$T$9:$T338),0)+1,IFERROR(LOOKUP(2,1/($B$9:$B$338=$B339),$T$9:$T338),0)))</f>
        <v/>
      </c>
      <c r="U339" s="47" t="str">
        <f t="shared" si="87"/>
        <v/>
      </c>
      <c r="V339" s="47" t="str">
        <f>IF($A339="","",IF(OR($B339="",$C339="",$D339="",$E339="",$F339=""),"Missing required field",IF(COUNTIFS($A$9:$A339,$A339,$B$9:$B339,$B339)&gt;1,"Duplicate event ID",IF(AND($E339&lt;&gt;IFERROR(LOOKUP(2,1/($B$9:$B$338=$B339),$E$9:$E338),0),IFERROR(LOOKUP(2,1/($B$9:$B$338=$B339),$E$9:$E338),0)&gt;$E339),"Date out of order",IF(AND(OR($F339="buy_to_close",$F339="expire",$F339="roll",$F339="assignment",$F339="called_away"),$AF339=0),"Unknown lot",IF(OR(AND($F339="assignment",$AF339&gt;0,IF($AF339&gt;0,INDEX($AG$9:$AG$338,$AF339),"")&lt;&gt;"put"),AND($F339="called_away",$AF339&gt;0,IF($AF339&gt;0,INDEX($AG$9:$AG$338,$AF339),"")&lt;&gt;"call")),"Wrong option leg",IF(OR(AND(OR($F339="sell_put",$F339="sell_call"),OR($H339&lt;=0,$I339&lt;=0,$J339&lt;0)),AND(OR($F339="buy_to_close",$F339="expire",$F339="assignment",$F339="called_away"),OR($H339&lt;=0,$J339&lt;0)),AND($F339="roll",OR($H339&lt;=0,$I339&lt;=0,$J339&lt;0,$K339&lt;0)),AND(OR($F339="buy_shares",$F339="sell_shares"),OR($L339&lt;=0,$M339&lt;0)),AND(OR($F339="dividend",$F339="fee"),$N339&lt;0)),"Invalid value",IF(AND(OR($F339="sell_shares",$F339="called_away"),$AL339&lt;IF($F339="called_away",$AE339*$D339,$L339)),"Insufficient shares (capped)",IF(AND(OR($F339="buy_to_close",$F339="expire",$F339="roll",$F339="assignment",$F339="called_away"),$AF339&gt;0,$H339&gt;IF($AF339&gt;0,MAX(0,INDEX($AI$9:$AI$338,$AF339)-SUMIFS($AE$9:$AE$338,$G$9:$G$338,$G339,$B$9:$B$338,$B339)),0)),"Close quantity capped","OK")))))))))</f>
        <v/>
      </c>
      <c r="W339" s="48" t="str">
        <f t="shared" si="88"/>
        <v/>
      </c>
      <c r="X339" s="49" t="str">
        <f t="shared" si="89"/>
        <v/>
      </c>
      <c r="Y339" s="50" t="str">
        <f t="shared" si="90"/>
        <v/>
      </c>
      <c r="Z339" s="50" t="str">
        <f t="shared" si="91"/>
        <v/>
      </c>
      <c r="AA339" s="50" t="str">
        <f t="shared" si="92"/>
        <v/>
      </c>
      <c r="AB339" s="50" t="str">
        <f t="shared" si="93"/>
        <v/>
      </c>
      <c r="AC339" s="50" t="str">
        <f>IF($A339="","",IF($F339="assignment",IF($AF339&gt;0,INDEX($AH$9:$AH$338,$AF339),0)*$AE339*$D339,IF($F339="buy_shares",$M339*$AL339,0)))</f>
        <v/>
      </c>
      <c r="AD339" s="50" t="str">
        <f>IF($A339="","",IF($F339="called_away",IF($AF339&gt;0,INDEX($AH$9:$AH$338,$AF339),0)*$AL339,IF($F339="sell_shares",$M339*$AL339,0)))</f>
        <v/>
      </c>
      <c r="AE339" s="51" t="str">
        <f>IF($A339="","",IF(OR($F339="sell_put",$F339="sell_call"),IF(AND($H339&gt;0,$I339&gt;0,$J339&gt;=0),$H339,0),IF(OR($F339="buy_to_close",$F339="expire",$F339="roll",$F339="assignment",$F339="called_away"),IF(AND($AF339&gt;0,$H339&gt;0,IF($F339="assignment",IF($AF339&gt;0,INDEX($AG$9:$AG$338,$AF339),"")="put",TRUE),IF($F339="called_away",IF($AF339&gt;0,INDEX($AG$9:$AG$338,$AF339),"")="call",TRUE)),MIN($H339,IF($AF339&gt;0,MAX(0,INDEX($AI$9:$AI$338,$AF339)-SUMIFS($AE$9:$AE$338,$G$9:$G$338,$G339,$B$9:$B$338,$B339)),0)),0),0)))</f>
        <v/>
      </c>
      <c r="AF339" t="str">
        <f>IF($A339="","",IFERROR(MATCH(LEN($B339)&amp;":"&amp;$B339&amp;$G339,$AY$9:$AY$338,0),0))</f>
        <v/>
      </c>
      <c r="AG339" t="str">
        <f>IF($A339="","",IF($F339="sell_put","put",IF($F339="sell_call","call",IF($F339="roll",IF($AF339&gt;0,IF($AF339&gt;0,INDEX($AG$9:$AG$338,$AF339),""),""),IF($AF339&gt;0,IF($AF339&gt;0,INDEX($AG$9:$AG$338,$AF339),""),"")))))</f>
        <v/>
      </c>
      <c r="AH339" t="str">
        <f>IF($A339="","",IF(OR($F339="sell_put",$F339="sell_call",$F339="roll"),$I339,IF($AF339&gt;0,IF($AF339&gt;0,INDEX($AH$9:$AH$338,$AF339),0),0)))</f>
        <v/>
      </c>
      <c r="AI339" s="51" t="str">
        <f t="shared" si="94"/>
        <v/>
      </c>
      <c r="AJ339" s="51" t="str">
        <f>IF($A339="","",IFERROR(LOOKUP(2,1/($B$9:$B$338=$B339),$AM$9:$AM338),0))</f>
        <v/>
      </c>
      <c r="AK339" t="str">
        <f>IF($A339="","",IFERROR(LOOKUP(2,1/($B$9:$B$338=$B339),$AN$9:$AN338),0))</f>
        <v/>
      </c>
      <c r="AL339" s="51" t="str">
        <f t="shared" si="95"/>
        <v/>
      </c>
      <c r="AM339" s="51" t="str">
        <f t="shared" si="96"/>
        <v/>
      </c>
      <c r="AN339" t="str">
        <f t="shared" si="97"/>
        <v/>
      </c>
      <c r="AO339" s="50" t="str">
        <f>IF($A339="","",IFERROR(LOOKUP(2,1/($B$9:$B$338=$B339),$AO$9:$AO338),0)+IF($F339="sell_put",$I339*$AE339*$D339,IF($F339="roll",IF($AG339="put",($I339-IF($AF339&gt;0,INDEX($AH$9:$AH$338,$AF339),0))*$AE339*$D339,0),IF(AND(OR($F339="buy_to_close",$F339="expire",$F339="roll",$F339="assignment",$F339="called_away"),$F339&lt;&gt;"roll",$AG339="put"),-IF($AF339&gt;0,INDEX($AH$9:$AH$338,$AF339),0)*$AE339*$D339,0))))</f>
        <v/>
      </c>
      <c r="AP339" s="51" t="str">
        <f>IF($A339="","",IFERROR(LOOKUP(2,1/($B$9:$B$338=$B339),$AP$9:$AP338),0)+IF($F339="sell_put",$AE339*$D339,IF(AND(OR($F339="buy_to_close",$F339="expire",$F339="roll",$F339="assignment",$F339="called_away"),$F339&lt;&gt;"roll",$AG339="put"),-$AE339*$D339,0)))</f>
        <v/>
      </c>
      <c r="AQ339" s="51" t="str">
        <f>IF($A339="","",IFERROR(LOOKUP(2,1/($B$9:$B$338=$B339),$AQ$9:$AQ338),0)+IF(OR($F339="sell_put",$F339="sell_call"),$AE339,0)-IF(AND(OR($F339="buy_to_close",$F339="expire",$F339="roll",$F339="assignment",$F339="called_away"),$F339&lt;&gt;"roll"),$AE339,0))</f>
        <v/>
      </c>
      <c r="AR339" t="str">
        <f t="shared" si="98"/>
        <v/>
      </c>
      <c r="AS339" s="50" t="str">
        <f t="shared" si="99"/>
        <v/>
      </c>
      <c r="AT339" s="50" t="str">
        <f>IF($A339="","",MAX(IF($T339=IFERROR(LOOKUP(2,1/($B$9:$B$338=$B339),$T$9:$T338),0),IFERROR(LOOKUP(2,1/($B$9:$B$338=$B339),$AT$9:$AT338),0),0),$AS339))</f>
        <v/>
      </c>
      <c r="AU339" t="str">
        <f t="shared" si="100"/>
        <v/>
      </c>
      <c r="AV339" s="51">
        <f>IF($AU339="",0,IF(AND(IFERROR(LOOKUP(2,1/($B$9:$B$338=$B339),$AR$9:$AR338),1),NOT(AND(OR($F339="dividend",$F339="fee"),IFERROR(LOOKUP(2,1/($B$9:$B$338=$B339),$T$9:$T338),0)&gt;0))),ROW(),0))</f>
        <v>0</v>
      </c>
      <c r="AW339">
        <f>IF($A339="",0,IF($AV339&gt;0,MAX($AW$9:$AW$338)+1,MAX($AW$9:$AW$338)))</f>
        <v>0</v>
      </c>
      <c r="AX339">
        <f>IF($AU339="",0,IF(AND($AR339,OR(NOT(IFERROR(LOOKUP(2,1/($B$9:$B$338=$B339),$AR$9:$AR338),1)),IFERROR(LOOKUP(2,1/($B$9:$B$338=$B339),$T$9:$T338),0)=0)),ROW(),0))</f>
        <v>0</v>
      </c>
      <c r="AY339" t="str">
        <f t="shared" si="101"/>
        <v/>
      </c>
    </row>
    <row r="340" spans="1:51" ht="15" x14ac:dyDescent="0.25">
      <c r="A340" s="52" t="str">
        <f>IF(Trades!$A340="","",Trades!O340)</f>
        <v/>
      </c>
      <c r="B340" s="52" t="str">
        <f>IF(Trades!$A340="","",Trades!B340)</f>
        <v/>
      </c>
      <c r="C340" s="52" t="str">
        <f>IF(Trades!$A340="","",Trades!C340)</f>
        <v/>
      </c>
      <c r="D340" s="53" t="str">
        <f>IF(Trades!$A340="","",IF(Trades!$L340&gt;0,Trades!$L340,Trades!$C$6))</f>
        <v/>
      </c>
      <c r="E340" s="54" t="str">
        <f>IF(Trades!$A340="","",Trades!A340)</f>
        <v/>
      </c>
      <c r="F340" s="52" t="str">
        <f>IF(Trades!$A340="","",IFERROR(INDEX(Trades!$V$2:$V$14,MATCH(Trades!$E340,Trades!$U$2:$U$14,0)),""))</f>
        <v/>
      </c>
      <c r="G340" s="52" t="str">
        <f>IF(Trades!$A340="","",Trades!N340)</f>
        <v/>
      </c>
      <c r="H340" s="53" t="str">
        <f>IF(Trades!$A340="","",Trades!F340)</f>
        <v/>
      </c>
      <c r="I340" s="55" t="str">
        <f>IF(Trades!$A340="","",Trades!G340)</f>
        <v/>
      </c>
      <c r="J340" s="55" t="str">
        <f>IF(Trades!$A340="","",Trades!I340)</f>
        <v/>
      </c>
      <c r="K340" s="55" t="str">
        <f>IF(Trades!$A340="","",Trades!Q340)</f>
        <v/>
      </c>
      <c r="L340" s="53" t="str">
        <f>IF(Trades!$A340="","",Trades!F340)</f>
        <v/>
      </c>
      <c r="M340" s="55" t="str">
        <f>IF(Trades!$A340="","",Trades!M340)</f>
        <v/>
      </c>
      <c r="N340" s="55" t="str">
        <f>IF(Trades!$A340="","",Trades!R340)</f>
        <v/>
      </c>
      <c r="O340" s="55" t="str">
        <f>IF(Trades!$A340="","",Trades!J340)</f>
        <v/>
      </c>
      <c r="P340" s="54" t="str">
        <f>IF(Trades!$A340="","",Trades!H340)</f>
        <v/>
      </c>
      <c r="Q340" s="52" t="str">
        <f>IF(Trades!$A340="","",Trades!P340)</f>
        <v/>
      </c>
      <c r="R340" s="56" t="str">
        <f t="shared" si="85"/>
        <v/>
      </c>
      <c r="S340" s="56" t="str">
        <f t="shared" si="86"/>
        <v/>
      </c>
      <c r="T340" s="57" t="str">
        <f>IF(OR($A340="",$B340=""),"",IF(AND(IFERROR(LOOKUP(2,1/($B$9:$B$339=$B340),$AR$9:$AR339),1),NOT(AND(OR($F340="dividend",$F340="fee"),IFERROR(LOOKUP(2,1/($B$9:$B$339=$B340),$T$9:$T339),0)&gt;0))),IFERROR(LOOKUP(2,1/($B$9:$B$339=$B340),$T$9:$T339),0)+1,IFERROR(LOOKUP(2,1/($B$9:$B$339=$B340),$T$9:$T339),0)))</f>
        <v/>
      </c>
      <c r="U340" s="58" t="str">
        <f t="shared" si="87"/>
        <v/>
      </c>
      <c r="V340" s="58" t="str">
        <f>IF($A340="","",IF(OR($B340="",$C340="",$D340="",$E340="",$F340=""),"Missing required field",IF(COUNTIFS($A$9:$A340,$A340,$B$9:$B340,$B340)&gt;1,"Duplicate event ID",IF(AND($E340&lt;&gt;IFERROR(LOOKUP(2,1/($B$9:$B$339=$B340),$E$9:$E339),0),IFERROR(LOOKUP(2,1/($B$9:$B$339=$B340),$E$9:$E339),0)&gt;$E340),"Date out of order",IF(AND(OR($F340="buy_to_close",$F340="expire",$F340="roll",$F340="assignment",$F340="called_away"),$AF340=0),"Unknown lot",IF(OR(AND($F340="assignment",$AF340&gt;0,IF($AF340&gt;0,INDEX($AG$9:$AG$339,$AF340),"")&lt;&gt;"put"),AND($F340="called_away",$AF340&gt;0,IF($AF340&gt;0,INDEX($AG$9:$AG$339,$AF340),"")&lt;&gt;"call")),"Wrong option leg",IF(OR(AND(OR($F340="sell_put",$F340="sell_call"),OR($H340&lt;=0,$I340&lt;=0,$J340&lt;0)),AND(OR($F340="buy_to_close",$F340="expire",$F340="assignment",$F340="called_away"),OR($H340&lt;=0,$J340&lt;0)),AND($F340="roll",OR($H340&lt;=0,$I340&lt;=0,$J340&lt;0,$K340&lt;0)),AND(OR($F340="buy_shares",$F340="sell_shares"),OR($L340&lt;=0,$M340&lt;0)),AND(OR($F340="dividend",$F340="fee"),$N340&lt;0)),"Invalid value",IF(AND(OR($F340="sell_shares",$F340="called_away"),$AL340&lt;IF($F340="called_away",$AE340*$D340,$L340)),"Insufficient shares (capped)",IF(AND(OR($F340="buy_to_close",$F340="expire",$F340="roll",$F340="assignment",$F340="called_away"),$AF340&gt;0,$H340&gt;IF($AF340&gt;0,MAX(0,INDEX($AI$9:$AI$339,$AF340)-SUMIFS($AE$9:$AE$339,$G$9:$G$339,$G340,$B$9:$B$339,$B340)),0)),"Close quantity capped","OK")))))))))</f>
        <v/>
      </c>
      <c r="W340" s="59" t="str">
        <f t="shared" si="88"/>
        <v/>
      </c>
      <c r="X340" s="60" t="str">
        <f t="shared" si="89"/>
        <v/>
      </c>
      <c r="Y340" s="50" t="str">
        <f t="shared" si="90"/>
        <v/>
      </c>
      <c r="Z340" s="50" t="str">
        <f t="shared" si="91"/>
        <v/>
      </c>
      <c r="AA340" s="50" t="str">
        <f t="shared" si="92"/>
        <v/>
      </c>
      <c r="AB340" s="50" t="str">
        <f t="shared" si="93"/>
        <v/>
      </c>
      <c r="AC340" s="50" t="str">
        <f>IF($A340="","",IF($F340="assignment",IF($AF340&gt;0,INDEX($AH$9:$AH$339,$AF340),0)*$AE340*$D340,IF($F340="buy_shares",$M340*$AL340,0)))</f>
        <v/>
      </c>
      <c r="AD340" s="50" t="str">
        <f>IF($A340="","",IF($F340="called_away",IF($AF340&gt;0,INDEX($AH$9:$AH$339,$AF340),0)*$AL340,IF($F340="sell_shares",$M340*$AL340,0)))</f>
        <v/>
      </c>
      <c r="AE340" s="51" t="str">
        <f>IF($A340="","",IF(OR($F340="sell_put",$F340="sell_call"),IF(AND($H340&gt;0,$I340&gt;0,$J340&gt;=0),$H340,0),IF(OR($F340="buy_to_close",$F340="expire",$F340="roll",$F340="assignment",$F340="called_away"),IF(AND($AF340&gt;0,$H340&gt;0,IF($F340="assignment",IF($AF340&gt;0,INDEX($AG$9:$AG$339,$AF340),"")="put",TRUE),IF($F340="called_away",IF($AF340&gt;0,INDEX($AG$9:$AG$339,$AF340),"")="call",TRUE)),MIN($H340,IF($AF340&gt;0,MAX(0,INDEX($AI$9:$AI$339,$AF340)-SUMIFS($AE$9:$AE$339,$G$9:$G$339,$G340,$B$9:$B$339,$B340)),0)),0),0)))</f>
        <v/>
      </c>
      <c r="AF340" t="str">
        <f>IF($A340="","",IFERROR(MATCH(LEN($B340)&amp;":"&amp;$B340&amp;$G340,$AY$9:$AY$339,0),0))</f>
        <v/>
      </c>
      <c r="AG340" t="str">
        <f>IF($A340="","",IF($F340="sell_put","put",IF($F340="sell_call","call",IF($F340="roll",IF($AF340&gt;0,IF($AF340&gt;0,INDEX($AG$9:$AG$339,$AF340),""),""),IF($AF340&gt;0,IF($AF340&gt;0,INDEX($AG$9:$AG$339,$AF340),""),"")))))</f>
        <v/>
      </c>
      <c r="AH340" t="str">
        <f>IF($A340="","",IF(OR($F340="sell_put",$F340="sell_call",$F340="roll"),$I340,IF($AF340&gt;0,IF($AF340&gt;0,INDEX($AH$9:$AH$339,$AF340),0),0)))</f>
        <v/>
      </c>
      <c r="AI340" s="51" t="str">
        <f t="shared" si="94"/>
        <v/>
      </c>
      <c r="AJ340" s="51" t="str">
        <f>IF($A340="","",IFERROR(LOOKUP(2,1/($B$9:$B$339=$B340),$AM$9:$AM339),0))</f>
        <v/>
      </c>
      <c r="AK340" t="str">
        <f>IF($A340="","",IFERROR(LOOKUP(2,1/($B$9:$B$339=$B340),$AN$9:$AN339),0))</f>
        <v/>
      </c>
      <c r="AL340" s="51" t="str">
        <f t="shared" si="95"/>
        <v/>
      </c>
      <c r="AM340" s="51" t="str">
        <f t="shared" si="96"/>
        <v/>
      </c>
      <c r="AN340" t="str">
        <f t="shared" si="97"/>
        <v/>
      </c>
      <c r="AO340" s="50" t="str">
        <f>IF($A340="","",IFERROR(LOOKUP(2,1/($B$9:$B$339=$B340),$AO$9:$AO339),0)+IF($F340="sell_put",$I340*$AE340*$D340,IF($F340="roll",IF($AG340="put",($I340-IF($AF340&gt;0,INDEX($AH$9:$AH$339,$AF340),0))*$AE340*$D340,0),IF(AND(OR($F340="buy_to_close",$F340="expire",$F340="roll",$F340="assignment",$F340="called_away"),$F340&lt;&gt;"roll",$AG340="put"),-IF($AF340&gt;0,INDEX($AH$9:$AH$339,$AF340),0)*$AE340*$D340,0))))</f>
        <v/>
      </c>
      <c r="AP340" s="51" t="str">
        <f>IF($A340="","",IFERROR(LOOKUP(2,1/($B$9:$B$339=$B340),$AP$9:$AP339),0)+IF($F340="sell_put",$AE340*$D340,IF(AND(OR($F340="buy_to_close",$F340="expire",$F340="roll",$F340="assignment",$F340="called_away"),$F340&lt;&gt;"roll",$AG340="put"),-$AE340*$D340,0)))</f>
        <v/>
      </c>
      <c r="AQ340" s="51" t="str">
        <f>IF($A340="","",IFERROR(LOOKUP(2,1/($B$9:$B$339=$B340),$AQ$9:$AQ339),0)+IF(OR($F340="sell_put",$F340="sell_call"),$AE340,0)-IF(AND(OR($F340="buy_to_close",$F340="expire",$F340="roll",$F340="assignment",$F340="called_away"),$F340&lt;&gt;"roll"),$AE340,0))</f>
        <v/>
      </c>
      <c r="AR340" t="str">
        <f t="shared" si="98"/>
        <v/>
      </c>
      <c r="AS340" s="50" t="str">
        <f t="shared" si="99"/>
        <v/>
      </c>
      <c r="AT340" s="50" t="str">
        <f>IF($A340="","",MAX(IF($T340=IFERROR(LOOKUP(2,1/($B$9:$B$339=$B340),$T$9:$T339),0),IFERROR(LOOKUP(2,1/($B$9:$B$339=$B340),$AT$9:$AT339),0),0),$AS340))</f>
        <v/>
      </c>
      <c r="AU340" t="str">
        <f t="shared" si="100"/>
        <v/>
      </c>
      <c r="AV340" s="51">
        <f>IF($AU340="",0,IF(AND(IFERROR(LOOKUP(2,1/($B$9:$B$339=$B340),$AR$9:$AR339),1),NOT(AND(OR($F340="dividend",$F340="fee"),IFERROR(LOOKUP(2,1/($B$9:$B$339=$B340),$T$9:$T339),0)&gt;0))),ROW(),0))</f>
        <v>0</v>
      </c>
      <c r="AW340">
        <f>IF($A340="",0,IF($AV340&gt;0,MAX($AW$9:$AW$339)+1,MAX($AW$9:$AW$339)))</f>
        <v>0</v>
      </c>
      <c r="AX340">
        <f>IF($AU340="",0,IF(AND($AR340,OR(NOT(IFERROR(LOOKUP(2,1/($B$9:$B$339=$B340),$AR$9:$AR339),1)),IFERROR(LOOKUP(2,1/($B$9:$B$339=$B340),$T$9:$T339),0)=0)),ROW(),0))</f>
        <v>0</v>
      </c>
      <c r="AY340" t="str">
        <f t="shared" si="101"/>
        <v/>
      </c>
    </row>
    <row r="341" spans="1:51" ht="15" x14ac:dyDescent="0.25">
      <c r="A341" s="41" t="str">
        <f>IF(Trades!$A341="","",Trades!O341)</f>
        <v/>
      </c>
      <c r="B341" s="41" t="str">
        <f>IF(Trades!$A341="","",Trades!B341)</f>
        <v/>
      </c>
      <c r="C341" s="41" t="str">
        <f>IF(Trades!$A341="","",Trades!C341)</f>
        <v/>
      </c>
      <c r="D341" s="42" t="str">
        <f>IF(Trades!$A341="","",IF(Trades!$L341&gt;0,Trades!$L341,Trades!$C$6))</f>
        <v/>
      </c>
      <c r="E341" s="43" t="str">
        <f>IF(Trades!$A341="","",Trades!A341)</f>
        <v/>
      </c>
      <c r="F341" s="41" t="str">
        <f>IF(Trades!$A341="","",IFERROR(INDEX(Trades!$V$2:$V$14,MATCH(Trades!$E341,Trades!$U$2:$U$14,0)),""))</f>
        <v/>
      </c>
      <c r="G341" s="41" t="str">
        <f>IF(Trades!$A341="","",Trades!N341)</f>
        <v/>
      </c>
      <c r="H341" s="42" t="str">
        <f>IF(Trades!$A341="","",Trades!F341)</f>
        <v/>
      </c>
      <c r="I341" s="44" t="str">
        <f>IF(Trades!$A341="","",Trades!G341)</f>
        <v/>
      </c>
      <c r="J341" s="44" t="str">
        <f>IF(Trades!$A341="","",Trades!I341)</f>
        <v/>
      </c>
      <c r="K341" s="44" t="str">
        <f>IF(Trades!$A341="","",Trades!Q341)</f>
        <v/>
      </c>
      <c r="L341" s="42" t="str">
        <f>IF(Trades!$A341="","",Trades!F341)</f>
        <v/>
      </c>
      <c r="M341" s="44" t="str">
        <f>IF(Trades!$A341="","",Trades!M341)</f>
        <v/>
      </c>
      <c r="N341" s="44" t="str">
        <f>IF(Trades!$A341="","",Trades!R341)</f>
        <v/>
      </c>
      <c r="O341" s="44" t="str">
        <f>IF(Trades!$A341="","",Trades!J341)</f>
        <v/>
      </c>
      <c r="P341" s="43" t="str">
        <f>IF(Trades!$A341="","",Trades!H341)</f>
        <v/>
      </c>
      <c r="Q341" s="41" t="str">
        <f>IF(Trades!$A341="","",Trades!P341)</f>
        <v/>
      </c>
      <c r="R341" s="45" t="str">
        <f t="shared" si="85"/>
        <v/>
      </c>
      <c r="S341" s="45" t="str">
        <f t="shared" si="86"/>
        <v/>
      </c>
      <c r="T341" s="46" t="str">
        <f>IF(OR($A341="",$B341=""),"",IF(AND(IFERROR(LOOKUP(2,1/($B$9:$B$340=$B341),$AR$9:$AR340),1),NOT(AND(OR($F341="dividend",$F341="fee"),IFERROR(LOOKUP(2,1/($B$9:$B$340=$B341),$T$9:$T340),0)&gt;0))),IFERROR(LOOKUP(2,1/($B$9:$B$340=$B341),$T$9:$T340),0)+1,IFERROR(LOOKUP(2,1/($B$9:$B$340=$B341),$T$9:$T340),0)))</f>
        <v/>
      </c>
      <c r="U341" s="47" t="str">
        <f t="shared" si="87"/>
        <v/>
      </c>
      <c r="V341" s="47" t="str">
        <f>IF($A341="","",IF(OR($B341="",$C341="",$D341="",$E341="",$F341=""),"Missing required field",IF(COUNTIFS($A$9:$A341,$A341,$B$9:$B341,$B341)&gt;1,"Duplicate event ID",IF(AND($E341&lt;&gt;IFERROR(LOOKUP(2,1/($B$9:$B$340=$B341),$E$9:$E340),0),IFERROR(LOOKUP(2,1/($B$9:$B$340=$B341),$E$9:$E340),0)&gt;$E341),"Date out of order",IF(AND(OR($F341="buy_to_close",$F341="expire",$F341="roll",$F341="assignment",$F341="called_away"),$AF341=0),"Unknown lot",IF(OR(AND($F341="assignment",$AF341&gt;0,IF($AF341&gt;0,INDEX($AG$9:$AG$340,$AF341),"")&lt;&gt;"put"),AND($F341="called_away",$AF341&gt;0,IF($AF341&gt;0,INDEX($AG$9:$AG$340,$AF341),"")&lt;&gt;"call")),"Wrong option leg",IF(OR(AND(OR($F341="sell_put",$F341="sell_call"),OR($H341&lt;=0,$I341&lt;=0,$J341&lt;0)),AND(OR($F341="buy_to_close",$F341="expire",$F341="assignment",$F341="called_away"),OR($H341&lt;=0,$J341&lt;0)),AND($F341="roll",OR($H341&lt;=0,$I341&lt;=0,$J341&lt;0,$K341&lt;0)),AND(OR($F341="buy_shares",$F341="sell_shares"),OR($L341&lt;=0,$M341&lt;0)),AND(OR($F341="dividend",$F341="fee"),$N341&lt;0)),"Invalid value",IF(AND(OR($F341="sell_shares",$F341="called_away"),$AL341&lt;IF($F341="called_away",$AE341*$D341,$L341)),"Insufficient shares (capped)",IF(AND(OR($F341="buy_to_close",$F341="expire",$F341="roll",$F341="assignment",$F341="called_away"),$AF341&gt;0,$H341&gt;IF($AF341&gt;0,MAX(0,INDEX($AI$9:$AI$340,$AF341)-SUMIFS($AE$9:$AE$340,$G$9:$G$340,$G341,$B$9:$B$340,$B341)),0)),"Close quantity capped","OK")))))))))</f>
        <v/>
      </c>
      <c r="W341" s="48" t="str">
        <f t="shared" si="88"/>
        <v/>
      </c>
      <c r="X341" s="49" t="str">
        <f t="shared" si="89"/>
        <v/>
      </c>
      <c r="Y341" s="50" t="str">
        <f t="shared" si="90"/>
        <v/>
      </c>
      <c r="Z341" s="50" t="str">
        <f t="shared" si="91"/>
        <v/>
      </c>
      <c r="AA341" s="50" t="str">
        <f t="shared" si="92"/>
        <v/>
      </c>
      <c r="AB341" s="50" t="str">
        <f t="shared" si="93"/>
        <v/>
      </c>
      <c r="AC341" s="50" t="str">
        <f>IF($A341="","",IF($F341="assignment",IF($AF341&gt;0,INDEX($AH$9:$AH$340,$AF341),0)*$AE341*$D341,IF($F341="buy_shares",$M341*$AL341,0)))</f>
        <v/>
      </c>
      <c r="AD341" s="50" t="str">
        <f>IF($A341="","",IF($F341="called_away",IF($AF341&gt;0,INDEX($AH$9:$AH$340,$AF341),0)*$AL341,IF($F341="sell_shares",$M341*$AL341,0)))</f>
        <v/>
      </c>
      <c r="AE341" s="51" t="str">
        <f>IF($A341="","",IF(OR($F341="sell_put",$F341="sell_call"),IF(AND($H341&gt;0,$I341&gt;0,$J341&gt;=0),$H341,0),IF(OR($F341="buy_to_close",$F341="expire",$F341="roll",$F341="assignment",$F341="called_away"),IF(AND($AF341&gt;0,$H341&gt;0,IF($F341="assignment",IF($AF341&gt;0,INDEX($AG$9:$AG$340,$AF341),"")="put",TRUE),IF($F341="called_away",IF($AF341&gt;0,INDEX($AG$9:$AG$340,$AF341),"")="call",TRUE)),MIN($H341,IF($AF341&gt;0,MAX(0,INDEX($AI$9:$AI$340,$AF341)-SUMIFS($AE$9:$AE$340,$G$9:$G$340,$G341,$B$9:$B$340,$B341)),0)),0),0)))</f>
        <v/>
      </c>
      <c r="AF341" t="str">
        <f>IF($A341="","",IFERROR(MATCH(LEN($B341)&amp;":"&amp;$B341&amp;$G341,$AY$9:$AY$340,0),0))</f>
        <v/>
      </c>
      <c r="AG341" t="str">
        <f>IF($A341="","",IF($F341="sell_put","put",IF($F341="sell_call","call",IF($F341="roll",IF($AF341&gt;0,IF($AF341&gt;0,INDEX($AG$9:$AG$340,$AF341),""),""),IF($AF341&gt;0,IF($AF341&gt;0,INDEX($AG$9:$AG$340,$AF341),""),"")))))</f>
        <v/>
      </c>
      <c r="AH341" t="str">
        <f>IF($A341="","",IF(OR($F341="sell_put",$F341="sell_call",$F341="roll"),$I341,IF($AF341&gt;0,IF($AF341&gt;0,INDEX($AH$9:$AH$340,$AF341),0),0)))</f>
        <v/>
      </c>
      <c r="AI341" s="51" t="str">
        <f t="shared" si="94"/>
        <v/>
      </c>
      <c r="AJ341" s="51" t="str">
        <f>IF($A341="","",IFERROR(LOOKUP(2,1/($B$9:$B$340=$B341),$AM$9:$AM340),0))</f>
        <v/>
      </c>
      <c r="AK341" t="str">
        <f>IF($A341="","",IFERROR(LOOKUP(2,1/($B$9:$B$340=$B341),$AN$9:$AN340),0))</f>
        <v/>
      </c>
      <c r="AL341" s="51" t="str">
        <f t="shared" si="95"/>
        <v/>
      </c>
      <c r="AM341" s="51" t="str">
        <f t="shared" si="96"/>
        <v/>
      </c>
      <c r="AN341" t="str">
        <f t="shared" si="97"/>
        <v/>
      </c>
      <c r="AO341" s="50" t="str">
        <f>IF($A341="","",IFERROR(LOOKUP(2,1/($B$9:$B$340=$B341),$AO$9:$AO340),0)+IF($F341="sell_put",$I341*$AE341*$D341,IF($F341="roll",IF($AG341="put",($I341-IF($AF341&gt;0,INDEX($AH$9:$AH$340,$AF341),0))*$AE341*$D341,0),IF(AND(OR($F341="buy_to_close",$F341="expire",$F341="roll",$F341="assignment",$F341="called_away"),$F341&lt;&gt;"roll",$AG341="put"),-IF($AF341&gt;0,INDEX($AH$9:$AH$340,$AF341),0)*$AE341*$D341,0))))</f>
        <v/>
      </c>
      <c r="AP341" s="51" t="str">
        <f>IF($A341="","",IFERROR(LOOKUP(2,1/($B$9:$B$340=$B341),$AP$9:$AP340),0)+IF($F341="sell_put",$AE341*$D341,IF(AND(OR($F341="buy_to_close",$F341="expire",$F341="roll",$F341="assignment",$F341="called_away"),$F341&lt;&gt;"roll",$AG341="put"),-$AE341*$D341,0)))</f>
        <v/>
      </c>
      <c r="AQ341" s="51" t="str">
        <f>IF($A341="","",IFERROR(LOOKUP(2,1/($B$9:$B$340=$B341),$AQ$9:$AQ340),0)+IF(OR($F341="sell_put",$F341="sell_call"),$AE341,0)-IF(AND(OR($F341="buy_to_close",$F341="expire",$F341="roll",$F341="assignment",$F341="called_away"),$F341&lt;&gt;"roll"),$AE341,0))</f>
        <v/>
      </c>
      <c r="AR341" t="str">
        <f t="shared" si="98"/>
        <v/>
      </c>
      <c r="AS341" s="50" t="str">
        <f t="shared" si="99"/>
        <v/>
      </c>
      <c r="AT341" s="50" t="str">
        <f>IF($A341="","",MAX(IF($T341=IFERROR(LOOKUP(2,1/($B$9:$B$340=$B341),$T$9:$T340),0),IFERROR(LOOKUP(2,1/($B$9:$B$340=$B341),$AT$9:$AT340),0),0),$AS341))</f>
        <v/>
      </c>
      <c r="AU341" t="str">
        <f t="shared" si="100"/>
        <v/>
      </c>
      <c r="AV341" s="51">
        <f>IF($AU341="",0,IF(AND(IFERROR(LOOKUP(2,1/($B$9:$B$340=$B341),$AR$9:$AR340),1),NOT(AND(OR($F341="dividend",$F341="fee"),IFERROR(LOOKUP(2,1/($B$9:$B$340=$B341),$T$9:$T340),0)&gt;0))),ROW(),0))</f>
        <v>0</v>
      </c>
      <c r="AW341">
        <f>IF($A341="",0,IF($AV341&gt;0,MAX($AW$9:$AW$340)+1,MAX($AW$9:$AW$340)))</f>
        <v>0</v>
      </c>
      <c r="AX341">
        <f>IF($AU341="",0,IF(AND($AR341,OR(NOT(IFERROR(LOOKUP(2,1/($B$9:$B$340=$B341),$AR$9:$AR340),1)),IFERROR(LOOKUP(2,1/($B$9:$B$340=$B341),$T$9:$T340),0)=0)),ROW(),0))</f>
        <v>0</v>
      </c>
      <c r="AY341" t="str">
        <f t="shared" si="101"/>
        <v/>
      </c>
    </row>
    <row r="342" spans="1:51" ht="15" x14ac:dyDescent="0.25">
      <c r="A342" s="52" t="str">
        <f>IF(Trades!$A342="","",Trades!O342)</f>
        <v/>
      </c>
      <c r="B342" s="52" t="str">
        <f>IF(Trades!$A342="","",Trades!B342)</f>
        <v/>
      </c>
      <c r="C342" s="52" t="str">
        <f>IF(Trades!$A342="","",Trades!C342)</f>
        <v/>
      </c>
      <c r="D342" s="53" t="str">
        <f>IF(Trades!$A342="","",IF(Trades!$L342&gt;0,Trades!$L342,Trades!$C$6))</f>
        <v/>
      </c>
      <c r="E342" s="54" t="str">
        <f>IF(Trades!$A342="","",Trades!A342)</f>
        <v/>
      </c>
      <c r="F342" s="52" t="str">
        <f>IF(Trades!$A342="","",IFERROR(INDEX(Trades!$V$2:$V$14,MATCH(Trades!$E342,Trades!$U$2:$U$14,0)),""))</f>
        <v/>
      </c>
      <c r="G342" s="52" t="str">
        <f>IF(Trades!$A342="","",Trades!N342)</f>
        <v/>
      </c>
      <c r="H342" s="53" t="str">
        <f>IF(Trades!$A342="","",Trades!F342)</f>
        <v/>
      </c>
      <c r="I342" s="55" t="str">
        <f>IF(Trades!$A342="","",Trades!G342)</f>
        <v/>
      </c>
      <c r="J342" s="55" t="str">
        <f>IF(Trades!$A342="","",Trades!I342)</f>
        <v/>
      </c>
      <c r="K342" s="55" t="str">
        <f>IF(Trades!$A342="","",Trades!Q342)</f>
        <v/>
      </c>
      <c r="L342" s="53" t="str">
        <f>IF(Trades!$A342="","",Trades!F342)</f>
        <v/>
      </c>
      <c r="M342" s="55" t="str">
        <f>IF(Trades!$A342="","",Trades!M342)</f>
        <v/>
      </c>
      <c r="N342" s="55" t="str">
        <f>IF(Trades!$A342="","",Trades!R342)</f>
        <v/>
      </c>
      <c r="O342" s="55" t="str">
        <f>IF(Trades!$A342="","",Trades!J342)</f>
        <v/>
      </c>
      <c r="P342" s="54" t="str">
        <f>IF(Trades!$A342="","",Trades!H342)</f>
        <v/>
      </c>
      <c r="Q342" s="52" t="str">
        <f>IF(Trades!$A342="","",Trades!P342)</f>
        <v/>
      </c>
      <c r="R342" s="56" t="str">
        <f t="shared" si="85"/>
        <v/>
      </c>
      <c r="S342" s="56" t="str">
        <f t="shared" si="86"/>
        <v/>
      </c>
      <c r="T342" s="57" t="str">
        <f>IF(OR($A342="",$B342=""),"",IF(AND(IFERROR(LOOKUP(2,1/($B$9:$B$341=$B342),$AR$9:$AR341),1),NOT(AND(OR($F342="dividend",$F342="fee"),IFERROR(LOOKUP(2,1/($B$9:$B$341=$B342),$T$9:$T341),0)&gt;0))),IFERROR(LOOKUP(2,1/($B$9:$B$341=$B342),$T$9:$T341),0)+1,IFERROR(LOOKUP(2,1/($B$9:$B$341=$B342),$T$9:$T341),0)))</f>
        <v/>
      </c>
      <c r="U342" s="58" t="str">
        <f t="shared" si="87"/>
        <v/>
      </c>
      <c r="V342" s="58" t="str">
        <f>IF($A342="","",IF(OR($B342="",$C342="",$D342="",$E342="",$F342=""),"Missing required field",IF(COUNTIFS($A$9:$A342,$A342,$B$9:$B342,$B342)&gt;1,"Duplicate event ID",IF(AND($E342&lt;&gt;IFERROR(LOOKUP(2,1/($B$9:$B$341=$B342),$E$9:$E341),0),IFERROR(LOOKUP(2,1/($B$9:$B$341=$B342),$E$9:$E341),0)&gt;$E342),"Date out of order",IF(AND(OR($F342="buy_to_close",$F342="expire",$F342="roll",$F342="assignment",$F342="called_away"),$AF342=0),"Unknown lot",IF(OR(AND($F342="assignment",$AF342&gt;0,IF($AF342&gt;0,INDEX($AG$9:$AG$341,$AF342),"")&lt;&gt;"put"),AND($F342="called_away",$AF342&gt;0,IF($AF342&gt;0,INDEX($AG$9:$AG$341,$AF342),"")&lt;&gt;"call")),"Wrong option leg",IF(OR(AND(OR($F342="sell_put",$F342="sell_call"),OR($H342&lt;=0,$I342&lt;=0,$J342&lt;0)),AND(OR($F342="buy_to_close",$F342="expire",$F342="assignment",$F342="called_away"),OR($H342&lt;=0,$J342&lt;0)),AND($F342="roll",OR($H342&lt;=0,$I342&lt;=0,$J342&lt;0,$K342&lt;0)),AND(OR($F342="buy_shares",$F342="sell_shares"),OR($L342&lt;=0,$M342&lt;0)),AND(OR($F342="dividend",$F342="fee"),$N342&lt;0)),"Invalid value",IF(AND(OR($F342="sell_shares",$F342="called_away"),$AL342&lt;IF($F342="called_away",$AE342*$D342,$L342)),"Insufficient shares (capped)",IF(AND(OR($F342="buy_to_close",$F342="expire",$F342="roll",$F342="assignment",$F342="called_away"),$AF342&gt;0,$H342&gt;IF($AF342&gt;0,MAX(0,INDEX($AI$9:$AI$341,$AF342)-SUMIFS($AE$9:$AE$341,$G$9:$G$341,$G342,$B$9:$B$341,$B342)),0)),"Close quantity capped","OK")))))))))</f>
        <v/>
      </c>
      <c r="W342" s="59" t="str">
        <f t="shared" si="88"/>
        <v/>
      </c>
      <c r="X342" s="60" t="str">
        <f t="shared" si="89"/>
        <v/>
      </c>
      <c r="Y342" s="50" t="str">
        <f t="shared" si="90"/>
        <v/>
      </c>
      <c r="Z342" s="50" t="str">
        <f t="shared" si="91"/>
        <v/>
      </c>
      <c r="AA342" s="50" t="str">
        <f t="shared" si="92"/>
        <v/>
      </c>
      <c r="AB342" s="50" t="str">
        <f t="shared" si="93"/>
        <v/>
      </c>
      <c r="AC342" s="50" t="str">
        <f>IF($A342="","",IF($F342="assignment",IF($AF342&gt;0,INDEX($AH$9:$AH$341,$AF342),0)*$AE342*$D342,IF($F342="buy_shares",$M342*$AL342,0)))</f>
        <v/>
      </c>
      <c r="AD342" s="50" t="str">
        <f>IF($A342="","",IF($F342="called_away",IF($AF342&gt;0,INDEX($AH$9:$AH$341,$AF342),0)*$AL342,IF($F342="sell_shares",$M342*$AL342,0)))</f>
        <v/>
      </c>
      <c r="AE342" s="51" t="str">
        <f>IF($A342="","",IF(OR($F342="sell_put",$F342="sell_call"),IF(AND($H342&gt;0,$I342&gt;0,$J342&gt;=0),$H342,0),IF(OR($F342="buy_to_close",$F342="expire",$F342="roll",$F342="assignment",$F342="called_away"),IF(AND($AF342&gt;0,$H342&gt;0,IF($F342="assignment",IF($AF342&gt;0,INDEX($AG$9:$AG$341,$AF342),"")="put",TRUE),IF($F342="called_away",IF($AF342&gt;0,INDEX($AG$9:$AG$341,$AF342),"")="call",TRUE)),MIN($H342,IF($AF342&gt;0,MAX(0,INDEX($AI$9:$AI$341,$AF342)-SUMIFS($AE$9:$AE$341,$G$9:$G$341,$G342,$B$9:$B$341,$B342)),0)),0),0)))</f>
        <v/>
      </c>
      <c r="AF342" t="str">
        <f>IF($A342="","",IFERROR(MATCH(LEN($B342)&amp;":"&amp;$B342&amp;$G342,$AY$9:$AY$341,0),0))</f>
        <v/>
      </c>
      <c r="AG342" t="str">
        <f>IF($A342="","",IF($F342="sell_put","put",IF($F342="sell_call","call",IF($F342="roll",IF($AF342&gt;0,IF($AF342&gt;0,INDEX($AG$9:$AG$341,$AF342),""),""),IF($AF342&gt;0,IF($AF342&gt;0,INDEX($AG$9:$AG$341,$AF342),""),"")))))</f>
        <v/>
      </c>
      <c r="AH342" t="str">
        <f>IF($A342="","",IF(OR($F342="sell_put",$F342="sell_call",$F342="roll"),$I342,IF($AF342&gt;0,IF($AF342&gt;0,INDEX($AH$9:$AH$341,$AF342),0),0)))</f>
        <v/>
      </c>
      <c r="AI342" s="51" t="str">
        <f t="shared" si="94"/>
        <v/>
      </c>
      <c r="AJ342" s="51" t="str">
        <f>IF($A342="","",IFERROR(LOOKUP(2,1/($B$9:$B$341=$B342),$AM$9:$AM341),0))</f>
        <v/>
      </c>
      <c r="AK342" t="str">
        <f>IF($A342="","",IFERROR(LOOKUP(2,1/($B$9:$B$341=$B342),$AN$9:$AN341),0))</f>
        <v/>
      </c>
      <c r="AL342" s="51" t="str">
        <f t="shared" si="95"/>
        <v/>
      </c>
      <c r="AM342" s="51" t="str">
        <f t="shared" si="96"/>
        <v/>
      </c>
      <c r="AN342" t="str">
        <f t="shared" si="97"/>
        <v/>
      </c>
      <c r="AO342" s="50" t="str">
        <f>IF($A342="","",IFERROR(LOOKUP(2,1/($B$9:$B$341=$B342),$AO$9:$AO341),0)+IF($F342="sell_put",$I342*$AE342*$D342,IF($F342="roll",IF($AG342="put",($I342-IF($AF342&gt;0,INDEX($AH$9:$AH$341,$AF342),0))*$AE342*$D342,0),IF(AND(OR($F342="buy_to_close",$F342="expire",$F342="roll",$F342="assignment",$F342="called_away"),$F342&lt;&gt;"roll",$AG342="put"),-IF($AF342&gt;0,INDEX($AH$9:$AH$341,$AF342),0)*$AE342*$D342,0))))</f>
        <v/>
      </c>
      <c r="AP342" s="51" t="str">
        <f>IF($A342="","",IFERROR(LOOKUP(2,1/($B$9:$B$341=$B342),$AP$9:$AP341),0)+IF($F342="sell_put",$AE342*$D342,IF(AND(OR($F342="buy_to_close",$F342="expire",$F342="roll",$F342="assignment",$F342="called_away"),$F342&lt;&gt;"roll",$AG342="put"),-$AE342*$D342,0)))</f>
        <v/>
      </c>
      <c r="AQ342" s="51" t="str">
        <f>IF($A342="","",IFERROR(LOOKUP(2,1/($B$9:$B$341=$B342),$AQ$9:$AQ341),0)+IF(OR($F342="sell_put",$F342="sell_call"),$AE342,0)-IF(AND(OR($F342="buy_to_close",$F342="expire",$F342="roll",$F342="assignment",$F342="called_away"),$F342&lt;&gt;"roll"),$AE342,0))</f>
        <v/>
      </c>
      <c r="AR342" t="str">
        <f t="shared" si="98"/>
        <v/>
      </c>
      <c r="AS342" s="50" t="str">
        <f t="shared" si="99"/>
        <v/>
      </c>
      <c r="AT342" s="50" t="str">
        <f>IF($A342="","",MAX(IF($T342=IFERROR(LOOKUP(2,1/($B$9:$B$341=$B342),$T$9:$T341),0),IFERROR(LOOKUP(2,1/($B$9:$B$341=$B342),$AT$9:$AT341),0),0),$AS342))</f>
        <v/>
      </c>
      <c r="AU342" t="str">
        <f t="shared" si="100"/>
        <v/>
      </c>
      <c r="AV342" s="51">
        <f>IF($AU342="",0,IF(AND(IFERROR(LOOKUP(2,1/($B$9:$B$341=$B342),$AR$9:$AR341),1),NOT(AND(OR($F342="dividend",$F342="fee"),IFERROR(LOOKUP(2,1/($B$9:$B$341=$B342),$T$9:$T341),0)&gt;0))),ROW(),0))</f>
        <v>0</v>
      </c>
      <c r="AW342">
        <f>IF($A342="",0,IF($AV342&gt;0,MAX($AW$9:$AW$341)+1,MAX($AW$9:$AW$341)))</f>
        <v>0</v>
      </c>
      <c r="AX342">
        <f>IF($AU342="",0,IF(AND($AR342,OR(NOT(IFERROR(LOOKUP(2,1/($B$9:$B$341=$B342),$AR$9:$AR341),1)),IFERROR(LOOKUP(2,1/($B$9:$B$341=$B342),$T$9:$T341),0)=0)),ROW(),0))</f>
        <v>0</v>
      </c>
      <c r="AY342" t="str">
        <f t="shared" si="101"/>
        <v/>
      </c>
    </row>
    <row r="343" spans="1:51" ht="15" x14ac:dyDescent="0.25">
      <c r="A343" s="41" t="str">
        <f>IF(Trades!$A343="","",Trades!O343)</f>
        <v/>
      </c>
      <c r="B343" s="41" t="str">
        <f>IF(Trades!$A343="","",Trades!B343)</f>
        <v/>
      </c>
      <c r="C343" s="41" t="str">
        <f>IF(Trades!$A343="","",Trades!C343)</f>
        <v/>
      </c>
      <c r="D343" s="42" t="str">
        <f>IF(Trades!$A343="","",IF(Trades!$L343&gt;0,Trades!$L343,Trades!$C$6))</f>
        <v/>
      </c>
      <c r="E343" s="43" t="str">
        <f>IF(Trades!$A343="","",Trades!A343)</f>
        <v/>
      </c>
      <c r="F343" s="41" t="str">
        <f>IF(Trades!$A343="","",IFERROR(INDEX(Trades!$V$2:$V$14,MATCH(Trades!$E343,Trades!$U$2:$U$14,0)),""))</f>
        <v/>
      </c>
      <c r="G343" s="41" t="str">
        <f>IF(Trades!$A343="","",Trades!N343)</f>
        <v/>
      </c>
      <c r="H343" s="42" t="str">
        <f>IF(Trades!$A343="","",Trades!F343)</f>
        <v/>
      </c>
      <c r="I343" s="44" t="str">
        <f>IF(Trades!$A343="","",Trades!G343)</f>
        <v/>
      </c>
      <c r="J343" s="44" t="str">
        <f>IF(Trades!$A343="","",Trades!I343)</f>
        <v/>
      </c>
      <c r="K343" s="44" t="str">
        <f>IF(Trades!$A343="","",Trades!Q343)</f>
        <v/>
      </c>
      <c r="L343" s="42" t="str">
        <f>IF(Trades!$A343="","",Trades!F343)</f>
        <v/>
      </c>
      <c r="M343" s="44" t="str">
        <f>IF(Trades!$A343="","",Trades!M343)</f>
        <v/>
      </c>
      <c r="N343" s="44" t="str">
        <f>IF(Trades!$A343="","",Trades!R343)</f>
        <v/>
      </c>
      <c r="O343" s="44" t="str">
        <f>IF(Trades!$A343="","",Trades!J343)</f>
        <v/>
      </c>
      <c r="P343" s="43" t="str">
        <f>IF(Trades!$A343="","",Trades!H343)</f>
        <v/>
      </c>
      <c r="Q343" s="41" t="str">
        <f>IF(Trades!$A343="","",Trades!P343)</f>
        <v/>
      </c>
      <c r="R343" s="45" t="str">
        <f t="shared" si="85"/>
        <v/>
      </c>
      <c r="S343" s="45" t="str">
        <f t="shared" si="86"/>
        <v/>
      </c>
      <c r="T343" s="46" t="str">
        <f>IF(OR($A343="",$B343=""),"",IF(AND(IFERROR(LOOKUP(2,1/($B$9:$B$342=$B343),$AR$9:$AR342),1),NOT(AND(OR($F343="dividend",$F343="fee"),IFERROR(LOOKUP(2,1/($B$9:$B$342=$B343),$T$9:$T342),0)&gt;0))),IFERROR(LOOKUP(2,1/($B$9:$B$342=$B343),$T$9:$T342),0)+1,IFERROR(LOOKUP(2,1/($B$9:$B$342=$B343),$T$9:$T342),0)))</f>
        <v/>
      </c>
      <c r="U343" s="47" t="str">
        <f t="shared" si="87"/>
        <v/>
      </c>
      <c r="V343" s="47" t="str">
        <f>IF($A343="","",IF(OR($B343="",$C343="",$D343="",$E343="",$F343=""),"Missing required field",IF(COUNTIFS($A$9:$A343,$A343,$B$9:$B343,$B343)&gt;1,"Duplicate event ID",IF(AND($E343&lt;&gt;IFERROR(LOOKUP(2,1/($B$9:$B$342=$B343),$E$9:$E342),0),IFERROR(LOOKUP(2,1/($B$9:$B$342=$B343),$E$9:$E342),0)&gt;$E343),"Date out of order",IF(AND(OR($F343="buy_to_close",$F343="expire",$F343="roll",$F343="assignment",$F343="called_away"),$AF343=0),"Unknown lot",IF(OR(AND($F343="assignment",$AF343&gt;0,IF($AF343&gt;0,INDEX($AG$9:$AG$342,$AF343),"")&lt;&gt;"put"),AND($F343="called_away",$AF343&gt;0,IF($AF343&gt;0,INDEX($AG$9:$AG$342,$AF343),"")&lt;&gt;"call")),"Wrong option leg",IF(OR(AND(OR($F343="sell_put",$F343="sell_call"),OR($H343&lt;=0,$I343&lt;=0,$J343&lt;0)),AND(OR($F343="buy_to_close",$F343="expire",$F343="assignment",$F343="called_away"),OR($H343&lt;=0,$J343&lt;0)),AND($F343="roll",OR($H343&lt;=0,$I343&lt;=0,$J343&lt;0,$K343&lt;0)),AND(OR($F343="buy_shares",$F343="sell_shares"),OR($L343&lt;=0,$M343&lt;0)),AND(OR($F343="dividend",$F343="fee"),$N343&lt;0)),"Invalid value",IF(AND(OR($F343="sell_shares",$F343="called_away"),$AL343&lt;IF($F343="called_away",$AE343*$D343,$L343)),"Insufficient shares (capped)",IF(AND(OR($F343="buy_to_close",$F343="expire",$F343="roll",$F343="assignment",$F343="called_away"),$AF343&gt;0,$H343&gt;IF($AF343&gt;0,MAX(0,INDEX($AI$9:$AI$342,$AF343)-SUMIFS($AE$9:$AE$342,$G$9:$G$342,$G343,$B$9:$B$342,$B343)),0)),"Close quantity capped","OK")))))))))</f>
        <v/>
      </c>
      <c r="W343" s="48" t="str">
        <f t="shared" si="88"/>
        <v/>
      </c>
      <c r="X343" s="49" t="str">
        <f t="shared" si="89"/>
        <v/>
      </c>
      <c r="Y343" s="50" t="str">
        <f t="shared" si="90"/>
        <v/>
      </c>
      <c r="Z343" s="50" t="str">
        <f t="shared" si="91"/>
        <v/>
      </c>
      <c r="AA343" s="50" t="str">
        <f t="shared" si="92"/>
        <v/>
      </c>
      <c r="AB343" s="50" t="str">
        <f t="shared" si="93"/>
        <v/>
      </c>
      <c r="AC343" s="50" t="str">
        <f>IF($A343="","",IF($F343="assignment",IF($AF343&gt;0,INDEX($AH$9:$AH$342,$AF343),0)*$AE343*$D343,IF($F343="buy_shares",$M343*$AL343,0)))</f>
        <v/>
      </c>
      <c r="AD343" s="50" t="str">
        <f>IF($A343="","",IF($F343="called_away",IF($AF343&gt;0,INDEX($AH$9:$AH$342,$AF343),0)*$AL343,IF($F343="sell_shares",$M343*$AL343,0)))</f>
        <v/>
      </c>
      <c r="AE343" s="51" t="str">
        <f>IF($A343="","",IF(OR($F343="sell_put",$F343="sell_call"),IF(AND($H343&gt;0,$I343&gt;0,$J343&gt;=0),$H343,0),IF(OR($F343="buy_to_close",$F343="expire",$F343="roll",$F343="assignment",$F343="called_away"),IF(AND($AF343&gt;0,$H343&gt;0,IF($F343="assignment",IF($AF343&gt;0,INDEX($AG$9:$AG$342,$AF343),"")="put",TRUE),IF($F343="called_away",IF($AF343&gt;0,INDEX($AG$9:$AG$342,$AF343),"")="call",TRUE)),MIN($H343,IF($AF343&gt;0,MAX(0,INDEX($AI$9:$AI$342,$AF343)-SUMIFS($AE$9:$AE$342,$G$9:$G$342,$G343,$B$9:$B$342,$B343)),0)),0),0)))</f>
        <v/>
      </c>
      <c r="AF343" t="str">
        <f>IF($A343="","",IFERROR(MATCH(LEN($B343)&amp;":"&amp;$B343&amp;$G343,$AY$9:$AY$342,0),0))</f>
        <v/>
      </c>
      <c r="AG343" t="str">
        <f>IF($A343="","",IF($F343="sell_put","put",IF($F343="sell_call","call",IF($F343="roll",IF($AF343&gt;0,IF($AF343&gt;0,INDEX($AG$9:$AG$342,$AF343),""),""),IF($AF343&gt;0,IF($AF343&gt;0,INDEX($AG$9:$AG$342,$AF343),""),"")))))</f>
        <v/>
      </c>
      <c r="AH343" t="str">
        <f>IF($A343="","",IF(OR($F343="sell_put",$F343="sell_call",$F343="roll"),$I343,IF($AF343&gt;0,IF($AF343&gt;0,INDEX($AH$9:$AH$342,$AF343),0),0)))</f>
        <v/>
      </c>
      <c r="AI343" s="51" t="str">
        <f t="shared" si="94"/>
        <v/>
      </c>
      <c r="AJ343" s="51" t="str">
        <f>IF($A343="","",IFERROR(LOOKUP(2,1/($B$9:$B$342=$B343),$AM$9:$AM342),0))</f>
        <v/>
      </c>
      <c r="AK343" t="str">
        <f>IF($A343="","",IFERROR(LOOKUP(2,1/($B$9:$B$342=$B343),$AN$9:$AN342),0))</f>
        <v/>
      </c>
      <c r="AL343" s="51" t="str">
        <f t="shared" si="95"/>
        <v/>
      </c>
      <c r="AM343" s="51" t="str">
        <f t="shared" si="96"/>
        <v/>
      </c>
      <c r="AN343" t="str">
        <f t="shared" si="97"/>
        <v/>
      </c>
      <c r="AO343" s="50" t="str">
        <f>IF($A343="","",IFERROR(LOOKUP(2,1/($B$9:$B$342=$B343),$AO$9:$AO342),0)+IF($F343="sell_put",$I343*$AE343*$D343,IF($F343="roll",IF($AG343="put",($I343-IF($AF343&gt;0,INDEX($AH$9:$AH$342,$AF343),0))*$AE343*$D343,0),IF(AND(OR($F343="buy_to_close",$F343="expire",$F343="roll",$F343="assignment",$F343="called_away"),$F343&lt;&gt;"roll",$AG343="put"),-IF($AF343&gt;0,INDEX($AH$9:$AH$342,$AF343),0)*$AE343*$D343,0))))</f>
        <v/>
      </c>
      <c r="AP343" s="51" t="str">
        <f>IF($A343="","",IFERROR(LOOKUP(2,1/($B$9:$B$342=$B343),$AP$9:$AP342),0)+IF($F343="sell_put",$AE343*$D343,IF(AND(OR($F343="buy_to_close",$F343="expire",$F343="roll",$F343="assignment",$F343="called_away"),$F343&lt;&gt;"roll",$AG343="put"),-$AE343*$D343,0)))</f>
        <v/>
      </c>
      <c r="AQ343" s="51" t="str">
        <f>IF($A343="","",IFERROR(LOOKUP(2,1/($B$9:$B$342=$B343),$AQ$9:$AQ342),0)+IF(OR($F343="sell_put",$F343="sell_call"),$AE343,0)-IF(AND(OR($F343="buy_to_close",$F343="expire",$F343="roll",$F343="assignment",$F343="called_away"),$F343&lt;&gt;"roll"),$AE343,0))</f>
        <v/>
      </c>
      <c r="AR343" t="str">
        <f t="shared" si="98"/>
        <v/>
      </c>
      <c r="AS343" s="50" t="str">
        <f t="shared" si="99"/>
        <v/>
      </c>
      <c r="AT343" s="50" t="str">
        <f>IF($A343="","",MAX(IF($T343=IFERROR(LOOKUP(2,1/($B$9:$B$342=$B343),$T$9:$T342),0),IFERROR(LOOKUP(2,1/($B$9:$B$342=$B343),$AT$9:$AT342),0),0),$AS343))</f>
        <v/>
      </c>
      <c r="AU343" t="str">
        <f t="shared" si="100"/>
        <v/>
      </c>
      <c r="AV343" s="51">
        <f>IF($AU343="",0,IF(AND(IFERROR(LOOKUP(2,1/($B$9:$B$342=$B343),$AR$9:$AR342),1),NOT(AND(OR($F343="dividend",$F343="fee"),IFERROR(LOOKUP(2,1/($B$9:$B$342=$B343),$T$9:$T342),0)&gt;0))),ROW(),0))</f>
        <v>0</v>
      </c>
      <c r="AW343">
        <f>IF($A343="",0,IF($AV343&gt;0,MAX($AW$9:$AW$342)+1,MAX($AW$9:$AW$342)))</f>
        <v>0</v>
      </c>
      <c r="AX343">
        <f>IF($AU343="",0,IF(AND($AR343,OR(NOT(IFERROR(LOOKUP(2,1/($B$9:$B$342=$B343),$AR$9:$AR342),1)),IFERROR(LOOKUP(2,1/($B$9:$B$342=$B343),$T$9:$T342),0)=0)),ROW(),0))</f>
        <v>0</v>
      </c>
      <c r="AY343" t="str">
        <f t="shared" si="101"/>
        <v/>
      </c>
    </row>
    <row r="344" spans="1:51" ht="15" x14ac:dyDescent="0.25">
      <c r="A344" s="52" t="str">
        <f>IF(Trades!$A344="","",Trades!O344)</f>
        <v/>
      </c>
      <c r="B344" s="52" t="str">
        <f>IF(Trades!$A344="","",Trades!B344)</f>
        <v/>
      </c>
      <c r="C344" s="52" t="str">
        <f>IF(Trades!$A344="","",Trades!C344)</f>
        <v/>
      </c>
      <c r="D344" s="53" t="str">
        <f>IF(Trades!$A344="","",IF(Trades!$L344&gt;0,Trades!$L344,Trades!$C$6))</f>
        <v/>
      </c>
      <c r="E344" s="54" t="str">
        <f>IF(Trades!$A344="","",Trades!A344)</f>
        <v/>
      </c>
      <c r="F344" s="52" t="str">
        <f>IF(Trades!$A344="","",IFERROR(INDEX(Trades!$V$2:$V$14,MATCH(Trades!$E344,Trades!$U$2:$U$14,0)),""))</f>
        <v/>
      </c>
      <c r="G344" s="52" t="str">
        <f>IF(Trades!$A344="","",Trades!N344)</f>
        <v/>
      </c>
      <c r="H344" s="53" t="str">
        <f>IF(Trades!$A344="","",Trades!F344)</f>
        <v/>
      </c>
      <c r="I344" s="55" t="str">
        <f>IF(Trades!$A344="","",Trades!G344)</f>
        <v/>
      </c>
      <c r="J344" s="55" t="str">
        <f>IF(Trades!$A344="","",Trades!I344)</f>
        <v/>
      </c>
      <c r="K344" s="55" t="str">
        <f>IF(Trades!$A344="","",Trades!Q344)</f>
        <v/>
      </c>
      <c r="L344" s="53" t="str">
        <f>IF(Trades!$A344="","",Trades!F344)</f>
        <v/>
      </c>
      <c r="M344" s="55" t="str">
        <f>IF(Trades!$A344="","",Trades!M344)</f>
        <v/>
      </c>
      <c r="N344" s="55" t="str">
        <f>IF(Trades!$A344="","",Trades!R344)</f>
        <v/>
      </c>
      <c r="O344" s="55" t="str">
        <f>IF(Trades!$A344="","",Trades!J344)</f>
        <v/>
      </c>
      <c r="P344" s="54" t="str">
        <f>IF(Trades!$A344="","",Trades!H344)</f>
        <v/>
      </c>
      <c r="Q344" s="52" t="str">
        <f>IF(Trades!$A344="","",Trades!P344)</f>
        <v/>
      </c>
      <c r="R344" s="56" t="str">
        <f t="shared" si="85"/>
        <v/>
      </c>
      <c r="S344" s="56" t="str">
        <f t="shared" si="86"/>
        <v/>
      </c>
      <c r="T344" s="57" t="str">
        <f>IF(OR($A344="",$B344=""),"",IF(AND(IFERROR(LOOKUP(2,1/($B$9:$B$343=$B344),$AR$9:$AR343),1),NOT(AND(OR($F344="dividend",$F344="fee"),IFERROR(LOOKUP(2,1/($B$9:$B$343=$B344),$T$9:$T343),0)&gt;0))),IFERROR(LOOKUP(2,1/($B$9:$B$343=$B344),$T$9:$T343),0)+1,IFERROR(LOOKUP(2,1/($B$9:$B$343=$B344),$T$9:$T343),0)))</f>
        <v/>
      </c>
      <c r="U344" s="58" t="str">
        <f t="shared" si="87"/>
        <v/>
      </c>
      <c r="V344" s="58" t="str">
        <f>IF($A344="","",IF(OR($B344="",$C344="",$D344="",$E344="",$F344=""),"Missing required field",IF(COUNTIFS($A$9:$A344,$A344,$B$9:$B344,$B344)&gt;1,"Duplicate event ID",IF(AND($E344&lt;&gt;IFERROR(LOOKUP(2,1/($B$9:$B$343=$B344),$E$9:$E343),0),IFERROR(LOOKUP(2,1/($B$9:$B$343=$B344),$E$9:$E343),0)&gt;$E344),"Date out of order",IF(AND(OR($F344="buy_to_close",$F344="expire",$F344="roll",$F344="assignment",$F344="called_away"),$AF344=0),"Unknown lot",IF(OR(AND($F344="assignment",$AF344&gt;0,IF($AF344&gt;0,INDEX($AG$9:$AG$343,$AF344),"")&lt;&gt;"put"),AND($F344="called_away",$AF344&gt;0,IF($AF344&gt;0,INDEX($AG$9:$AG$343,$AF344),"")&lt;&gt;"call")),"Wrong option leg",IF(OR(AND(OR($F344="sell_put",$F344="sell_call"),OR($H344&lt;=0,$I344&lt;=0,$J344&lt;0)),AND(OR($F344="buy_to_close",$F344="expire",$F344="assignment",$F344="called_away"),OR($H344&lt;=0,$J344&lt;0)),AND($F344="roll",OR($H344&lt;=0,$I344&lt;=0,$J344&lt;0,$K344&lt;0)),AND(OR($F344="buy_shares",$F344="sell_shares"),OR($L344&lt;=0,$M344&lt;0)),AND(OR($F344="dividend",$F344="fee"),$N344&lt;0)),"Invalid value",IF(AND(OR($F344="sell_shares",$F344="called_away"),$AL344&lt;IF($F344="called_away",$AE344*$D344,$L344)),"Insufficient shares (capped)",IF(AND(OR($F344="buy_to_close",$F344="expire",$F344="roll",$F344="assignment",$F344="called_away"),$AF344&gt;0,$H344&gt;IF($AF344&gt;0,MAX(0,INDEX($AI$9:$AI$343,$AF344)-SUMIFS($AE$9:$AE$343,$G$9:$G$343,$G344,$B$9:$B$343,$B344)),0)),"Close quantity capped","OK")))))))))</f>
        <v/>
      </c>
      <c r="W344" s="59" t="str">
        <f t="shared" si="88"/>
        <v/>
      </c>
      <c r="X344" s="60" t="str">
        <f t="shared" si="89"/>
        <v/>
      </c>
      <c r="Y344" s="50" t="str">
        <f t="shared" si="90"/>
        <v/>
      </c>
      <c r="Z344" s="50" t="str">
        <f t="shared" si="91"/>
        <v/>
      </c>
      <c r="AA344" s="50" t="str">
        <f t="shared" si="92"/>
        <v/>
      </c>
      <c r="AB344" s="50" t="str">
        <f t="shared" si="93"/>
        <v/>
      </c>
      <c r="AC344" s="50" t="str">
        <f>IF($A344="","",IF($F344="assignment",IF($AF344&gt;0,INDEX($AH$9:$AH$343,$AF344),0)*$AE344*$D344,IF($F344="buy_shares",$M344*$AL344,0)))</f>
        <v/>
      </c>
      <c r="AD344" s="50" t="str">
        <f>IF($A344="","",IF($F344="called_away",IF($AF344&gt;0,INDEX($AH$9:$AH$343,$AF344),0)*$AL344,IF($F344="sell_shares",$M344*$AL344,0)))</f>
        <v/>
      </c>
      <c r="AE344" s="51" t="str">
        <f>IF($A344="","",IF(OR($F344="sell_put",$F344="sell_call"),IF(AND($H344&gt;0,$I344&gt;0,$J344&gt;=0),$H344,0),IF(OR($F344="buy_to_close",$F344="expire",$F344="roll",$F344="assignment",$F344="called_away"),IF(AND($AF344&gt;0,$H344&gt;0,IF($F344="assignment",IF($AF344&gt;0,INDEX($AG$9:$AG$343,$AF344),"")="put",TRUE),IF($F344="called_away",IF($AF344&gt;0,INDEX($AG$9:$AG$343,$AF344),"")="call",TRUE)),MIN($H344,IF($AF344&gt;0,MAX(0,INDEX($AI$9:$AI$343,$AF344)-SUMIFS($AE$9:$AE$343,$G$9:$G$343,$G344,$B$9:$B$343,$B344)),0)),0),0)))</f>
        <v/>
      </c>
      <c r="AF344" t="str">
        <f>IF($A344="","",IFERROR(MATCH(LEN($B344)&amp;":"&amp;$B344&amp;$G344,$AY$9:$AY$343,0),0))</f>
        <v/>
      </c>
      <c r="AG344" t="str">
        <f>IF($A344="","",IF($F344="sell_put","put",IF($F344="sell_call","call",IF($F344="roll",IF($AF344&gt;0,IF($AF344&gt;0,INDEX($AG$9:$AG$343,$AF344),""),""),IF($AF344&gt;0,IF($AF344&gt;0,INDEX($AG$9:$AG$343,$AF344),""),"")))))</f>
        <v/>
      </c>
      <c r="AH344" t="str">
        <f>IF($A344="","",IF(OR($F344="sell_put",$F344="sell_call",$F344="roll"),$I344,IF($AF344&gt;0,IF($AF344&gt;0,INDEX($AH$9:$AH$343,$AF344),0),0)))</f>
        <v/>
      </c>
      <c r="AI344" s="51" t="str">
        <f t="shared" si="94"/>
        <v/>
      </c>
      <c r="AJ344" s="51" t="str">
        <f>IF($A344="","",IFERROR(LOOKUP(2,1/($B$9:$B$343=$B344),$AM$9:$AM343),0))</f>
        <v/>
      </c>
      <c r="AK344" t="str">
        <f>IF($A344="","",IFERROR(LOOKUP(2,1/($B$9:$B$343=$B344),$AN$9:$AN343),0))</f>
        <v/>
      </c>
      <c r="AL344" s="51" t="str">
        <f t="shared" si="95"/>
        <v/>
      </c>
      <c r="AM344" s="51" t="str">
        <f t="shared" si="96"/>
        <v/>
      </c>
      <c r="AN344" t="str">
        <f t="shared" si="97"/>
        <v/>
      </c>
      <c r="AO344" s="50" t="str">
        <f>IF($A344="","",IFERROR(LOOKUP(2,1/($B$9:$B$343=$B344),$AO$9:$AO343),0)+IF($F344="sell_put",$I344*$AE344*$D344,IF($F344="roll",IF($AG344="put",($I344-IF($AF344&gt;0,INDEX($AH$9:$AH$343,$AF344),0))*$AE344*$D344,0),IF(AND(OR($F344="buy_to_close",$F344="expire",$F344="roll",$F344="assignment",$F344="called_away"),$F344&lt;&gt;"roll",$AG344="put"),-IF($AF344&gt;0,INDEX($AH$9:$AH$343,$AF344),0)*$AE344*$D344,0))))</f>
        <v/>
      </c>
      <c r="AP344" s="51" t="str">
        <f>IF($A344="","",IFERROR(LOOKUP(2,1/($B$9:$B$343=$B344),$AP$9:$AP343),0)+IF($F344="sell_put",$AE344*$D344,IF(AND(OR($F344="buy_to_close",$F344="expire",$F344="roll",$F344="assignment",$F344="called_away"),$F344&lt;&gt;"roll",$AG344="put"),-$AE344*$D344,0)))</f>
        <v/>
      </c>
      <c r="AQ344" s="51" t="str">
        <f>IF($A344="","",IFERROR(LOOKUP(2,1/($B$9:$B$343=$B344),$AQ$9:$AQ343),0)+IF(OR($F344="sell_put",$F344="sell_call"),$AE344,0)-IF(AND(OR($F344="buy_to_close",$F344="expire",$F344="roll",$F344="assignment",$F344="called_away"),$F344&lt;&gt;"roll"),$AE344,0))</f>
        <v/>
      </c>
      <c r="AR344" t="str">
        <f t="shared" si="98"/>
        <v/>
      </c>
      <c r="AS344" s="50" t="str">
        <f t="shared" si="99"/>
        <v/>
      </c>
      <c r="AT344" s="50" t="str">
        <f>IF($A344="","",MAX(IF($T344=IFERROR(LOOKUP(2,1/($B$9:$B$343=$B344),$T$9:$T343),0),IFERROR(LOOKUP(2,1/($B$9:$B$343=$B344),$AT$9:$AT343),0),0),$AS344))</f>
        <v/>
      </c>
      <c r="AU344" t="str">
        <f t="shared" si="100"/>
        <v/>
      </c>
      <c r="AV344" s="51">
        <f>IF($AU344="",0,IF(AND(IFERROR(LOOKUP(2,1/($B$9:$B$343=$B344),$AR$9:$AR343),1),NOT(AND(OR($F344="dividend",$F344="fee"),IFERROR(LOOKUP(2,1/($B$9:$B$343=$B344),$T$9:$T343),0)&gt;0))),ROW(),0))</f>
        <v>0</v>
      </c>
      <c r="AW344">
        <f>IF($A344="",0,IF($AV344&gt;0,MAX($AW$9:$AW$343)+1,MAX($AW$9:$AW$343)))</f>
        <v>0</v>
      </c>
      <c r="AX344">
        <f>IF($AU344="",0,IF(AND($AR344,OR(NOT(IFERROR(LOOKUP(2,1/($B$9:$B$343=$B344),$AR$9:$AR343),1)),IFERROR(LOOKUP(2,1/($B$9:$B$343=$B344),$T$9:$T343),0)=0)),ROW(),0))</f>
        <v>0</v>
      </c>
      <c r="AY344" t="str">
        <f t="shared" si="101"/>
        <v/>
      </c>
    </row>
    <row r="345" spans="1:51" ht="15" x14ac:dyDescent="0.25">
      <c r="A345" s="41" t="str">
        <f>IF(Trades!$A345="","",Trades!O345)</f>
        <v/>
      </c>
      <c r="B345" s="41" t="str">
        <f>IF(Trades!$A345="","",Trades!B345)</f>
        <v/>
      </c>
      <c r="C345" s="41" t="str">
        <f>IF(Trades!$A345="","",Trades!C345)</f>
        <v/>
      </c>
      <c r="D345" s="42" t="str">
        <f>IF(Trades!$A345="","",IF(Trades!$L345&gt;0,Trades!$L345,Trades!$C$6))</f>
        <v/>
      </c>
      <c r="E345" s="43" t="str">
        <f>IF(Trades!$A345="","",Trades!A345)</f>
        <v/>
      </c>
      <c r="F345" s="41" t="str">
        <f>IF(Trades!$A345="","",IFERROR(INDEX(Trades!$V$2:$V$14,MATCH(Trades!$E345,Trades!$U$2:$U$14,0)),""))</f>
        <v/>
      </c>
      <c r="G345" s="41" t="str">
        <f>IF(Trades!$A345="","",Trades!N345)</f>
        <v/>
      </c>
      <c r="H345" s="42" t="str">
        <f>IF(Trades!$A345="","",Trades!F345)</f>
        <v/>
      </c>
      <c r="I345" s="44" t="str">
        <f>IF(Trades!$A345="","",Trades!G345)</f>
        <v/>
      </c>
      <c r="J345" s="44" t="str">
        <f>IF(Trades!$A345="","",Trades!I345)</f>
        <v/>
      </c>
      <c r="K345" s="44" t="str">
        <f>IF(Trades!$A345="","",Trades!Q345)</f>
        <v/>
      </c>
      <c r="L345" s="42" t="str">
        <f>IF(Trades!$A345="","",Trades!F345)</f>
        <v/>
      </c>
      <c r="M345" s="44" t="str">
        <f>IF(Trades!$A345="","",Trades!M345)</f>
        <v/>
      </c>
      <c r="N345" s="44" t="str">
        <f>IF(Trades!$A345="","",Trades!R345)</f>
        <v/>
      </c>
      <c r="O345" s="44" t="str">
        <f>IF(Trades!$A345="","",Trades!J345)</f>
        <v/>
      </c>
      <c r="P345" s="43" t="str">
        <f>IF(Trades!$A345="","",Trades!H345)</f>
        <v/>
      </c>
      <c r="Q345" s="41" t="str">
        <f>IF(Trades!$A345="","",Trades!P345)</f>
        <v/>
      </c>
      <c r="R345" s="45" t="str">
        <f t="shared" si="85"/>
        <v/>
      </c>
      <c r="S345" s="45" t="str">
        <f t="shared" si="86"/>
        <v/>
      </c>
      <c r="T345" s="46" t="str">
        <f>IF(OR($A345="",$B345=""),"",IF(AND(IFERROR(LOOKUP(2,1/($B$9:$B$344=$B345),$AR$9:$AR344),1),NOT(AND(OR($F345="dividend",$F345="fee"),IFERROR(LOOKUP(2,1/($B$9:$B$344=$B345),$T$9:$T344),0)&gt;0))),IFERROR(LOOKUP(2,1/($B$9:$B$344=$B345),$T$9:$T344),0)+1,IFERROR(LOOKUP(2,1/($B$9:$B$344=$B345),$T$9:$T344),0)))</f>
        <v/>
      </c>
      <c r="U345" s="47" t="str">
        <f t="shared" si="87"/>
        <v/>
      </c>
      <c r="V345" s="47" t="str">
        <f>IF($A345="","",IF(OR($B345="",$C345="",$D345="",$E345="",$F345=""),"Missing required field",IF(COUNTIFS($A$9:$A345,$A345,$B$9:$B345,$B345)&gt;1,"Duplicate event ID",IF(AND($E345&lt;&gt;IFERROR(LOOKUP(2,1/($B$9:$B$344=$B345),$E$9:$E344),0),IFERROR(LOOKUP(2,1/($B$9:$B$344=$B345),$E$9:$E344),0)&gt;$E345),"Date out of order",IF(AND(OR($F345="buy_to_close",$F345="expire",$F345="roll",$F345="assignment",$F345="called_away"),$AF345=0),"Unknown lot",IF(OR(AND($F345="assignment",$AF345&gt;0,IF($AF345&gt;0,INDEX($AG$9:$AG$344,$AF345),"")&lt;&gt;"put"),AND($F345="called_away",$AF345&gt;0,IF($AF345&gt;0,INDEX($AG$9:$AG$344,$AF345),"")&lt;&gt;"call")),"Wrong option leg",IF(OR(AND(OR($F345="sell_put",$F345="sell_call"),OR($H345&lt;=0,$I345&lt;=0,$J345&lt;0)),AND(OR($F345="buy_to_close",$F345="expire",$F345="assignment",$F345="called_away"),OR($H345&lt;=0,$J345&lt;0)),AND($F345="roll",OR($H345&lt;=0,$I345&lt;=0,$J345&lt;0,$K345&lt;0)),AND(OR($F345="buy_shares",$F345="sell_shares"),OR($L345&lt;=0,$M345&lt;0)),AND(OR($F345="dividend",$F345="fee"),$N345&lt;0)),"Invalid value",IF(AND(OR($F345="sell_shares",$F345="called_away"),$AL345&lt;IF($F345="called_away",$AE345*$D345,$L345)),"Insufficient shares (capped)",IF(AND(OR($F345="buy_to_close",$F345="expire",$F345="roll",$F345="assignment",$F345="called_away"),$AF345&gt;0,$H345&gt;IF($AF345&gt;0,MAX(0,INDEX($AI$9:$AI$344,$AF345)-SUMIFS($AE$9:$AE$344,$G$9:$G$344,$G345,$B$9:$B$344,$B345)),0)),"Close quantity capped","OK")))))))))</f>
        <v/>
      </c>
      <c r="W345" s="48" t="str">
        <f t="shared" si="88"/>
        <v/>
      </c>
      <c r="X345" s="49" t="str">
        <f t="shared" si="89"/>
        <v/>
      </c>
      <c r="Y345" s="50" t="str">
        <f t="shared" si="90"/>
        <v/>
      </c>
      <c r="Z345" s="50" t="str">
        <f t="shared" si="91"/>
        <v/>
      </c>
      <c r="AA345" s="50" t="str">
        <f t="shared" si="92"/>
        <v/>
      </c>
      <c r="AB345" s="50" t="str">
        <f t="shared" si="93"/>
        <v/>
      </c>
      <c r="AC345" s="50" t="str">
        <f>IF($A345="","",IF($F345="assignment",IF($AF345&gt;0,INDEX($AH$9:$AH$344,$AF345),0)*$AE345*$D345,IF($F345="buy_shares",$M345*$AL345,0)))</f>
        <v/>
      </c>
      <c r="AD345" s="50" t="str">
        <f>IF($A345="","",IF($F345="called_away",IF($AF345&gt;0,INDEX($AH$9:$AH$344,$AF345),0)*$AL345,IF($F345="sell_shares",$M345*$AL345,0)))</f>
        <v/>
      </c>
      <c r="AE345" s="51" t="str">
        <f>IF($A345="","",IF(OR($F345="sell_put",$F345="sell_call"),IF(AND($H345&gt;0,$I345&gt;0,$J345&gt;=0),$H345,0),IF(OR($F345="buy_to_close",$F345="expire",$F345="roll",$F345="assignment",$F345="called_away"),IF(AND($AF345&gt;0,$H345&gt;0,IF($F345="assignment",IF($AF345&gt;0,INDEX($AG$9:$AG$344,$AF345),"")="put",TRUE),IF($F345="called_away",IF($AF345&gt;0,INDEX($AG$9:$AG$344,$AF345),"")="call",TRUE)),MIN($H345,IF($AF345&gt;0,MAX(0,INDEX($AI$9:$AI$344,$AF345)-SUMIFS($AE$9:$AE$344,$G$9:$G$344,$G345,$B$9:$B$344,$B345)),0)),0),0)))</f>
        <v/>
      </c>
      <c r="AF345" t="str">
        <f>IF($A345="","",IFERROR(MATCH(LEN($B345)&amp;":"&amp;$B345&amp;$G345,$AY$9:$AY$344,0),0))</f>
        <v/>
      </c>
      <c r="AG345" t="str">
        <f>IF($A345="","",IF($F345="sell_put","put",IF($F345="sell_call","call",IF($F345="roll",IF($AF345&gt;0,IF($AF345&gt;0,INDEX($AG$9:$AG$344,$AF345),""),""),IF($AF345&gt;0,IF($AF345&gt;0,INDEX($AG$9:$AG$344,$AF345),""),"")))))</f>
        <v/>
      </c>
      <c r="AH345" t="str">
        <f>IF($A345="","",IF(OR($F345="sell_put",$F345="sell_call",$F345="roll"),$I345,IF($AF345&gt;0,IF($AF345&gt;0,INDEX($AH$9:$AH$344,$AF345),0),0)))</f>
        <v/>
      </c>
      <c r="AI345" s="51" t="str">
        <f t="shared" si="94"/>
        <v/>
      </c>
      <c r="AJ345" s="51" t="str">
        <f>IF($A345="","",IFERROR(LOOKUP(2,1/($B$9:$B$344=$B345),$AM$9:$AM344),0))</f>
        <v/>
      </c>
      <c r="AK345" t="str">
        <f>IF($A345="","",IFERROR(LOOKUP(2,1/($B$9:$B$344=$B345),$AN$9:$AN344),0))</f>
        <v/>
      </c>
      <c r="AL345" s="51" t="str">
        <f t="shared" si="95"/>
        <v/>
      </c>
      <c r="AM345" s="51" t="str">
        <f t="shared" si="96"/>
        <v/>
      </c>
      <c r="AN345" t="str">
        <f t="shared" si="97"/>
        <v/>
      </c>
      <c r="AO345" s="50" t="str">
        <f>IF($A345="","",IFERROR(LOOKUP(2,1/($B$9:$B$344=$B345),$AO$9:$AO344),0)+IF($F345="sell_put",$I345*$AE345*$D345,IF($F345="roll",IF($AG345="put",($I345-IF($AF345&gt;0,INDEX($AH$9:$AH$344,$AF345),0))*$AE345*$D345,0),IF(AND(OR($F345="buy_to_close",$F345="expire",$F345="roll",$F345="assignment",$F345="called_away"),$F345&lt;&gt;"roll",$AG345="put"),-IF($AF345&gt;0,INDEX($AH$9:$AH$344,$AF345),0)*$AE345*$D345,0))))</f>
        <v/>
      </c>
      <c r="AP345" s="51" t="str">
        <f>IF($A345="","",IFERROR(LOOKUP(2,1/($B$9:$B$344=$B345),$AP$9:$AP344),0)+IF($F345="sell_put",$AE345*$D345,IF(AND(OR($F345="buy_to_close",$F345="expire",$F345="roll",$F345="assignment",$F345="called_away"),$F345&lt;&gt;"roll",$AG345="put"),-$AE345*$D345,0)))</f>
        <v/>
      </c>
      <c r="AQ345" s="51" t="str">
        <f>IF($A345="","",IFERROR(LOOKUP(2,1/($B$9:$B$344=$B345),$AQ$9:$AQ344),0)+IF(OR($F345="sell_put",$F345="sell_call"),$AE345,0)-IF(AND(OR($F345="buy_to_close",$F345="expire",$F345="roll",$F345="assignment",$F345="called_away"),$F345&lt;&gt;"roll"),$AE345,0))</f>
        <v/>
      </c>
      <c r="AR345" t="str">
        <f t="shared" si="98"/>
        <v/>
      </c>
      <c r="AS345" s="50" t="str">
        <f t="shared" si="99"/>
        <v/>
      </c>
      <c r="AT345" s="50" t="str">
        <f>IF($A345="","",MAX(IF($T345=IFERROR(LOOKUP(2,1/($B$9:$B$344=$B345),$T$9:$T344),0),IFERROR(LOOKUP(2,1/($B$9:$B$344=$B345),$AT$9:$AT344),0),0),$AS345))</f>
        <v/>
      </c>
      <c r="AU345" t="str">
        <f t="shared" si="100"/>
        <v/>
      </c>
      <c r="AV345" s="51">
        <f>IF($AU345="",0,IF(AND(IFERROR(LOOKUP(2,1/($B$9:$B$344=$B345),$AR$9:$AR344),1),NOT(AND(OR($F345="dividend",$F345="fee"),IFERROR(LOOKUP(2,1/($B$9:$B$344=$B345),$T$9:$T344),0)&gt;0))),ROW(),0))</f>
        <v>0</v>
      </c>
      <c r="AW345">
        <f>IF($A345="",0,IF($AV345&gt;0,MAX($AW$9:$AW$344)+1,MAX($AW$9:$AW$344)))</f>
        <v>0</v>
      </c>
      <c r="AX345">
        <f>IF($AU345="",0,IF(AND($AR345,OR(NOT(IFERROR(LOOKUP(2,1/($B$9:$B$344=$B345),$AR$9:$AR344),1)),IFERROR(LOOKUP(2,1/($B$9:$B$344=$B345),$T$9:$T344),0)=0)),ROW(),0))</f>
        <v>0</v>
      </c>
      <c r="AY345" t="str">
        <f t="shared" si="101"/>
        <v/>
      </c>
    </row>
    <row r="346" spans="1:51" ht="15" x14ac:dyDescent="0.25">
      <c r="A346" s="52" t="str">
        <f>IF(Trades!$A346="","",Trades!O346)</f>
        <v/>
      </c>
      <c r="B346" s="52" t="str">
        <f>IF(Trades!$A346="","",Trades!B346)</f>
        <v/>
      </c>
      <c r="C346" s="52" t="str">
        <f>IF(Trades!$A346="","",Trades!C346)</f>
        <v/>
      </c>
      <c r="D346" s="53" t="str">
        <f>IF(Trades!$A346="","",IF(Trades!$L346&gt;0,Trades!$L346,Trades!$C$6))</f>
        <v/>
      </c>
      <c r="E346" s="54" t="str">
        <f>IF(Trades!$A346="","",Trades!A346)</f>
        <v/>
      </c>
      <c r="F346" s="52" t="str">
        <f>IF(Trades!$A346="","",IFERROR(INDEX(Trades!$V$2:$V$14,MATCH(Trades!$E346,Trades!$U$2:$U$14,0)),""))</f>
        <v/>
      </c>
      <c r="G346" s="52" t="str">
        <f>IF(Trades!$A346="","",Trades!N346)</f>
        <v/>
      </c>
      <c r="H346" s="53" t="str">
        <f>IF(Trades!$A346="","",Trades!F346)</f>
        <v/>
      </c>
      <c r="I346" s="55" t="str">
        <f>IF(Trades!$A346="","",Trades!G346)</f>
        <v/>
      </c>
      <c r="J346" s="55" t="str">
        <f>IF(Trades!$A346="","",Trades!I346)</f>
        <v/>
      </c>
      <c r="K346" s="55" t="str">
        <f>IF(Trades!$A346="","",Trades!Q346)</f>
        <v/>
      </c>
      <c r="L346" s="53" t="str">
        <f>IF(Trades!$A346="","",Trades!F346)</f>
        <v/>
      </c>
      <c r="M346" s="55" t="str">
        <f>IF(Trades!$A346="","",Trades!M346)</f>
        <v/>
      </c>
      <c r="N346" s="55" t="str">
        <f>IF(Trades!$A346="","",Trades!R346)</f>
        <v/>
      </c>
      <c r="O346" s="55" t="str">
        <f>IF(Trades!$A346="","",Trades!J346)</f>
        <v/>
      </c>
      <c r="P346" s="54" t="str">
        <f>IF(Trades!$A346="","",Trades!H346)</f>
        <v/>
      </c>
      <c r="Q346" s="52" t="str">
        <f>IF(Trades!$A346="","",Trades!P346)</f>
        <v/>
      </c>
      <c r="R346" s="56" t="str">
        <f t="shared" si="85"/>
        <v/>
      </c>
      <c r="S346" s="56" t="str">
        <f t="shared" si="86"/>
        <v/>
      </c>
      <c r="T346" s="57" t="str">
        <f>IF(OR($A346="",$B346=""),"",IF(AND(IFERROR(LOOKUP(2,1/($B$9:$B$345=$B346),$AR$9:$AR345),1),NOT(AND(OR($F346="dividend",$F346="fee"),IFERROR(LOOKUP(2,1/($B$9:$B$345=$B346),$T$9:$T345),0)&gt;0))),IFERROR(LOOKUP(2,1/($B$9:$B$345=$B346),$T$9:$T345),0)+1,IFERROR(LOOKUP(2,1/($B$9:$B$345=$B346),$T$9:$T345),0)))</f>
        <v/>
      </c>
      <c r="U346" s="58" t="str">
        <f t="shared" si="87"/>
        <v/>
      </c>
      <c r="V346" s="58" t="str">
        <f>IF($A346="","",IF(OR($B346="",$C346="",$D346="",$E346="",$F346=""),"Missing required field",IF(COUNTIFS($A$9:$A346,$A346,$B$9:$B346,$B346)&gt;1,"Duplicate event ID",IF(AND($E346&lt;&gt;IFERROR(LOOKUP(2,1/($B$9:$B$345=$B346),$E$9:$E345),0),IFERROR(LOOKUP(2,1/($B$9:$B$345=$B346),$E$9:$E345),0)&gt;$E346),"Date out of order",IF(AND(OR($F346="buy_to_close",$F346="expire",$F346="roll",$F346="assignment",$F346="called_away"),$AF346=0),"Unknown lot",IF(OR(AND($F346="assignment",$AF346&gt;0,IF($AF346&gt;0,INDEX($AG$9:$AG$345,$AF346),"")&lt;&gt;"put"),AND($F346="called_away",$AF346&gt;0,IF($AF346&gt;0,INDEX($AG$9:$AG$345,$AF346),"")&lt;&gt;"call")),"Wrong option leg",IF(OR(AND(OR($F346="sell_put",$F346="sell_call"),OR($H346&lt;=0,$I346&lt;=0,$J346&lt;0)),AND(OR($F346="buy_to_close",$F346="expire",$F346="assignment",$F346="called_away"),OR($H346&lt;=0,$J346&lt;0)),AND($F346="roll",OR($H346&lt;=0,$I346&lt;=0,$J346&lt;0,$K346&lt;0)),AND(OR($F346="buy_shares",$F346="sell_shares"),OR($L346&lt;=0,$M346&lt;0)),AND(OR($F346="dividend",$F346="fee"),$N346&lt;0)),"Invalid value",IF(AND(OR($F346="sell_shares",$F346="called_away"),$AL346&lt;IF($F346="called_away",$AE346*$D346,$L346)),"Insufficient shares (capped)",IF(AND(OR($F346="buy_to_close",$F346="expire",$F346="roll",$F346="assignment",$F346="called_away"),$AF346&gt;0,$H346&gt;IF($AF346&gt;0,MAX(0,INDEX($AI$9:$AI$345,$AF346)-SUMIFS($AE$9:$AE$345,$G$9:$G$345,$G346,$B$9:$B$345,$B346)),0)),"Close quantity capped","OK")))))))))</f>
        <v/>
      </c>
      <c r="W346" s="59" t="str">
        <f t="shared" si="88"/>
        <v/>
      </c>
      <c r="X346" s="60" t="str">
        <f t="shared" si="89"/>
        <v/>
      </c>
      <c r="Y346" s="50" t="str">
        <f t="shared" si="90"/>
        <v/>
      </c>
      <c r="Z346" s="50" t="str">
        <f t="shared" si="91"/>
        <v/>
      </c>
      <c r="AA346" s="50" t="str">
        <f t="shared" si="92"/>
        <v/>
      </c>
      <c r="AB346" s="50" t="str">
        <f t="shared" si="93"/>
        <v/>
      </c>
      <c r="AC346" s="50" t="str">
        <f>IF($A346="","",IF($F346="assignment",IF($AF346&gt;0,INDEX($AH$9:$AH$345,$AF346),0)*$AE346*$D346,IF($F346="buy_shares",$M346*$AL346,0)))</f>
        <v/>
      </c>
      <c r="AD346" s="50" t="str">
        <f>IF($A346="","",IF($F346="called_away",IF($AF346&gt;0,INDEX($AH$9:$AH$345,$AF346),0)*$AL346,IF($F346="sell_shares",$M346*$AL346,0)))</f>
        <v/>
      </c>
      <c r="AE346" s="51" t="str">
        <f>IF($A346="","",IF(OR($F346="sell_put",$F346="sell_call"),IF(AND($H346&gt;0,$I346&gt;0,$J346&gt;=0),$H346,0),IF(OR($F346="buy_to_close",$F346="expire",$F346="roll",$F346="assignment",$F346="called_away"),IF(AND($AF346&gt;0,$H346&gt;0,IF($F346="assignment",IF($AF346&gt;0,INDEX($AG$9:$AG$345,$AF346),"")="put",TRUE),IF($F346="called_away",IF($AF346&gt;0,INDEX($AG$9:$AG$345,$AF346),"")="call",TRUE)),MIN($H346,IF($AF346&gt;0,MAX(0,INDEX($AI$9:$AI$345,$AF346)-SUMIFS($AE$9:$AE$345,$G$9:$G$345,$G346,$B$9:$B$345,$B346)),0)),0),0)))</f>
        <v/>
      </c>
      <c r="AF346" t="str">
        <f>IF($A346="","",IFERROR(MATCH(LEN($B346)&amp;":"&amp;$B346&amp;$G346,$AY$9:$AY$345,0),0))</f>
        <v/>
      </c>
      <c r="AG346" t="str">
        <f>IF($A346="","",IF($F346="sell_put","put",IF($F346="sell_call","call",IF($F346="roll",IF($AF346&gt;0,IF($AF346&gt;0,INDEX($AG$9:$AG$345,$AF346),""),""),IF($AF346&gt;0,IF($AF346&gt;0,INDEX($AG$9:$AG$345,$AF346),""),"")))))</f>
        <v/>
      </c>
      <c r="AH346" t="str">
        <f>IF($A346="","",IF(OR($F346="sell_put",$F346="sell_call",$F346="roll"),$I346,IF($AF346&gt;0,IF($AF346&gt;0,INDEX($AH$9:$AH$345,$AF346),0),0)))</f>
        <v/>
      </c>
      <c r="AI346" s="51" t="str">
        <f t="shared" si="94"/>
        <v/>
      </c>
      <c r="AJ346" s="51" t="str">
        <f>IF($A346="","",IFERROR(LOOKUP(2,1/($B$9:$B$345=$B346),$AM$9:$AM345),0))</f>
        <v/>
      </c>
      <c r="AK346" t="str">
        <f>IF($A346="","",IFERROR(LOOKUP(2,1/($B$9:$B$345=$B346),$AN$9:$AN345),0))</f>
        <v/>
      </c>
      <c r="AL346" s="51" t="str">
        <f t="shared" si="95"/>
        <v/>
      </c>
      <c r="AM346" s="51" t="str">
        <f t="shared" si="96"/>
        <v/>
      </c>
      <c r="AN346" t="str">
        <f t="shared" si="97"/>
        <v/>
      </c>
      <c r="AO346" s="50" t="str">
        <f>IF($A346="","",IFERROR(LOOKUP(2,1/($B$9:$B$345=$B346),$AO$9:$AO345),0)+IF($F346="sell_put",$I346*$AE346*$D346,IF($F346="roll",IF($AG346="put",($I346-IF($AF346&gt;0,INDEX($AH$9:$AH$345,$AF346),0))*$AE346*$D346,0),IF(AND(OR($F346="buy_to_close",$F346="expire",$F346="roll",$F346="assignment",$F346="called_away"),$F346&lt;&gt;"roll",$AG346="put"),-IF($AF346&gt;0,INDEX($AH$9:$AH$345,$AF346),0)*$AE346*$D346,0))))</f>
        <v/>
      </c>
      <c r="AP346" s="51" t="str">
        <f>IF($A346="","",IFERROR(LOOKUP(2,1/($B$9:$B$345=$B346),$AP$9:$AP345),0)+IF($F346="sell_put",$AE346*$D346,IF(AND(OR($F346="buy_to_close",$F346="expire",$F346="roll",$F346="assignment",$F346="called_away"),$F346&lt;&gt;"roll",$AG346="put"),-$AE346*$D346,0)))</f>
        <v/>
      </c>
      <c r="AQ346" s="51" t="str">
        <f>IF($A346="","",IFERROR(LOOKUP(2,1/($B$9:$B$345=$B346),$AQ$9:$AQ345),0)+IF(OR($F346="sell_put",$F346="sell_call"),$AE346,0)-IF(AND(OR($F346="buy_to_close",$F346="expire",$F346="roll",$F346="assignment",$F346="called_away"),$F346&lt;&gt;"roll"),$AE346,0))</f>
        <v/>
      </c>
      <c r="AR346" t="str">
        <f t="shared" si="98"/>
        <v/>
      </c>
      <c r="AS346" s="50" t="str">
        <f t="shared" si="99"/>
        <v/>
      </c>
      <c r="AT346" s="50" t="str">
        <f>IF($A346="","",MAX(IF($T346=IFERROR(LOOKUP(2,1/($B$9:$B$345=$B346),$T$9:$T345),0),IFERROR(LOOKUP(2,1/($B$9:$B$345=$B346),$AT$9:$AT345),0),0),$AS346))</f>
        <v/>
      </c>
      <c r="AU346" t="str">
        <f t="shared" si="100"/>
        <v/>
      </c>
      <c r="AV346" s="51">
        <f>IF($AU346="",0,IF(AND(IFERROR(LOOKUP(2,1/($B$9:$B$345=$B346),$AR$9:$AR345),1),NOT(AND(OR($F346="dividend",$F346="fee"),IFERROR(LOOKUP(2,1/($B$9:$B$345=$B346),$T$9:$T345),0)&gt;0))),ROW(),0))</f>
        <v>0</v>
      </c>
      <c r="AW346">
        <f>IF($A346="",0,IF($AV346&gt;0,MAX($AW$9:$AW$345)+1,MAX($AW$9:$AW$345)))</f>
        <v>0</v>
      </c>
      <c r="AX346">
        <f>IF($AU346="",0,IF(AND($AR346,OR(NOT(IFERROR(LOOKUP(2,1/($B$9:$B$345=$B346),$AR$9:$AR345),1)),IFERROR(LOOKUP(2,1/($B$9:$B$345=$B346),$T$9:$T345),0)=0)),ROW(),0))</f>
        <v>0</v>
      </c>
      <c r="AY346" t="str">
        <f t="shared" si="101"/>
        <v/>
      </c>
    </row>
    <row r="347" spans="1:51" ht="15" x14ac:dyDescent="0.25">
      <c r="A347" s="41" t="str">
        <f>IF(Trades!$A347="","",Trades!O347)</f>
        <v/>
      </c>
      <c r="B347" s="41" t="str">
        <f>IF(Trades!$A347="","",Trades!B347)</f>
        <v/>
      </c>
      <c r="C347" s="41" t="str">
        <f>IF(Trades!$A347="","",Trades!C347)</f>
        <v/>
      </c>
      <c r="D347" s="42" t="str">
        <f>IF(Trades!$A347="","",IF(Trades!$L347&gt;0,Trades!$L347,Trades!$C$6))</f>
        <v/>
      </c>
      <c r="E347" s="43" t="str">
        <f>IF(Trades!$A347="","",Trades!A347)</f>
        <v/>
      </c>
      <c r="F347" s="41" t="str">
        <f>IF(Trades!$A347="","",IFERROR(INDEX(Trades!$V$2:$V$14,MATCH(Trades!$E347,Trades!$U$2:$U$14,0)),""))</f>
        <v/>
      </c>
      <c r="G347" s="41" t="str">
        <f>IF(Trades!$A347="","",Trades!N347)</f>
        <v/>
      </c>
      <c r="H347" s="42" t="str">
        <f>IF(Trades!$A347="","",Trades!F347)</f>
        <v/>
      </c>
      <c r="I347" s="44" t="str">
        <f>IF(Trades!$A347="","",Trades!G347)</f>
        <v/>
      </c>
      <c r="J347" s="44" t="str">
        <f>IF(Trades!$A347="","",Trades!I347)</f>
        <v/>
      </c>
      <c r="K347" s="44" t="str">
        <f>IF(Trades!$A347="","",Trades!Q347)</f>
        <v/>
      </c>
      <c r="L347" s="42" t="str">
        <f>IF(Trades!$A347="","",Trades!F347)</f>
        <v/>
      </c>
      <c r="M347" s="44" t="str">
        <f>IF(Trades!$A347="","",Trades!M347)</f>
        <v/>
      </c>
      <c r="N347" s="44" t="str">
        <f>IF(Trades!$A347="","",Trades!R347)</f>
        <v/>
      </c>
      <c r="O347" s="44" t="str">
        <f>IF(Trades!$A347="","",Trades!J347)</f>
        <v/>
      </c>
      <c r="P347" s="43" t="str">
        <f>IF(Trades!$A347="","",Trades!H347)</f>
        <v/>
      </c>
      <c r="Q347" s="41" t="str">
        <f>IF(Trades!$A347="","",Trades!P347)</f>
        <v/>
      </c>
      <c r="R347" s="45" t="str">
        <f t="shared" si="85"/>
        <v/>
      </c>
      <c r="S347" s="45" t="str">
        <f t="shared" si="86"/>
        <v/>
      </c>
      <c r="T347" s="46" t="str">
        <f>IF(OR($A347="",$B347=""),"",IF(AND(IFERROR(LOOKUP(2,1/($B$9:$B$346=$B347),$AR$9:$AR346),1),NOT(AND(OR($F347="dividend",$F347="fee"),IFERROR(LOOKUP(2,1/($B$9:$B$346=$B347),$T$9:$T346),0)&gt;0))),IFERROR(LOOKUP(2,1/($B$9:$B$346=$B347),$T$9:$T346),0)+1,IFERROR(LOOKUP(2,1/($B$9:$B$346=$B347),$T$9:$T346),0)))</f>
        <v/>
      </c>
      <c r="U347" s="47" t="str">
        <f t="shared" si="87"/>
        <v/>
      </c>
      <c r="V347" s="47" t="str">
        <f>IF($A347="","",IF(OR($B347="",$C347="",$D347="",$E347="",$F347=""),"Missing required field",IF(COUNTIFS($A$9:$A347,$A347,$B$9:$B347,$B347)&gt;1,"Duplicate event ID",IF(AND($E347&lt;&gt;IFERROR(LOOKUP(2,1/($B$9:$B$346=$B347),$E$9:$E346),0),IFERROR(LOOKUP(2,1/($B$9:$B$346=$B347),$E$9:$E346),0)&gt;$E347),"Date out of order",IF(AND(OR($F347="buy_to_close",$F347="expire",$F347="roll",$F347="assignment",$F347="called_away"),$AF347=0),"Unknown lot",IF(OR(AND($F347="assignment",$AF347&gt;0,IF($AF347&gt;0,INDEX($AG$9:$AG$346,$AF347),"")&lt;&gt;"put"),AND($F347="called_away",$AF347&gt;0,IF($AF347&gt;0,INDEX($AG$9:$AG$346,$AF347),"")&lt;&gt;"call")),"Wrong option leg",IF(OR(AND(OR($F347="sell_put",$F347="sell_call"),OR($H347&lt;=0,$I347&lt;=0,$J347&lt;0)),AND(OR($F347="buy_to_close",$F347="expire",$F347="assignment",$F347="called_away"),OR($H347&lt;=0,$J347&lt;0)),AND($F347="roll",OR($H347&lt;=0,$I347&lt;=0,$J347&lt;0,$K347&lt;0)),AND(OR($F347="buy_shares",$F347="sell_shares"),OR($L347&lt;=0,$M347&lt;0)),AND(OR($F347="dividend",$F347="fee"),$N347&lt;0)),"Invalid value",IF(AND(OR($F347="sell_shares",$F347="called_away"),$AL347&lt;IF($F347="called_away",$AE347*$D347,$L347)),"Insufficient shares (capped)",IF(AND(OR($F347="buy_to_close",$F347="expire",$F347="roll",$F347="assignment",$F347="called_away"),$AF347&gt;0,$H347&gt;IF($AF347&gt;0,MAX(0,INDEX($AI$9:$AI$346,$AF347)-SUMIFS($AE$9:$AE$346,$G$9:$G$346,$G347,$B$9:$B$346,$B347)),0)),"Close quantity capped","OK")))))))))</f>
        <v/>
      </c>
      <c r="W347" s="48" t="str">
        <f t="shared" si="88"/>
        <v/>
      </c>
      <c r="X347" s="49" t="str">
        <f t="shared" si="89"/>
        <v/>
      </c>
      <c r="Y347" s="50" t="str">
        <f t="shared" si="90"/>
        <v/>
      </c>
      <c r="Z347" s="50" t="str">
        <f t="shared" si="91"/>
        <v/>
      </c>
      <c r="AA347" s="50" t="str">
        <f t="shared" si="92"/>
        <v/>
      </c>
      <c r="AB347" s="50" t="str">
        <f t="shared" si="93"/>
        <v/>
      </c>
      <c r="AC347" s="50" t="str">
        <f>IF($A347="","",IF($F347="assignment",IF($AF347&gt;0,INDEX($AH$9:$AH$346,$AF347),0)*$AE347*$D347,IF($F347="buy_shares",$M347*$AL347,0)))</f>
        <v/>
      </c>
      <c r="AD347" s="50" t="str">
        <f>IF($A347="","",IF($F347="called_away",IF($AF347&gt;0,INDEX($AH$9:$AH$346,$AF347),0)*$AL347,IF($F347="sell_shares",$M347*$AL347,0)))</f>
        <v/>
      </c>
      <c r="AE347" s="51" t="str">
        <f>IF($A347="","",IF(OR($F347="sell_put",$F347="sell_call"),IF(AND($H347&gt;0,$I347&gt;0,$J347&gt;=0),$H347,0),IF(OR($F347="buy_to_close",$F347="expire",$F347="roll",$F347="assignment",$F347="called_away"),IF(AND($AF347&gt;0,$H347&gt;0,IF($F347="assignment",IF($AF347&gt;0,INDEX($AG$9:$AG$346,$AF347),"")="put",TRUE),IF($F347="called_away",IF($AF347&gt;0,INDEX($AG$9:$AG$346,$AF347),"")="call",TRUE)),MIN($H347,IF($AF347&gt;0,MAX(0,INDEX($AI$9:$AI$346,$AF347)-SUMIFS($AE$9:$AE$346,$G$9:$G$346,$G347,$B$9:$B$346,$B347)),0)),0),0)))</f>
        <v/>
      </c>
      <c r="AF347" t="str">
        <f>IF($A347="","",IFERROR(MATCH(LEN($B347)&amp;":"&amp;$B347&amp;$G347,$AY$9:$AY$346,0),0))</f>
        <v/>
      </c>
      <c r="AG347" t="str">
        <f>IF($A347="","",IF($F347="sell_put","put",IF($F347="sell_call","call",IF($F347="roll",IF($AF347&gt;0,IF($AF347&gt;0,INDEX($AG$9:$AG$346,$AF347),""),""),IF($AF347&gt;0,IF($AF347&gt;0,INDEX($AG$9:$AG$346,$AF347),""),"")))))</f>
        <v/>
      </c>
      <c r="AH347" t="str">
        <f>IF($A347="","",IF(OR($F347="sell_put",$F347="sell_call",$F347="roll"),$I347,IF($AF347&gt;0,IF($AF347&gt;0,INDEX($AH$9:$AH$346,$AF347),0),0)))</f>
        <v/>
      </c>
      <c r="AI347" s="51" t="str">
        <f t="shared" si="94"/>
        <v/>
      </c>
      <c r="AJ347" s="51" t="str">
        <f>IF($A347="","",IFERROR(LOOKUP(2,1/($B$9:$B$346=$B347),$AM$9:$AM346),0))</f>
        <v/>
      </c>
      <c r="AK347" t="str">
        <f>IF($A347="","",IFERROR(LOOKUP(2,1/($B$9:$B$346=$B347),$AN$9:$AN346),0))</f>
        <v/>
      </c>
      <c r="AL347" s="51" t="str">
        <f t="shared" si="95"/>
        <v/>
      </c>
      <c r="AM347" s="51" t="str">
        <f t="shared" si="96"/>
        <v/>
      </c>
      <c r="AN347" t="str">
        <f t="shared" si="97"/>
        <v/>
      </c>
      <c r="AO347" s="50" t="str">
        <f>IF($A347="","",IFERROR(LOOKUP(2,1/($B$9:$B$346=$B347),$AO$9:$AO346),0)+IF($F347="sell_put",$I347*$AE347*$D347,IF($F347="roll",IF($AG347="put",($I347-IF($AF347&gt;0,INDEX($AH$9:$AH$346,$AF347),0))*$AE347*$D347,0),IF(AND(OR($F347="buy_to_close",$F347="expire",$F347="roll",$F347="assignment",$F347="called_away"),$F347&lt;&gt;"roll",$AG347="put"),-IF($AF347&gt;0,INDEX($AH$9:$AH$346,$AF347),0)*$AE347*$D347,0))))</f>
        <v/>
      </c>
      <c r="AP347" s="51" t="str">
        <f>IF($A347="","",IFERROR(LOOKUP(2,1/($B$9:$B$346=$B347),$AP$9:$AP346),0)+IF($F347="sell_put",$AE347*$D347,IF(AND(OR($F347="buy_to_close",$F347="expire",$F347="roll",$F347="assignment",$F347="called_away"),$F347&lt;&gt;"roll",$AG347="put"),-$AE347*$D347,0)))</f>
        <v/>
      </c>
      <c r="AQ347" s="51" t="str">
        <f>IF($A347="","",IFERROR(LOOKUP(2,1/($B$9:$B$346=$B347),$AQ$9:$AQ346),0)+IF(OR($F347="sell_put",$F347="sell_call"),$AE347,0)-IF(AND(OR($F347="buy_to_close",$F347="expire",$F347="roll",$F347="assignment",$F347="called_away"),$F347&lt;&gt;"roll"),$AE347,0))</f>
        <v/>
      </c>
      <c r="AR347" t="str">
        <f t="shared" si="98"/>
        <v/>
      </c>
      <c r="AS347" s="50" t="str">
        <f t="shared" si="99"/>
        <v/>
      </c>
      <c r="AT347" s="50" t="str">
        <f>IF($A347="","",MAX(IF($T347=IFERROR(LOOKUP(2,1/($B$9:$B$346=$B347),$T$9:$T346),0),IFERROR(LOOKUP(2,1/($B$9:$B$346=$B347),$AT$9:$AT346),0),0),$AS347))</f>
        <v/>
      </c>
      <c r="AU347" t="str">
        <f t="shared" si="100"/>
        <v/>
      </c>
      <c r="AV347" s="51">
        <f>IF($AU347="",0,IF(AND(IFERROR(LOOKUP(2,1/($B$9:$B$346=$B347),$AR$9:$AR346),1),NOT(AND(OR($F347="dividend",$F347="fee"),IFERROR(LOOKUP(2,1/($B$9:$B$346=$B347),$T$9:$T346),0)&gt;0))),ROW(),0))</f>
        <v>0</v>
      </c>
      <c r="AW347">
        <f>IF($A347="",0,IF($AV347&gt;0,MAX($AW$9:$AW$346)+1,MAX($AW$9:$AW$346)))</f>
        <v>0</v>
      </c>
      <c r="AX347">
        <f>IF($AU347="",0,IF(AND($AR347,OR(NOT(IFERROR(LOOKUP(2,1/($B$9:$B$346=$B347),$AR$9:$AR346),1)),IFERROR(LOOKUP(2,1/($B$9:$B$346=$B347),$T$9:$T346),0)=0)),ROW(),0))</f>
        <v>0</v>
      </c>
      <c r="AY347" t="str">
        <f t="shared" si="101"/>
        <v/>
      </c>
    </row>
    <row r="348" spans="1:51" ht="15" x14ac:dyDescent="0.25">
      <c r="A348" s="52" t="str">
        <f>IF(Trades!$A348="","",Trades!O348)</f>
        <v/>
      </c>
      <c r="B348" s="52" t="str">
        <f>IF(Trades!$A348="","",Trades!B348)</f>
        <v/>
      </c>
      <c r="C348" s="52" t="str">
        <f>IF(Trades!$A348="","",Trades!C348)</f>
        <v/>
      </c>
      <c r="D348" s="53" t="str">
        <f>IF(Trades!$A348="","",IF(Trades!$L348&gt;0,Trades!$L348,Trades!$C$6))</f>
        <v/>
      </c>
      <c r="E348" s="54" t="str">
        <f>IF(Trades!$A348="","",Trades!A348)</f>
        <v/>
      </c>
      <c r="F348" s="52" t="str">
        <f>IF(Trades!$A348="","",IFERROR(INDEX(Trades!$V$2:$V$14,MATCH(Trades!$E348,Trades!$U$2:$U$14,0)),""))</f>
        <v/>
      </c>
      <c r="G348" s="52" t="str">
        <f>IF(Trades!$A348="","",Trades!N348)</f>
        <v/>
      </c>
      <c r="H348" s="53" t="str">
        <f>IF(Trades!$A348="","",Trades!F348)</f>
        <v/>
      </c>
      <c r="I348" s="55" t="str">
        <f>IF(Trades!$A348="","",Trades!G348)</f>
        <v/>
      </c>
      <c r="J348" s="55" t="str">
        <f>IF(Trades!$A348="","",Trades!I348)</f>
        <v/>
      </c>
      <c r="K348" s="55" t="str">
        <f>IF(Trades!$A348="","",Trades!Q348)</f>
        <v/>
      </c>
      <c r="L348" s="53" t="str">
        <f>IF(Trades!$A348="","",Trades!F348)</f>
        <v/>
      </c>
      <c r="M348" s="55" t="str">
        <f>IF(Trades!$A348="","",Trades!M348)</f>
        <v/>
      </c>
      <c r="N348" s="55" t="str">
        <f>IF(Trades!$A348="","",Trades!R348)</f>
        <v/>
      </c>
      <c r="O348" s="55" t="str">
        <f>IF(Trades!$A348="","",Trades!J348)</f>
        <v/>
      </c>
      <c r="P348" s="54" t="str">
        <f>IF(Trades!$A348="","",Trades!H348)</f>
        <v/>
      </c>
      <c r="Q348" s="52" t="str">
        <f>IF(Trades!$A348="","",Trades!P348)</f>
        <v/>
      </c>
      <c r="R348" s="56" t="str">
        <f t="shared" si="85"/>
        <v/>
      </c>
      <c r="S348" s="56" t="str">
        <f t="shared" si="86"/>
        <v/>
      </c>
      <c r="T348" s="57" t="str">
        <f>IF(OR($A348="",$B348=""),"",IF(AND(IFERROR(LOOKUP(2,1/($B$9:$B$347=$B348),$AR$9:$AR347),1),NOT(AND(OR($F348="dividend",$F348="fee"),IFERROR(LOOKUP(2,1/($B$9:$B$347=$B348),$T$9:$T347),0)&gt;0))),IFERROR(LOOKUP(2,1/($B$9:$B$347=$B348),$T$9:$T347),0)+1,IFERROR(LOOKUP(2,1/($B$9:$B$347=$B348),$T$9:$T347),0)))</f>
        <v/>
      </c>
      <c r="U348" s="58" t="str">
        <f t="shared" si="87"/>
        <v/>
      </c>
      <c r="V348" s="58" t="str">
        <f>IF($A348="","",IF(OR($B348="",$C348="",$D348="",$E348="",$F348=""),"Missing required field",IF(COUNTIFS($A$9:$A348,$A348,$B$9:$B348,$B348)&gt;1,"Duplicate event ID",IF(AND($E348&lt;&gt;IFERROR(LOOKUP(2,1/($B$9:$B$347=$B348),$E$9:$E347),0),IFERROR(LOOKUP(2,1/($B$9:$B$347=$B348),$E$9:$E347),0)&gt;$E348),"Date out of order",IF(AND(OR($F348="buy_to_close",$F348="expire",$F348="roll",$F348="assignment",$F348="called_away"),$AF348=0),"Unknown lot",IF(OR(AND($F348="assignment",$AF348&gt;0,IF($AF348&gt;0,INDEX($AG$9:$AG$347,$AF348),"")&lt;&gt;"put"),AND($F348="called_away",$AF348&gt;0,IF($AF348&gt;0,INDEX($AG$9:$AG$347,$AF348),"")&lt;&gt;"call")),"Wrong option leg",IF(OR(AND(OR($F348="sell_put",$F348="sell_call"),OR($H348&lt;=0,$I348&lt;=0,$J348&lt;0)),AND(OR($F348="buy_to_close",$F348="expire",$F348="assignment",$F348="called_away"),OR($H348&lt;=0,$J348&lt;0)),AND($F348="roll",OR($H348&lt;=0,$I348&lt;=0,$J348&lt;0,$K348&lt;0)),AND(OR($F348="buy_shares",$F348="sell_shares"),OR($L348&lt;=0,$M348&lt;0)),AND(OR($F348="dividend",$F348="fee"),$N348&lt;0)),"Invalid value",IF(AND(OR($F348="sell_shares",$F348="called_away"),$AL348&lt;IF($F348="called_away",$AE348*$D348,$L348)),"Insufficient shares (capped)",IF(AND(OR($F348="buy_to_close",$F348="expire",$F348="roll",$F348="assignment",$F348="called_away"),$AF348&gt;0,$H348&gt;IF($AF348&gt;0,MAX(0,INDEX($AI$9:$AI$347,$AF348)-SUMIFS($AE$9:$AE$347,$G$9:$G$347,$G348,$B$9:$B$347,$B348)),0)),"Close quantity capped","OK")))))))))</f>
        <v/>
      </c>
      <c r="W348" s="59" t="str">
        <f t="shared" si="88"/>
        <v/>
      </c>
      <c r="X348" s="60" t="str">
        <f t="shared" si="89"/>
        <v/>
      </c>
      <c r="Y348" s="50" t="str">
        <f t="shared" si="90"/>
        <v/>
      </c>
      <c r="Z348" s="50" t="str">
        <f t="shared" si="91"/>
        <v/>
      </c>
      <c r="AA348" s="50" t="str">
        <f t="shared" si="92"/>
        <v/>
      </c>
      <c r="AB348" s="50" t="str">
        <f t="shared" si="93"/>
        <v/>
      </c>
      <c r="AC348" s="50" t="str">
        <f>IF($A348="","",IF($F348="assignment",IF($AF348&gt;0,INDEX($AH$9:$AH$347,$AF348),0)*$AE348*$D348,IF($F348="buy_shares",$M348*$AL348,0)))</f>
        <v/>
      </c>
      <c r="AD348" s="50" t="str">
        <f>IF($A348="","",IF($F348="called_away",IF($AF348&gt;0,INDEX($AH$9:$AH$347,$AF348),0)*$AL348,IF($F348="sell_shares",$M348*$AL348,0)))</f>
        <v/>
      </c>
      <c r="AE348" s="51" t="str">
        <f>IF($A348="","",IF(OR($F348="sell_put",$F348="sell_call"),IF(AND($H348&gt;0,$I348&gt;0,$J348&gt;=0),$H348,0),IF(OR($F348="buy_to_close",$F348="expire",$F348="roll",$F348="assignment",$F348="called_away"),IF(AND($AF348&gt;0,$H348&gt;0,IF($F348="assignment",IF($AF348&gt;0,INDEX($AG$9:$AG$347,$AF348),"")="put",TRUE),IF($F348="called_away",IF($AF348&gt;0,INDEX($AG$9:$AG$347,$AF348),"")="call",TRUE)),MIN($H348,IF($AF348&gt;0,MAX(0,INDEX($AI$9:$AI$347,$AF348)-SUMIFS($AE$9:$AE$347,$G$9:$G$347,$G348,$B$9:$B$347,$B348)),0)),0),0)))</f>
        <v/>
      </c>
      <c r="AF348" t="str">
        <f>IF($A348="","",IFERROR(MATCH(LEN($B348)&amp;":"&amp;$B348&amp;$G348,$AY$9:$AY$347,0),0))</f>
        <v/>
      </c>
      <c r="AG348" t="str">
        <f>IF($A348="","",IF($F348="sell_put","put",IF($F348="sell_call","call",IF($F348="roll",IF($AF348&gt;0,IF($AF348&gt;0,INDEX($AG$9:$AG$347,$AF348),""),""),IF($AF348&gt;0,IF($AF348&gt;0,INDEX($AG$9:$AG$347,$AF348),""),"")))))</f>
        <v/>
      </c>
      <c r="AH348" t="str">
        <f>IF($A348="","",IF(OR($F348="sell_put",$F348="sell_call",$F348="roll"),$I348,IF($AF348&gt;0,IF($AF348&gt;0,INDEX($AH$9:$AH$347,$AF348),0),0)))</f>
        <v/>
      </c>
      <c r="AI348" s="51" t="str">
        <f t="shared" si="94"/>
        <v/>
      </c>
      <c r="AJ348" s="51" t="str">
        <f>IF($A348="","",IFERROR(LOOKUP(2,1/($B$9:$B$347=$B348),$AM$9:$AM347),0))</f>
        <v/>
      </c>
      <c r="AK348" t="str">
        <f>IF($A348="","",IFERROR(LOOKUP(2,1/($B$9:$B$347=$B348),$AN$9:$AN347),0))</f>
        <v/>
      </c>
      <c r="AL348" s="51" t="str">
        <f t="shared" si="95"/>
        <v/>
      </c>
      <c r="AM348" s="51" t="str">
        <f t="shared" si="96"/>
        <v/>
      </c>
      <c r="AN348" t="str">
        <f t="shared" si="97"/>
        <v/>
      </c>
      <c r="AO348" s="50" t="str">
        <f>IF($A348="","",IFERROR(LOOKUP(2,1/($B$9:$B$347=$B348),$AO$9:$AO347),0)+IF($F348="sell_put",$I348*$AE348*$D348,IF($F348="roll",IF($AG348="put",($I348-IF($AF348&gt;0,INDEX($AH$9:$AH$347,$AF348),0))*$AE348*$D348,0),IF(AND(OR($F348="buy_to_close",$F348="expire",$F348="roll",$F348="assignment",$F348="called_away"),$F348&lt;&gt;"roll",$AG348="put"),-IF($AF348&gt;0,INDEX($AH$9:$AH$347,$AF348),0)*$AE348*$D348,0))))</f>
        <v/>
      </c>
      <c r="AP348" s="51" t="str">
        <f>IF($A348="","",IFERROR(LOOKUP(2,1/($B$9:$B$347=$B348),$AP$9:$AP347),0)+IF($F348="sell_put",$AE348*$D348,IF(AND(OR($F348="buy_to_close",$F348="expire",$F348="roll",$F348="assignment",$F348="called_away"),$F348&lt;&gt;"roll",$AG348="put"),-$AE348*$D348,0)))</f>
        <v/>
      </c>
      <c r="AQ348" s="51" t="str">
        <f>IF($A348="","",IFERROR(LOOKUP(2,1/($B$9:$B$347=$B348),$AQ$9:$AQ347),0)+IF(OR($F348="sell_put",$F348="sell_call"),$AE348,0)-IF(AND(OR($F348="buy_to_close",$F348="expire",$F348="roll",$F348="assignment",$F348="called_away"),$F348&lt;&gt;"roll"),$AE348,0))</f>
        <v/>
      </c>
      <c r="AR348" t="str">
        <f t="shared" si="98"/>
        <v/>
      </c>
      <c r="AS348" s="50" t="str">
        <f t="shared" si="99"/>
        <v/>
      </c>
      <c r="AT348" s="50" t="str">
        <f>IF($A348="","",MAX(IF($T348=IFERROR(LOOKUP(2,1/($B$9:$B$347=$B348),$T$9:$T347),0),IFERROR(LOOKUP(2,1/($B$9:$B$347=$B348),$AT$9:$AT347),0),0),$AS348))</f>
        <v/>
      </c>
      <c r="AU348" t="str">
        <f t="shared" si="100"/>
        <v/>
      </c>
      <c r="AV348" s="51">
        <f>IF($AU348="",0,IF(AND(IFERROR(LOOKUP(2,1/($B$9:$B$347=$B348),$AR$9:$AR347),1),NOT(AND(OR($F348="dividend",$F348="fee"),IFERROR(LOOKUP(2,1/($B$9:$B$347=$B348),$T$9:$T347),0)&gt;0))),ROW(),0))</f>
        <v>0</v>
      </c>
      <c r="AW348">
        <f>IF($A348="",0,IF($AV348&gt;0,MAX($AW$9:$AW$347)+1,MAX($AW$9:$AW$347)))</f>
        <v>0</v>
      </c>
      <c r="AX348">
        <f>IF($AU348="",0,IF(AND($AR348,OR(NOT(IFERROR(LOOKUP(2,1/($B$9:$B$347=$B348),$AR$9:$AR347),1)),IFERROR(LOOKUP(2,1/($B$9:$B$347=$B348),$T$9:$T347),0)=0)),ROW(),0))</f>
        <v>0</v>
      </c>
      <c r="AY348" t="str">
        <f t="shared" si="101"/>
        <v/>
      </c>
    </row>
    <row r="349" spans="1:51" ht="15" x14ac:dyDescent="0.25">
      <c r="A349" s="41" t="str">
        <f>IF(Trades!$A349="","",Trades!O349)</f>
        <v/>
      </c>
      <c r="B349" s="41" t="str">
        <f>IF(Trades!$A349="","",Trades!B349)</f>
        <v/>
      </c>
      <c r="C349" s="41" t="str">
        <f>IF(Trades!$A349="","",Trades!C349)</f>
        <v/>
      </c>
      <c r="D349" s="42" t="str">
        <f>IF(Trades!$A349="","",IF(Trades!$L349&gt;0,Trades!$L349,Trades!$C$6))</f>
        <v/>
      </c>
      <c r="E349" s="43" t="str">
        <f>IF(Trades!$A349="","",Trades!A349)</f>
        <v/>
      </c>
      <c r="F349" s="41" t="str">
        <f>IF(Trades!$A349="","",IFERROR(INDEX(Trades!$V$2:$V$14,MATCH(Trades!$E349,Trades!$U$2:$U$14,0)),""))</f>
        <v/>
      </c>
      <c r="G349" s="41" t="str">
        <f>IF(Trades!$A349="","",Trades!N349)</f>
        <v/>
      </c>
      <c r="H349" s="42" t="str">
        <f>IF(Trades!$A349="","",Trades!F349)</f>
        <v/>
      </c>
      <c r="I349" s="44" t="str">
        <f>IF(Trades!$A349="","",Trades!G349)</f>
        <v/>
      </c>
      <c r="J349" s="44" t="str">
        <f>IF(Trades!$A349="","",Trades!I349)</f>
        <v/>
      </c>
      <c r="K349" s="44" t="str">
        <f>IF(Trades!$A349="","",Trades!Q349)</f>
        <v/>
      </c>
      <c r="L349" s="42" t="str">
        <f>IF(Trades!$A349="","",Trades!F349)</f>
        <v/>
      </c>
      <c r="M349" s="44" t="str">
        <f>IF(Trades!$A349="","",Trades!M349)</f>
        <v/>
      </c>
      <c r="N349" s="44" t="str">
        <f>IF(Trades!$A349="","",Trades!R349)</f>
        <v/>
      </c>
      <c r="O349" s="44" t="str">
        <f>IF(Trades!$A349="","",Trades!J349)</f>
        <v/>
      </c>
      <c r="P349" s="43" t="str">
        <f>IF(Trades!$A349="","",Trades!H349)</f>
        <v/>
      </c>
      <c r="Q349" s="41" t="str">
        <f>IF(Trades!$A349="","",Trades!P349)</f>
        <v/>
      </c>
      <c r="R349" s="45" t="str">
        <f t="shared" si="85"/>
        <v/>
      </c>
      <c r="S349" s="45" t="str">
        <f t="shared" si="86"/>
        <v/>
      </c>
      <c r="T349" s="46" t="str">
        <f>IF(OR($A349="",$B349=""),"",IF(AND(IFERROR(LOOKUP(2,1/($B$9:$B$348=$B349),$AR$9:$AR348),1),NOT(AND(OR($F349="dividend",$F349="fee"),IFERROR(LOOKUP(2,1/($B$9:$B$348=$B349),$T$9:$T348),0)&gt;0))),IFERROR(LOOKUP(2,1/($B$9:$B$348=$B349),$T$9:$T348),0)+1,IFERROR(LOOKUP(2,1/($B$9:$B$348=$B349),$T$9:$T348),0)))</f>
        <v/>
      </c>
      <c r="U349" s="47" t="str">
        <f t="shared" si="87"/>
        <v/>
      </c>
      <c r="V349" s="47" t="str">
        <f>IF($A349="","",IF(OR($B349="",$C349="",$D349="",$E349="",$F349=""),"Missing required field",IF(COUNTIFS($A$9:$A349,$A349,$B$9:$B349,$B349)&gt;1,"Duplicate event ID",IF(AND($E349&lt;&gt;IFERROR(LOOKUP(2,1/($B$9:$B$348=$B349),$E$9:$E348),0),IFERROR(LOOKUP(2,1/($B$9:$B$348=$B349),$E$9:$E348),0)&gt;$E349),"Date out of order",IF(AND(OR($F349="buy_to_close",$F349="expire",$F349="roll",$F349="assignment",$F349="called_away"),$AF349=0),"Unknown lot",IF(OR(AND($F349="assignment",$AF349&gt;0,IF($AF349&gt;0,INDEX($AG$9:$AG$348,$AF349),"")&lt;&gt;"put"),AND($F349="called_away",$AF349&gt;0,IF($AF349&gt;0,INDEX($AG$9:$AG$348,$AF349),"")&lt;&gt;"call")),"Wrong option leg",IF(OR(AND(OR($F349="sell_put",$F349="sell_call"),OR($H349&lt;=0,$I349&lt;=0,$J349&lt;0)),AND(OR($F349="buy_to_close",$F349="expire",$F349="assignment",$F349="called_away"),OR($H349&lt;=0,$J349&lt;0)),AND($F349="roll",OR($H349&lt;=0,$I349&lt;=0,$J349&lt;0,$K349&lt;0)),AND(OR($F349="buy_shares",$F349="sell_shares"),OR($L349&lt;=0,$M349&lt;0)),AND(OR($F349="dividend",$F349="fee"),$N349&lt;0)),"Invalid value",IF(AND(OR($F349="sell_shares",$F349="called_away"),$AL349&lt;IF($F349="called_away",$AE349*$D349,$L349)),"Insufficient shares (capped)",IF(AND(OR($F349="buy_to_close",$F349="expire",$F349="roll",$F349="assignment",$F349="called_away"),$AF349&gt;0,$H349&gt;IF($AF349&gt;0,MAX(0,INDEX($AI$9:$AI$348,$AF349)-SUMIFS($AE$9:$AE$348,$G$9:$G$348,$G349,$B$9:$B$348,$B349)),0)),"Close quantity capped","OK")))))))))</f>
        <v/>
      </c>
      <c r="W349" s="48" t="str">
        <f t="shared" si="88"/>
        <v/>
      </c>
      <c r="X349" s="49" t="str">
        <f t="shared" si="89"/>
        <v/>
      </c>
      <c r="Y349" s="50" t="str">
        <f t="shared" si="90"/>
        <v/>
      </c>
      <c r="Z349" s="50" t="str">
        <f t="shared" si="91"/>
        <v/>
      </c>
      <c r="AA349" s="50" t="str">
        <f t="shared" si="92"/>
        <v/>
      </c>
      <c r="AB349" s="50" t="str">
        <f t="shared" si="93"/>
        <v/>
      </c>
      <c r="AC349" s="50" t="str">
        <f>IF($A349="","",IF($F349="assignment",IF($AF349&gt;0,INDEX($AH$9:$AH$348,$AF349),0)*$AE349*$D349,IF($F349="buy_shares",$M349*$AL349,0)))</f>
        <v/>
      </c>
      <c r="AD349" s="50" t="str">
        <f>IF($A349="","",IF($F349="called_away",IF($AF349&gt;0,INDEX($AH$9:$AH$348,$AF349),0)*$AL349,IF($F349="sell_shares",$M349*$AL349,0)))</f>
        <v/>
      </c>
      <c r="AE349" s="51" t="str">
        <f>IF($A349="","",IF(OR($F349="sell_put",$F349="sell_call"),IF(AND($H349&gt;0,$I349&gt;0,$J349&gt;=0),$H349,0),IF(OR($F349="buy_to_close",$F349="expire",$F349="roll",$F349="assignment",$F349="called_away"),IF(AND($AF349&gt;0,$H349&gt;0,IF($F349="assignment",IF($AF349&gt;0,INDEX($AG$9:$AG$348,$AF349),"")="put",TRUE),IF($F349="called_away",IF($AF349&gt;0,INDEX($AG$9:$AG$348,$AF349),"")="call",TRUE)),MIN($H349,IF($AF349&gt;0,MAX(0,INDEX($AI$9:$AI$348,$AF349)-SUMIFS($AE$9:$AE$348,$G$9:$G$348,$G349,$B$9:$B$348,$B349)),0)),0),0)))</f>
        <v/>
      </c>
      <c r="AF349" t="str">
        <f>IF($A349="","",IFERROR(MATCH(LEN($B349)&amp;":"&amp;$B349&amp;$G349,$AY$9:$AY$348,0),0))</f>
        <v/>
      </c>
      <c r="AG349" t="str">
        <f>IF($A349="","",IF($F349="sell_put","put",IF($F349="sell_call","call",IF($F349="roll",IF($AF349&gt;0,IF($AF349&gt;0,INDEX($AG$9:$AG$348,$AF349),""),""),IF($AF349&gt;0,IF($AF349&gt;0,INDEX($AG$9:$AG$348,$AF349),""),"")))))</f>
        <v/>
      </c>
      <c r="AH349" t="str">
        <f>IF($A349="","",IF(OR($F349="sell_put",$F349="sell_call",$F349="roll"),$I349,IF($AF349&gt;0,IF($AF349&gt;0,INDEX($AH$9:$AH$348,$AF349),0),0)))</f>
        <v/>
      </c>
      <c r="AI349" s="51" t="str">
        <f t="shared" si="94"/>
        <v/>
      </c>
      <c r="AJ349" s="51" t="str">
        <f>IF($A349="","",IFERROR(LOOKUP(2,1/($B$9:$B$348=$B349),$AM$9:$AM348),0))</f>
        <v/>
      </c>
      <c r="AK349" t="str">
        <f>IF($A349="","",IFERROR(LOOKUP(2,1/($B$9:$B$348=$B349),$AN$9:$AN348),0))</f>
        <v/>
      </c>
      <c r="AL349" s="51" t="str">
        <f t="shared" si="95"/>
        <v/>
      </c>
      <c r="AM349" s="51" t="str">
        <f t="shared" si="96"/>
        <v/>
      </c>
      <c r="AN349" t="str">
        <f t="shared" si="97"/>
        <v/>
      </c>
      <c r="AO349" s="50" t="str">
        <f>IF($A349="","",IFERROR(LOOKUP(2,1/($B$9:$B$348=$B349),$AO$9:$AO348),0)+IF($F349="sell_put",$I349*$AE349*$D349,IF($F349="roll",IF($AG349="put",($I349-IF($AF349&gt;0,INDEX($AH$9:$AH$348,$AF349),0))*$AE349*$D349,0),IF(AND(OR($F349="buy_to_close",$F349="expire",$F349="roll",$F349="assignment",$F349="called_away"),$F349&lt;&gt;"roll",$AG349="put"),-IF($AF349&gt;0,INDEX($AH$9:$AH$348,$AF349),0)*$AE349*$D349,0))))</f>
        <v/>
      </c>
      <c r="AP349" s="51" t="str">
        <f>IF($A349="","",IFERROR(LOOKUP(2,1/($B$9:$B$348=$B349),$AP$9:$AP348),0)+IF($F349="sell_put",$AE349*$D349,IF(AND(OR($F349="buy_to_close",$F349="expire",$F349="roll",$F349="assignment",$F349="called_away"),$F349&lt;&gt;"roll",$AG349="put"),-$AE349*$D349,0)))</f>
        <v/>
      </c>
      <c r="AQ349" s="51" t="str">
        <f>IF($A349="","",IFERROR(LOOKUP(2,1/($B$9:$B$348=$B349),$AQ$9:$AQ348),0)+IF(OR($F349="sell_put",$F349="sell_call"),$AE349,0)-IF(AND(OR($F349="buy_to_close",$F349="expire",$F349="roll",$F349="assignment",$F349="called_away"),$F349&lt;&gt;"roll"),$AE349,0))</f>
        <v/>
      </c>
      <c r="AR349" t="str">
        <f t="shared" si="98"/>
        <v/>
      </c>
      <c r="AS349" s="50" t="str">
        <f t="shared" si="99"/>
        <v/>
      </c>
      <c r="AT349" s="50" t="str">
        <f>IF($A349="","",MAX(IF($T349=IFERROR(LOOKUP(2,1/($B$9:$B$348=$B349),$T$9:$T348),0),IFERROR(LOOKUP(2,1/($B$9:$B$348=$B349),$AT$9:$AT348),0),0),$AS349))</f>
        <v/>
      </c>
      <c r="AU349" t="str">
        <f t="shared" si="100"/>
        <v/>
      </c>
      <c r="AV349" s="51">
        <f>IF($AU349="",0,IF(AND(IFERROR(LOOKUP(2,1/($B$9:$B$348=$B349),$AR$9:$AR348),1),NOT(AND(OR($F349="dividend",$F349="fee"),IFERROR(LOOKUP(2,1/($B$9:$B$348=$B349),$T$9:$T348),0)&gt;0))),ROW(),0))</f>
        <v>0</v>
      </c>
      <c r="AW349">
        <f>IF($A349="",0,IF($AV349&gt;0,MAX($AW$9:$AW$348)+1,MAX($AW$9:$AW$348)))</f>
        <v>0</v>
      </c>
      <c r="AX349">
        <f>IF($AU349="",0,IF(AND($AR349,OR(NOT(IFERROR(LOOKUP(2,1/($B$9:$B$348=$B349),$AR$9:$AR348),1)),IFERROR(LOOKUP(2,1/($B$9:$B$348=$B349),$T$9:$T348),0)=0)),ROW(),0))</f>
        <v>0</v>
      </c>
      <c r="AY349" t="str">
        <f t="shared" si="101"/>
        <v/>
      </c>
    </row>
    <row r="350" spans="1:51" ht="15" x14ac:dyDescent="0.25">
      <c r="A350" s="52" t="str">
        <f>IF(Trades!$A350="","",Trades!O350)</f>
        <v/>
      </c>
      <c r="B350" s="52" t="str">
        <f>IF(Trades!$A350="","",Trades!B350)</f>
        <v/>
      </c>
      <c r="C350" s="52" t="str">
        <f>IF(Trades!$A350="","",Trades!C350)</f>
        <v/>
      </c>
      <c r="D350" s="53" t="str">
        <f>IF(Trades!$A350="","",IF(Trades!$L350&gt;0,Trades!$L350,Trades!$C$6))</f>
        <v/>
      </c>
      <c r="E350" s="54" t="str">
        <f>IF(Trades!$A350="","",Trades!A350)</f>
        <v/>
      </c>
      <c r="F350" s="52" t="str">
        <f>IF(Trades!$A350="","",IFERROR(INDEX(Trades!$V$2:$V$14,MATCH(Trades!$E350,Trades!$U$2:$U$14,0)),""))</f>
        <v/>
      </c>
      <c r="G350" s="52" t="str">
        <f>IF(Trades!$A350="","",Trades!N350)</f>
        <v/>
      </c>
      <c r="H350" s="53" t="str">
        <f>IF(Trades!$A350="","",Trades!F350)</f>
        <v/>
      </c>
      <c r="I350" s="55" t="str">
        <f>IF(Trades!$A350="","",Trades!G350)</f>
        <v/>
      </c>
      <c r="J350" s="55" t="str">
        <f>IF(Trades!$A350="","",Trades!I350)</f>
        <v/>
      </c>
      <c r="K350" s="55" t="str">
        <f>IF(Trades!$A350="","",Trades!Q350)</f>
        <v/>
      </c>
      <c r="L350" s="53" t="str">
        <f>IF(Trades!$A350="","",Trades!F350)</f>
        <v/>
      </c>
      <c r="M350" s="55" t="str">
        <f>IF(Trades!$A350="","",Trades!M350)</f>
        <v/>
      </c>
      <c r="N350" s="55" t="str">
        <f>IF(Trades!$A350="","",Trades!R350)</f>
        <v/>
      </c>
      <c r="O350" s="55" t="str">
        <f>IF(Trades!$A350="","",Trades!J350)</f>
        <v/>
      </c>
      <c r="P350" s="54" t="str">
        <f>IF(Trades!$A350="","",Trades!H350)</f>
        <v/>
      </c>
      <c r="Q350" s="52" t="str">
        <f>IF(Trades!$A350="","",Trades!P350)</f>
        <v/>
      </c>
      <c r="R350" s="56" t="str">
        <f t="shared" si="85"/>
        <v/>
      </c>
      <c r="S350" s="56" t="str">
        <f t="shared" si="86"/>
        <v/>
      </c>
      <c r="T350" s="57" t="str">
        <f>IF(OR($A350="",$B350=""),"",IF(AND(IFERROR(LOOKUP(2,1/($B$9:$B$349=$B350),$AR$9:$AR349),1),NOT(AND(OR($F350="dividend",$F350="fee"),IFERROR(LOOKUP(2,1/($B$9:$B$349=$B350),$T$9:$T349),0)&gt;0))),IFERROR(LOOKUP(2,1/($B$9:$B$349=$B350),$T$9:$T349),0)+1,IFERROR(LOOKUP(2,1/($B$9:$B$349=$B350),$T$9:$T349),0)))</f>
        <v/>
      </c>
      <c r="U350" s="58" t="str">
        <f t="shared" si="87"/>
        <v/>
      </c>
      <c r="V350" s="58" t="str">
        <f>IF($A350="","",IF(OR($B350="",$C350="",$D350="",$E350="",$F350=""),"Missing required field",IF(COUNTIFS($A$9:$A350,$A350,$B$9:$B350,$B350)&gt;1,"Duplicate event ID",IF(AND($E350&lt;&gt;IFERROR(LOOKUP(2,1/($B$9:$B$349=$B350),$E$9:$E349),0),IFERROR(LOOKUP(2,1/($B$9:$B$349=$B350),$E$9:$E349),0)&gt;$E350),"Date out of order",IF(AND(OR($F350="buy_to_close",$F350="expire",$F350="roll",$F350="assignment",$F350="called_away"),$AF350=0),"Unknown lot",IF(OR(AND($F350="assignment",$AF350&gt;0,IF($AF350&gt;0,INDEX($AG$9:$AG$349,$AF350),"")&lt;&gt;"put"),AND($F350="called_away",$AF350&gt;0,IF($AF350&gt;0,INDEX($AG$9:$AG$349,$AF350),"")&lt;&gt;"call")),"Wrong option leg",IF(OR(AND(OR($F350="sell_put",$F350="sell_call"),OR($H350&lt;=0,$I350&lt;=0,$J350&lt;0)),AND(OR($F350="buy_to_close",$F350="expire",$F350="assignment",$F350="called_away"),OR($H350&lt;=0,$J350&lt;0)),AND($F350="roll",OR($H350&lt;=0,$I350&lt;=0,$J350&lt;0,$K350&lt;0)),AND(OR($F350="buy_shares",$F350="sell_shares"),OR($L350&lt;=0,$M350&lt;0)),AND(OR($F350="dividend",$F350="fee"),$N350&lt;0)),"Invalid value",IF(AND(OR($F350="sell_shares",$F350="called_away"),$AL350&lt;IF($F350="called_away",$AE350*$D350,$L350)),"Insufficient shares (capped)",IF(AND(OR($F350="buy_to_close",$F350="expire",$F350="roll",$F350="assignment",$F350="called_away"),$AF350&gt;0,$H350&gt;IF($AF350&gt;0,MAX(0,INDEX($AI$9:$AI$349,$AF350)-SUMIFS($AE$9:$AE$349,$G$9:$G$349,$G350,$B$9:$B$349,$B350)),0)),"Close quantity capped","OK")))))))))</f>
        <v/>
      </c>
      <c r="W350" s="59" t="str">
        <f t="shared" si="88"/>
        <v/>
      </c>
      <c r="X350" s="60" t="str">
        <f t="shared" si="89"/>
        <v/>
      </c>
      <c r="Y350" s="50" t="str">
        <f t="shared" si="90"/>
        <v/>
      </c>
      <c r="Z350" s="50" t="str">
        <f t="shared" si="91"/>
        <v/>
      </c>
      <c r="AA350" s="50" t="str">
        <f t="shared" si="92"/>
        <v/>
      </c>
      <c r="AB350" s="50" t="str">
        <f t="shared" si="93"/>
        <v/>
      </c>
      <c r="AC350" s="50" t="str">
        <f>IF($A350="","",IF($F350="assignment",IF($AF350&gt;0,INDEX($AH$9:$AH$349,$AF350),0)*$AE350*$D350,IF($F350="buy_shares",$M350*$AL350,0)))</f>
        <v/>
      </c>
      <c r="AD350" s="50" t="str">
        <f>IF($A350="","",IF($F350="called_away",IF($AF350&gt;0,INDEX($AH$9:$AH$349,$AF350),0)*$AL350,IF($F350="sell_shares",$M350*$AL350,0)))</f>
        <v/>
      </c>
      <c r="AE350" s="51" t="str">
        <f>IF($A350="","",IF(OR($F350="sell_put",$F350="sell_call"),IF(AND($H350&gt;0,$I350&gt;0,$J350&gt;=0),$H350,0),IF(OR($F350="buy_to_close",$F350="expire",$F350="roll",$F350="assignment",$F350="called_away"),IF(AND($AF350&gt;0,$H350&gt;0,IF($F350="assignment",IF($AF350&gt;0,INDEX($AG$9:$AG$349,$AF350),"")="put",TRUE),IF($F350="called_away",IF($AF350&gt;0,INDEX($AG$9:$AG$349,$AF350),"")="call",TRUE)),MIN($H350,IF($AF350&gt;0,MAX(0,INDEX($AI$9:$AI$349,$AF350)-SUMIFS($AE$9:$AE$349,$G$9:$G$349,$G350,$B$9:$B$349,$B350)),0)),0),0)))</f>
        <v/>
      </c>
      <c r="AF350" t="str">
        <f>IF($A350="","",IFERROR(MATCH(LEN($B350)&amp;":"&amp;$B350&amp;$G350,$AY$9:$AY$349,0),0))</f>
        <v/>
      </c>
      <c r="AG350" t="str">
        <f>IF($A350="","",IF($F350="sell_put","put",IF($F350="sell_call","call",IF($F350="roll",IF($AF350&gt;0,IF($AF350&gt;0,INDEX($AG$9:$AG$349,$AF350),""),""),IF($AF350&gt;0,IF($AF350&gt;0,INDEX($AG$9:$AG$349,$AF350),""),"")))))</f>
        <v/>
      </c>
      <c r="AH350" t="str">
        <f>IF($A350="","",IF(OR($F350="sell_put",$F350="sell_call",$F350="roll"),$I350,IF($AF350&gt;0,IF($AF350&gt;0,INDEX($AH$9:$AH$349,$AF350),0),0)))</f>
        <v/>
      </c>
      <c r="AI350" s="51" t="str">
        <f t="shared" si="94"/>
        <v/>
      </c>
      <c r="AJ350" s="51" t="str">
        <f>IF($A350="","",IFERROR(LOOKUP(2,1/($B$9:$B$349=$B350),$AM$9:$AM349),0))</f>
        <v/>
      </c>
      <c r="AK350" t="str">
        <f>IF($A350="","",IFERROR(LOOKUP(2,1/($B$9:$B$349=$B350),$AN$9:$AN349),0))</f>
        <v/>
      </c>
      <c r="AL350" s="51" t="str">
        <f t="shared" si="95"/>
        <v/>
      </c>
      <c r="AM350" s="51" t="str">
        <f t="shared" si="96"/>
        <v/>
      </c>
      <c r="AN350" t="str">
        <f t="shared" si="97"/>
        <v/>
      </c>
      <c r="AO350" s="50" t="str">
        <f>IF($A350="","",IFERROR(LOOKUP(2,1/($B$9:$B$349=$B350),$AO$9:$AO349),0)+IF($F350="sell_put",$I350*$AE350*$D350,IF($F350="roll",IF($AG350="put",($I350-IF($AF350&gt;0,INDEX($AH$9:$AH$349,$AF350),0))*$AE350*$D350,0),IF(AND(OR($F350="buy_to_close",$F350="expire",$F350="roll",$F350="assignment",$F350="called_away"),$F350&lt;&gt;"roll",$AG350="put"),-IF($AF350&gt;0,INDEX($AH$9:$AH$349,$AF350),0)*$AE350*$D350,0))))</f>
        <v/>
      </c>
      <c r="AP350" s="51" t="str">
        <f>IF($A350="","",IFERROR(LOOKUP(2,1/($B$9:$B$349=$B350),$AP$9:$AP349),0)+IF($F350="sell_put",$AE350*$D350,IF(AND(OR($F350="buy_to_close",$F350="expire",$F350="roll",$F350="assignment",$F350="called_away"),$F350&lt;&gt;"roll",$AG350="put"),-$AE350*$D350,0)))</f>
        <v/>
      </c>
      <c r="AQ350" s="51" t="str">
        <f>IF($A350="","",IFERROR(LOOKUP(2,1/($B$9:$B$349=$B350),$AQ$9:$AQ349),0)+IF(OR($F350="sell_put",$F350="sell_call"),$AE350,0)-IF(AND(OR($F350="buy_to_close",$F350="expire",$F350="roll",$F350="assignment",$F350="called_away"),$F350&lt;&gt;"roll"),$AE350,0))</f>
        <v/>
      </c>
      <c r="AR350" t="str">
        <f t="shared" si="98"/>
        <v/>
      </c>
      <c r="AS350" s="50" t="str">
        <f t="shared" si="99"/>
        <v/>
      </c>
      <c r="AT350" s="50" t="str">
        <f>IF($A350="","",MAX(IF($T350=IFERROR(LOOKUP(2,1/($B$9:$B$349=$B350),$T$9:$T349),0),IFERROR(LOOKUP(2,1/($B$9:$B$349=$B350),$AT$9:$AT349),0),0),$AS350))</f>
        <v/>
      </c>
      <c r="AU350" t="str">
        <f t="shared" si="100"/>
        <v/>
      </c>
      <c r="AV350" s="51">
        <f>IF($AU350="",0,IF(AND(IFERROR(LOOKUP(2,1/($B$9:$B$349=$B350),$AR$9:$AR349),1),NOT(AND(OR($F350="dividend",$F350="fee"),IFERROR(LOOKUP(2,1/($B$9:$B$349=$B350),$T$9:$T349),0)&gt;0))),ROW(),0))</f>
        <v>0</v>
      </c>
      <c r="AW350">
        <f>IF($A350="",0,IF($AV350&gt;0,MAX($AW$9:$AW$349)+1,MAX($AW$9:$AW$349)))</f>
        <v>0</v>
      </c>
      <c r="AX350">
        <f>IF($AU350="",0,IF(AND($AR350,OR(NOT(IFERROR(LOOKUP(2,1/($B$9:$B$349=$B350),$AR$9:$AR349),1)),IFERROR(LOOKUP(2,1/($B$9:$B$349=$B350),$T$9:$T349),0)=0)),ROW(),0))</f>
        <v>0</v>
      </c>
      <c r="AY350" t="str">
        <f t="shared" si="101"/>
        <v/>
      </c>
    </row>
    <row r="351" spans="1:51" ht="15" x14ac:dyDescent="0.25">
      <c r="A351" s="41" t="str">
        <f>IF(Trades!$A351="","",Trades!O351)</f>
        <v/>
      </c>
      <c r="B351" s="41" t="str">
        <f>IF(Trades!$A351="","",Trades!B351)</f>
        <v/>
      </c>
      <c r="C351" s="41" t="str">
        <f>IF(Trades!$A351="","",Trades!C351)</f>
        <v/>
      </c>
      <c r="D351" s="42" t="str">
        <f>IF(Trades!$A351="","",IF(Trades!$L351&gt;0,Trades!$L351,Trades!$C$6))</f>
        <v/>
      </c>
      <c r="E351" s="43" t="str">
        <f>IF(Trades!$A351="","",Trades!A351)</f>
        <v/>
      </c>
      <c r="F351" s="41" t="str">
        <f>IF(Trades!$A351="","",IFERROR(INDEX(Trades!$V$2:$V$14,MATCH(Trades!$E351,Trades!$U$2:$U$14,0)),""))</f>
        <v/>
      </c>
      <c r="G351" s="41" t="str">
        <f>IF(Trades!$A351="","",Trades!N351)</f>
        <v/>
      </c>
      <c r="H351" s="42" t="str">
        <f>IF(Trades!$A351="","",Trades!F351)</f>
        <v/>
      </c>
      <c r="I351" s="44" t="str">
        <f>IF(Trades!$A351="","",Trades!G351)</f>
        <v/>
      </c>
      <c r="J351" s="44" t="str">
        <f>IF(Trades!$A351="","",Trades!I351)</f>
        <v/>
      </c>
      <c r="K351" s="44" t="str">
        <f>IF(Trades!$A351="","",Trades!Q351)</f>
        <v/>
      </c>
      <c r="L351" s="42" t="str">
        <f>IF(Trades!$A351="","",Trades!F351)</f>
        <v/>
      </c>
      <c r="M351" s="44" t="str">
        <f>IF(Trades!$A351="","",Trades!M351)</f>
        <v/>
      </c>
      <c r="N351" s="44" t="str">
        <f>IF(Trades!$A351="","",Trades!R351)</f>
        <v/>
      </c>
      <c r="O351" s="44" t="str">
        <f>IF(Trades!$A351="","",Trades!J351)</f>
        <v/>
      </c>
      <c r="P351" s="43" t="str">
        <f>IF(Trades!$A351="","",Trades!H351)</f>
        <v/>
      </c>
      <c r="Q351" s="41" t="str">
        <f>IF(Trades!$A351="","",Trades!P351)</f>
        <v/>
      </c>
      <c r="R351" s="45" t="str">
        <f t="shared" si="85"/>
        <v/>
      </c>
      <c r="S351" s="45" t="str">
        <f t="shared" si="86"/>
        <v/>
      </c>
      <c r="T351" s="46" t="str">
        <f>IF(OR($A351="",$B351=""),"",IF(AND(IFERROR(LOOKUP(2,1/($B$9:$B$350=$B351),$AR$9:$AR350),1),NOT(AND(OR($F351="dividend",$F351="fee"),IFERROR(LOOKUP(2,1/($B$9:$B$350=$B351),$T$9:$T350),0)&gt;0))),IFERROR(LOOKUP(2,1/($B$9:$B$350=$B351),$T$9:$T350),0)+1,IFERROR(LOOKUP(2,1/($B$9:$B$350=$B351),$T$9:$T350),0)))</f>
        <v/>
      </c>
      <c r="U351" s="47" t="str">
        <f t="shared" si="87"/>
        <v/>
      </c>
      <c r="V351" s="47" t="str">
        <f>IF($A351="","",IF(OR($B351="",$C351="",$D351="",$E351="",$F351=""),"Missing required field",IF(COUNTIFS($A$9:$A351,$A351,$B$9:$B351,$B351)&gt;1,"Duplicate event ID",IF(AND($E351&lt;&gt;IFERROR(LOOKUP(2,1/($B$9:$B$350=$B351),$E$9:$E350),0),IFERROR(LOOKUP(2,1/($B$9:$B$350=$B351),$E$9:$E350),0)&gt;$E351),"Date out of order",IF(AND(OR($F351="buy_to_close",$F351="expire",$F351="roll",$F351="assignment",$F351="called_away"),$AF351=0),"Unknown lot",IF(OR(AND($F351="assignment",$AF351&gt;0,IF($AF351&gt;0,INDEX($AG$9:$AG$350,$AF351),"")&lt;&gt;"put"),AND($F351="called_away",$AF351&gt;0,IF($AF351&gt;0,INDEX($AG$9:$AG$350,$AF351),"")&lt;&gt;"call")),"Wrong option leg",IF(OR(AND(OR($F351="sell_put",$F351="sell_call"),OR($H351&lt;=0,$I351&lt;=0,$J351&lt;0)),AND(OR($F351="buy_to_close",$F351="expire",$F351="assignment",$F351="called_away"),OR($H351&lt;=0,$J351&lt;0)),AND($F351="roll",OR($H351&lt;=0,$I351&lt;=0,$J351&lt;0,$K351&lt;0)),AND(OR($F351="buy_shares",$F351="sell_shares"),OR($L351&lt;=0,$M351&lt;0)),AND(OR($F351="dividend",$F351="fee"),$N351&lt;0)),"Invalid value",IF(AND(OR($F351="sell_shares",$F351="called_away"),$AL351&lt;IF($F351="called_away",$AE351*$D351,$L351)),"Insufficient shares (capped)",IF(AND(OR($F351="buy_to_close",$F351="expire",$F351="roll",$F351="assignment",$F351="called_away"),$AF351&gt;0,$H351&gt;IF($AF351&gt;0,MAX(0,INDEX($AI$9:$AI$350,$AF351)-SUMIFS($AE$9:$AE$350,$G$9:$G$350,$G351,$B$9:$B$350,$B351)),0)),"Close quantity capped","OK")))))))))</f>
        <v/>
      </c>
      <c r="W351" s="48" t="str">
        <f t="shared" si="88"/>
        <v/>
      </c>
      <c r="X351" s="49" t="str">
        <f t="shared" si="89"/>
        <v/>
      </c>
      <c r="Y351" s="50" t="str">
        <f t="shared" si="90"/>
        <v/>
      </c>
      <c r="Z351" s="50" t="str">
        <f t="shared" si="91"/>
        <v/>
      </c>
      <c r="AA351" s="50" t="str">
        <f t="shared" si="92"/>
        <v/>
      </c>
      <c r="AB351" s="50" t="str">
        <f t="shared" si="93"/>
        <v/>
      </c>
      <c r="AC351" s="50" t="str">
        <f>IF($A351="","",IF($F351="assignment",IF($AF351&gt;0,INDEX($AH$9:$AH$350,$AF351),0)*$AE351*$D351,IF($F351="buy_shares",$M351*$AL351,0)))</f>
        <v/>
      </c>
      <c r="AD351" s="50" t="str">
        <f>IF($A351="","",IF($F351="called_away",IF($AF351&gt;0,INDEX($AH$9:$AH$350,$AF351),0)*$AL351,IF($F351="sell_shares",$M351*$AL351,0)))</f>
        <v/>
      </c>
      <c r="AE351" s="51" t="str">
        <f>IF($A351="","",IF(OR($F351="sell_put",$F351="sell_call"),IF(AND($H351&gt;0,$I351&gt;0,$J351&gt;=0),$H351,0),IF(OR($F351="buy_to_close",$F351="expire",$F351="roll",$F351="assignment",$F351="called_away"),IF(AND($AF351&gt;0,$H351&gt;0,IF($F351="assignment",IF($AF351&gt;0,INDEX($AG$9:$AG$350,$AF351),"")="put",TRUE),IF($F351="called_away",IF($AF351&gt;0,INDEX($AG$9:$AG$350,$AF351),"")="call",TRUE)),MIN($H351,IF($AF351&gt;0,MAX(0,INDEX($AI$9:$AI$350,$AF351)-SUMIFS($AE$9:$AE$350,$G$9:$G$350,$G351,$B$9:$B$350,$B351)),0)),0),0)))</f>
        <v/>
      </c>
      <c r="AF351" t="str">
        <f>IF($A351="","",IFERROR(MATCH(LEN($B351)&amp;":"&amp;$B351&amp;$G351,$AY$9:$AY$350,0),0))</f>
        <v/>
      </c>
      <c r="AG351" t="str">
        <f>IF($A351="","",IF($F351="sell_put","put",IF($F351="sell_call","call",IF($F351="roll",IF($AF351&gt;0,IF($AF351&gt;0,INDEX($AG$9:$AG$350,$AF351),""),""),IF($AF351&gt;0,IF($AF351&gt;0,INDEX($AG$9:$AG$350,$AF351),""),"")))))</f>
        <v/>
      </c>
      <c r="AH351" t="str">
        <f>IF($A351="","",IF(OR($F351="sell_put",$F351="sell_call",$F351="roll"),$I351,IF($AF351&gt;0,IF($AF351&gt;0,INDEX($AH$9:$AH$350,$AF351),0),0)))</f>
        <v/>
      </c>
      <c r="AI351" s="51" t="str">
        <f t="shared" si="94"/>
        <v/>
      </c>
      <c r="AJ351" s="51" t="str">
        <f>IF($A351="","",IFERROR(LOOKUP(2,1/($B$9:$B$350=$B351),$AM$9:$AM350),0))</f>
        <v/>
      </c>
      <c r="AK351" t="str">
        <f>IF($A351="","",IFERROR(LOOKUP(2,1/($B$9:$B$350=$B351),$AN$9:$AN350),0))</f>
        <v/>
      </c>
      <c r="AL351" s="51" t="str">
        <f t="shared" si="95"/>
        <v/>
      </c>
      <c r="AM351" s="51" t="str">
        <f t="shared" si="96"/>
        <v/>
      </c>
      <c r="AN351" t="str">
        <f t="shared" si="97"/>
        <v/>
      </c>
      <c r="AO351" s="50" t="str">
        <f>IF($A351="","",IFERROR(LOOKUP(2,1/($B$9:$B$350=$B351),$AO$9:$AO350),0)+IF($F351="sell_put",$I351*$AE351*$D351,IF($F351="roll",IF($AG351="put",($I351-IF($AF351&gt;0,INDEX($AH$9:$AH$350,$AF351),0))*$AE351*$D351,0),IF(AND(OR($F351="buy_to_close",$F351="expire",$F351="roll",$F351="assignment",$F351="called_away"),$F351&lt;&gt;"roll",$AG351="put"),-IF($AF351&gt;0,INDEX($AH$9:$AH$350,$AF351),0)*$AE351*$D351,0))))</f>
        <v/>
      </c>
      <c r="AP351" s="51" t="str">
        <f>IF($A351="","",IFERROR(LOOKUP(2,1/($B$9:$B$350=$B351),$AP$9:$AP350),0)+IF($F351="sell_put",$AE351*$D351,IF(AND(OR($F351="buy_to_close",$F351="expire",$F351="roll",$F351="assignment",$F351="called_away"),$F351&lt;&gt;"roll",$AG351="put"),-$AE351*$D351,0)))</f>
        <v/>
      </c>
      <c r="AQ351" s="51" t="str">
        <f>IF($A351="","",IFERROR(LOOKUP(2,1/($B$9:$B$350=$B351),$AQ$9:$AQ350),0)+IF(OR($F351="sell_put",$F351="sell_call"),$AE351,0)-IF(AND(OR($F351="buy_to_close",$F351="expire",$F351="roll",$F351="assignment",$F351="called_away"),$F351&lt;&gt;"roll"),$AE351,0))</f>
        <v/>
      </c>
      <c r="AR351" t="str">
        <f t="shared" si="98"/>
        <v/>
      </c>
      <c r="AS351" s="50" t="str">
        <f t="shared" si="99"/>
        <v/>
      </c>
      <c r="AT351" s="50" t="str">
        <f>IF($A351="","",MAX(IF($T351=IFERROR(LOOKUP(2,1/($B$9:$B$350=$B351),$T$9:$T350),0),IFERROR(LOOKUP(2,1/($B$9:$B$350=$B351),$AT$9:$AT350),0),0),$AS351))</f>
        <v/>
      </c>
      <c r="AU351" t="str">
        <f t="shared" si="100"/>
        <v/>
      </c>
      <c r="AV351" s="51">
        <f>IF($AU351="",0,IF(AND(IFERROR(LOOKUP(2,1/($B$9:$B$350=$B351),$AR$9:$AR350),1),NOT(AND(OR($F351="dividend",$F351="fee"),IFERROR(LOOKUP(2,1/($B$9:$B$350=$B351),$T$9:$T350),0)&gt;0))),ROW(),0))</f>
        <v>0</v>
      </c>
      <c r="AW351">
        <f>IF($A351="",0,IF($AV351&gt;0,MAX($AW$9:$AW$350)+1,MAX($AW$9:$AW$350)))</f>
        <v>0</v>
      </c>
      <c r="AX351">
        <f>IF($AU351="",0,IF(AND($AR351,OR(NOT(IFERROR(LOOKUP(2,1/($B$9:$B$350=$B351),$AR$9:$AR350),1)),IFERROR(LOOKUP(2,1/($B$9:$B$350=$B351),$T$9:$T350),0)=0)),ROW(),0))</f>
        <v>0</v>
      </c>
      <c r="AY351" t="str">
        <f t="shared" si="101"/>
        <v/>
      </c>
    </row>
    <row r="352" spans="1:51" ht="15" x14ac:dyDescent="0.25">
      <c r="A352" s="52" t="str">
        <f>IF(Trades!$A352="","",Trades!O352)</f>
        <v/>
      </c>
      <c r="B352" s="52" t="str">
        <f>IF(Trades!$A352="","",Trades!B352)</f>
        <v/>
      </c>
      <c r="C352" s="52" t="str">
        <f>IF(Trades!$A352="","",Trades!C352)</f>
        <v/>
      </c>
      <c r="D352" s="53" t="str">
        <f>IF(Trades!$A352="","",IF(Trades!$L352&gt;0,Trades!$L352,Trades!$C$6))</f>
        <v/>
      </c>
      <c r="E352" s="54" t="str">
        <f>IF(Trades!$A352="","",Trades!A352)</f>
        <v/>
      </c>
      <c r="F352" s="52" t="str">
        <f>IF(Trades!$A352="","",IFERROR(INDEX(Trades!$V$2:$V$14,MATCH(Trades!$E352,Trades!$U$2:$U$14,0)),""))</f>
        <v/>
      </c>
      <c r="G352" s="52" t="str">
        <f>IF(Trades!$A352="","",Trades!N352)</f>
        <v/>
      </c>
      <c r="H352" s="53" t="str">
        <f>IF(Trades!$A352="","",Trades!F352)</f>
        <v/>
      </c>
      <c r="I352" s="55" t="str">
        <f>IF(Trades!$A352="","",Trades!G352)</f>
        <v/>
      </c>
      <c r="J352" s="55" t="str">
        <f>IF(Trades!$A352="","",Trades!I352)</f>
        <v/>
      </c>
      <c r="K352" s="55" t="str">
        <f>IF(Trades!$A352="","",Trades!Q352)</f>
        <v/>
      </c>
      <c r="L352" s="53" t="str">
        <f>IF(Trades!$A352="","",Trades!F352)</f>
        <v/>
      </c>
      <c r="M352" s="55" t="str">
        <f>IF(Trades!$A352="","",Trades!M352)</f>
        <v/>
      </c>
      <c r="N352" s="55" t="str">
        <f>IF(Trades!$A352="","",Trades!R352)</f>
        <v/>
      </c>
      <c r="O352" s="55" t="str">
        <f>IF(Trades!$A352="","",Trades!J352)</f>
        <v/>
      </c>
      <c r="P352" s="54" t="str">
        <f>IF(Trades!$A352="","",Trades!H352)</f>
        <v/>
      </c>
      <c r="Q352" s="52" t="str">
        <f>IF(Trades!$A352="","",Trades!P352)</f>
        <v/>
      </c>
      <c r="R352" s="56" t="str">
        <f t="shared" si="85"/>
        <v/>
      </c>
      <c r="S352" s="56" t="str">
        <f t="shared" si="86"/>
        <v/>
      </c>
      <c r="T352" s="57" t="str">
        <f>IF(OR($A352="",$B352=""),"",IF(AND(IFERROR(LOOKUP(2,1/($B$9:$B$351=$B352),$AR$9:$AR351),1),NOT(AND(OR($F352="dividend",$F352="fee"),IFERROR(LOOKUP(2,1/($B$9:$B$351=$B352),$T$9:$T351),0)&gt;0))),IFERROR(LOOKUP(2,1/($B$9:$B$351=$B352),$T$9:$T351),0)+1,IFERROR(LOOKUP(2,1/($B$9:$B$351=$B352),$T$9:$T351),0)))</f>
        <v/>
      </c>
      <c r="U352" s="58" t="str">
        <f t="shared" si="87"/>
        <v/>
      </c>
      <c r="V352" s="58" t="str">
        <f>IF($A352="","",IF(OR($B352="",$C352="",$D352="",$E352="",$F352=""),"Missing required field",IF(COUNTIFS($A$9:$A352,$A352,$B$9:$B352,$B352)&gt;1,"Duplicate event ID",IF(AND($E352&lt;&gt;IFERROR(LOOKUP(2,1/($B$9:$B$351=$B352),$E$9:$E351),0),IFERROR(LOOKUP(2,1/($B$9:$B$351=$B352),$E$9:$E351),0)&gt;$E352),"Date out of order",IF(AND(OR($F352="buy_to_close",$F352="expire",$F352="roll",$F352="assignment",$F352="called_away"),$AF352=0),"Unknown lot",IF(OR(AND($F352="assignment",$AF352&gt;0,IF($AF352&gt;0,INDEX($AG$9:$AG$351,$AF352),"")&lt;&gt;"put"),AND($F352="called_away",$AF352&gt;0,IF($AF352&gt;0,INDEX($AG$9:$AG$351,$AF352),"")&lt;&gt;"call")),"Wrong option leg",IF(OR(AND(OR($F352="sell_put",$F352="sell_call"),OR($H352&lt;=0,$I352&lt;=0,$J352&lt;0)),AND(OR($F352="buy_to_close",$F352="expire",$F352="assignment",$F352="called_away"),OR($H352&lt;=0,$J352&lt;0)),AND($F352="roll",OR($H352&lt;=0,$I352&lt;=0,$J352&lt;0,$K352&lt;0)),AND(OR($F352="buy_shares",$F352="sell_shares"),OR($L352&lt;=0,$M352&lt;0)),AND(OR($F352="dividend",$F352="fee"),$N352&lt;0)),"Invalid value",IF(AND(OR($F352="sell_shares",$F352="called_away"),$AL352&lt;IF($F352="called_away",$AE352*$D352,$L352)),"Insufficient shares (capped)",IF(AND(OR($F352="buy_to_close",$F352="expire",$F352="roll",$F352="assignment",$F352="called_away"),$AF352&gt;0,$H352&gt;IF($AF352&gt;0,MAX(0,INDEX($AI$9:$AI$351,$AF352)-SUMIFS($AE$9:$AE$351,$G$9:$G$351,$G352,$B$9:$B$351,$B352)),0)),"Close quantity capped","OK")))))))))</f>
        <v/>
      </c>
      <c r="W352" s="59" t="str">
        <f t="shared" si="88"/>
        <v/>
      </c>
      <c r="X352" s="60" t="str">
        <f t="shared" si="89"/>
        <v/>
      </c>
      <c r="Y352" s="50" t="str">
        <f t="shared" si="90"/>
        <v/>
      </c>
      <c r="Z352" s="50" t="str">
        <f t="shared" si="91"/>
        <v/>
      </c>
      <c r="AA352" s="50" t="str">
        <f t="shared" si="92"/>
        <v/>
      </c>
      <c r="AB352" s="50" t="str">
        <f t="shared" si="93"/>
        <v/>
      </c>
      <c r="AC352" s="50" t="str">
        <f>IF($A352="","",IF($F352="assignment",IF($AF352&gt;0,INDEX($AH$9:$AH$351,$AF352),0)*$AE352*$D352,IF($F352="buy_shares",$M352*$AL352,0)))</f>
        <v/>
      </c>
      <c r="AD352" s="50" t="str">
        <f>IF($A352="","",IF($F352="called_away",IF($AF352&gt;0,INDEX($AH$9:$AH$351,$AF352),0)*$AL352,IF($F352="sell_shares",$M352*$AL352,0)))</f>
        <v/>
      </c>
      <c r="AE352" s="51" t="str">
        <f>IF($A352="","",IF(OR($F352="sell_put",$F352="sell_call"),IF(AND($H352&gt;0,$I352&gt;0,$J352&gt;=0),$H352,0),IF(OR($F352="buy_to_close",$F352="expire",$F352="roll",$F352="assignment",$F352="called_away"),IF(AND($AF352&gt;0,$H352&gt;0,IF($F352="assignment",IF($AF352&gt;0,INDEX($AG$9:$AG$351,$AF352),"")="put",TRUE),IF($F352="called_away",IF($AF352&gt;0,INDEX($AG$9:$AG$351,$AF352),"")="call",TRUE)),MIN($H352,IF($AF352&gt;0,MAX(0,INDEX($AI$9:$AI$351,$AF352)-SUMIFS($AE$9:$AE$351,$G$9:$G$351,$G352,$B$9:$B$351,$B352)),0)),0),0)))</f>
        <v/>
      </c>
      <c r="AF352" t="str">
        <f>IF($A352="","",IFERROR(MATCH(LEN($B352)&amp;":"&amp;$B352&amp;$G352,$AY$9:$AY$351,0),0))</f>
        <v/>
      </c>
      <c r="AG352" t="str">
        <f>IF($A352="","",IF($F352="sell_put","put",IF($F352="sell_call","call",IF($F352="roll",IF($AF352&gt;0,IF($AF352&gt;0,INDEX($AG$9:$AG$351,$AF352),""),""),IF($AF352&gt;0,IF($AF352&gt;0,INDEX($AG$9:$AG$351,$AF352),""),"")))))</f>
        <v/>
      </c>
      <c r="AH352" t="str">
        <f>IF($A352="","",IF(OR($F352="sell_put",$F352="sell_call",$F352="roll"),$I352,IF($AF352&gt;0,IF($AF352&gt;0,INDEX($AH$9:$AH$351,$AF352),0),0)))</f>
        <v/>
      </c>
      <c r="AI352" s="51" t="str">
        <f t="shared" si="94"/>
        <v/>
      </c>
      <c r="AJ352" s="51" t="str">
        <f>IF($A352="","",IFERROR(LOOKUP(2,1/($B$9:$B$351=$B352),$AM$9:$AM351),0))</f>
        <v/>
      </c>
      <c r="AK352" t="str">
        <f>IF($A352="","",IFERROR(LOOKUP(2,1/($B$9:$B$351=$B352),$AN$9:$AN351),0))</f>
        <v/>
      </c>
      <c r="AL352" s="51" t="str">
        <f t="shared" si="95"/>
        <v/>
      </c>
      <c r="AM352" s="51" t="str">
        <f t="shared" si="96"/>
        <v/>
      </c>
      <c r="AN352" t="str">
        <f t="shared" si="97"/>
        <v/>
      </c>
      <c r="AO352" s="50" t="str">
        <f>IF($A352="","",IFERROR(LOOKUP(2,1/($B$9:$B$351=$B352),$AO$9:$AO351),0)+IF($F352="sell_put",$I352*$AE352*$D352,IF($F352="roll",IF($AG352="put",($I352-IF($AF352&gt;0,INDEX($AH$9:$AH$351,$AF352),0))*$AE352*$D352,0),IF(AND(OR($F352="buy_to_close",$F352="expire",$F352="roll",$F352="assignment",$F352="called_away"),$F352&lt;&gt;"roll",$AG352="put"),-IF($AF352&gt;0,INDEX($AH$9:$AH$351,$AF352),0)*$AE352*$D352,0))))</f>
        <v/>
      </c>
      <c r="AP352" s="51" t="str">
        <f>IF($A352="","",IFERROR(LOOKUP(2,1/($B$9:$B$351=$B352),$AP$9:$AP351),0)+IF($F352="sell_put",$AE352*$D352,IF(AND(OR($F352="buy_to_close",$F352="expire",$F352="roll",$F352="assignment",$F352="called_away"),$F352&lt;&gt;"roll",$AG352="put"),-$AE352*$D352,0)))</f>
        <v/>
      </c>
      <c r="AQ352" s="51" t="str">
        <f>IF($A352="","",IFERROR(LOOKUP(2,1/($B$9:$B$351=$B352),$AQ$9:$AQ351),0)+IF(OR($F352="sell_put",$F352="sell_call"),$AE352,0)-IF(AND(OR($F352="buy_to_close",$F352="expire",$F352="roll",$F352="assignment",$F352="called_away"),$F352&lt;&gt;"roll"),$AE352,0))</f>
        <v/>
      </c>
      <c r="AR352" t="str">
        <f t="shared" si="98"/>
        <v/>
      </c>
      <c r="AS352" s="50" t="str">
        <f t="shared" si="99"/>
        <v/>
      </c>
      <c r="AT352" s="50" t="str">
        <f>IF($A352="","",MAX(IF($T352=IFERROR(LOOKUP(2,1/($B$9:$B$351=$B352),$T$9:$T351),0),IFERROR(LOOKUP(2,1/($B$9:$B$351=$B352),$AT$9:$AT351),0),0),$AS352))</f>
        <v/>
      </c>
      <c r="AU352" t="str">
        <f t="shared" si="100"/>
        <v/>
      </c>
      <c r="AV352" s="51">
        <f>IF($AU352="",0,IF(AND(IFERROR(LOOKUP(2,1/($B$9:$B$351=$B352),$AR$9:$AR351),1),NOT(AND(OR($F352="dividend",$F352="fee"),IFERROR(LOOKUP(2,1/($B$9:$B$351=$B352),$T$9:$T351),0)&gt;0))),ROW(),0))</f>
        <v>0</v>
      </c>
      <c r="AW352">
        <f>IF($A352="",0,IF($AV352&gt;0,MAX($AW$9:$AW$351)+1,MAX($AW$9:$AW$351)))</f>
        <v>0</v>
      </c>
      <c r="AX352">
        <f>IF($AU352="",0,IF(AND($AR352,OR(NOT(IFERROR(LOOKUP(2,1/($B$9:$B$351=$B352),$AR$9:$AR351),1)),IFERROR(LOOKUP(2,1/($B$9:$B$351=$B352),$T$9:$T351),0)=0)),ROW(),0))</f>
        <v>0</v>
      </c>
      <c r="AY352" t="str">
        <f t="shared" si="101"/>
        <v/>
      </c>
    </row>
    <row r="353" spans="1:51" ht="15" x14ac:dyDescent="0.25">
      <c r="A353" s="41" t="str">
        <f>IF(Trades!$A353="","",Trades!O353)</f>
        <v/>
      </c>
      <c r="B353" s="41" t="str">
        <f>IF(Trades!$A353="","",Trades!B353)</f>
        <v/>
      </c>
      <c r="C353" s="41" t="str">
        <f>IF(Trades!$A353="","",Trades!C353)</f>
        <v/>
      </c>
      <c r="D353" s="42" t="str">
        <f>IF(Trades!$A353="","",IF(Trades!$L353&gt;0,Trades!$L353,Trades!$C$6))</f>
        <v/>
      </c>
      <c r="E353" s="43" t="str">
        <f>IF(Trades!$A353="","",Trades!A353)</f>
        <v/>
      </c>
      <c r="F353" s="41" t="str">
        <f>IF(Trades!$A353="","",IFERROR(INDEX(Trades!$V$2:$V$14,MATCH(Trades!$E353,Trades!$U$2:$U$14,0)),""))</f>
        <v/>
      </c>
      <c r="G353" s="41" t="str">
        <f>IF(Trades!$A353="","",Trades!N353)</f>
        <v/>
      </c>
      <c r="H353" s="42" t="str">
        <f>IF(Trades!$A353="","",Trades!F353)</f>
        <v/>
      </c>
      <c r="I353" s="44" t="str">
        <f>IF(Trades!$A353="","",Trades!G353)</f>
        <v/>
      </c>
      <c r="J353" s="44" t="str">
        <f>IF(Trades!$A353="","",Trades!I353)</f>
        <v/>
      </c>
      <c r="K353" s="44" t="str">
        <f>IF(Trades!$A353="","",Trades!Q353)</f>
        <v/>
      </c>
      <c r="L353" s="42" t="str">
        <f>IF(Trades!$A353="","",Trades!F353)</f>
        <v/>
      </c>
      <c r="M353" s="44" t="str">
        <f>IF(Trades!$A353="","",Trades!M353)</f>
        <v/>
      </c>
      <c r="N353" s="44" t="str">
        <f>IF(Trades!$A353="","",Trades!R353)</f>
        <v/>
      </c>
      <c r="O353" s="44" t="str">
        <f>IF(Trades!$A353="","",Trades!J353)</f>
        <v/>
      </c>
      <c r="P353" s="43" t="str">
        <f>IF(Trades!$A353="","",Trades!H353)</f>
        <v/>
      </c>
      <c r="Q353" s="41" t="str">
        <f>IF(Trades!$A353="","",Trades!P353)</f>
        <v/>
      </c>
      <c r="R353" s="45" t="str">
        <f t="shared" si="85"/>
        <v/>
      </c>
      <c r="S353" s="45" t="str">
        <f t="shared" si="86"/>
        <v/>
      </c>
      <c r="T353" s="46" t="str">
        <f>IF(OR($A353="",$B353=""),"",IF(AND(IFERROR(LOOKUP(2,1/($B$9:$B$352=$B353),$AR$9:$AR352),1),NOT(AND(OR($F353="dividend",$F353="fee"),IFERROR(LOOKUP(2,1/($B$9:$B$352=$B353),$T$9:$T352),0)&gt;0))),IFERROR(LOOKUP(2,1/($B$9:$B$352=$B353),$T$9:$T352),0)+1,IFERROR(LOOKUP(2,1/($B$9:$B$352=$B353),$T$9:$T352),0)))</f>
        <v/>
      </c>
      <c r="U353" s="47" t="str">
        <f t="shared" si="87"/>
        <v/>
      </c>
      <c r="V353" s="47" t="str">
        <f>IF($A353="","",IF(OR($B353="",$C353="",$D353="",$E353="",$F353=""),"Missing required field",IF(COUNTIFS($A$9:$A353,$A353,$B$9:$B353,$B353)&gt;1,"Duplicate event ID",IF(AND($E353&lt;&gt;IFERROR(LOOKUP(2,1/($B$9:$B$352=$B353),$E$9:$E352),0),IFERROR(LOOKUP(2,1/($B$9:$B$352=$B353),$E$9:$E352),0)&gt;$E353),"Date out of order",IF(AND(OR($F353="buy_to_close",$F353="expire",$F353="roll",$F353="assignment",$F353="called_away"),$AF353=0),"Unknown lot",IF(OR(AND($F353="assignment",$AF353&gt;0,IF($AF353&gt;0,INDEX($AG$9:$AG$352,$AF353),"")&lt;&gt;"put"),AND($F353="called_away",$AF353&gt;0,IF($AF353&gt;0,INDEX($AG$9:$AG$352,$AF353),"")&lt;&gt;"call")),"Wrong option leg",IF(OR(AND(OR($F353="sell_put",$F353="sell_call"),OR($H353&lt;=0,$I353&lt;=0,$J353&lt;0)),AND(OR($F353="buy_to_close",$F353="expire",$F353="assignment",$F353="called_away"),OR($H353&lt;=0,$J353&lt;0)),AND($F353="roll",OR($H353&lt;=0,$I353&lt;=0,$J353&lt;0,$K353&lt;0)),AND(OR($F353="buy_shares",$F353="sell_shares"),OR($L353&lt;=0,$M353&lt;0)),AND(OR($F353="dividend",$F353="fee"),$N353&lt;0)),"Invalid value",IF(AND(OR($F353="sell_shares",$F353="called_away"),$AL353&lt;IF($F353="called_away",$AE353*$D353,$L353)),"Insufficient shares (capped)",IF(AND(OR($F353="buy_to_close",$F353="expire",$F353="roll",$F353="assignment",$F353="called_away"),$AF353&gt;0,$H353&gt;IF($AF353&gt;0,MAX(0,INDEX($AI$9:$AI$352,$AF353)-SUMIFS($AE$9:$AE$352,$G$9:$G$352,$G353,$B$9:$B$352,$B353)),0)),"Close quantity capped","OK")))))))))</f>
        <v/>
      </c>
      <c r="W353" s="48" t="str">
        <f t="shared" si="88"/>
        <v/>
      </c>
      <c r="X353" s="49" t="str">
        <f t="shared" si="89"/>
        <v/>
      </c>
      <c r="Y353" s="50" t="str">
        <f t="shared" si="90"/>
        <v/>
      </c>
      <c r="Z353" s="50" t="str">
        <f t="shared" si="91"/>
        <v/>
      </c>
      <c r="AA353" s="50" t="str">
        <f t="shared" si="92"/>
        <v/>
      </c>
      <c r="AB353" s="50" t="str">
        <f t="shared" si="93"/>
        <v/>
      </c>
      <c r="AC353" s="50" t="str">
        <f>IF($A353="","",IF($F353="assignment",IF($AF353&gt;0,INDEX($AH$9:$AH$352,$AF353),0)*$AE353*$D353,IF($F353="buy_shares",$M353*$AL353,0)))</f>
        <v/>
      </c>
      <c r="AD353" s="50" t="str">
        <f>IF($A353="","",IF($F353="called_away",IF($AF353&gt;0,INDEX($AH$9:$AH$352,$AF353),0)*$AL353,IF($F353="sell_shares",$M353*$AL353,0)))</f>
        <v/>
      </c>
      <c r="AE353" s="51" t="str">
        <f>IF($A353="","",IF(OR($F353="sell_put",$F353="sell_call"),IF(AND($H353&gt;0,$I353&gt;0,$J353&gt;=0),$H353,0),IF(OR($F353="buy_to_close",$F353="expire",$F353="roll",$F353="assignment",$F353="called_away"),IF(AND($AF353&gt;0,$H353&gt;0,IF($F353="assignment",IF($AF353&gt;0,INDEX($AG$9:$AG$352,$AF353),"")="put",TRUE),IF($F353="called_away",IF($AF353&gt;0,INDEX($AG$9:$AG$352,$AF353),"")="call",TRUE)),MIN($H353,IF($AF353&gt;0,MAX(0,INDEX($AI$9:$AI$352,$AF353)-SUMIFS($AE$9:$AE$352,$G$9:$G$352,$G353,$B$9:$B$352,$B353)),0)),0),0)))</f>
        <v/>
      </c>
      <c r="AF353" t="str">
        <f>IF($A353="","",IFERROR(MATCH(LEN($B353)&amp;":"&amp;$B353&amp;$G353,$AY$9:$AY$352,0),0))</f>
        <v/>
      </c>
      <c r="AG353" t="str">
        <f>IF($A353="","",IF($F353="sell_put","put",IF($F353="sell_call","call",IF($F353="roll",IF($AF353&gt;0,IF($AF353&gt;0,INDEX($AG$9:$AG$352,$AF353),""),""),IF($AF353&gt;0,IF($AF353&gt;0,INDEX($AG$9:$AG$352,$AF353),""),"")))))</f>
        <v/>
      </c>
      <c r="AH353" t="str">
        <f>IF($A353="","",IF(OR($F353="sell_put",$F353="sell_call",$F353="roll"),$I353,IF($AF353&gt;0,IF($AF353&gt;0,INDEX($AH$9:$AH$352,$AF353),0),0)))</f>
        <v/>
      </c>
      <c r="AI353" s="51" t="str">
        <f t="shared" si="94"/>
        <v/>
      </c>
      <c r="AJ353" s="51" t="str">
        <f>IF($A353="","",IFERROR(LOOKUP(2,1/($B$9:$B$352=$B353),$AM$9:$AM352),0))</f>
        <v/>
      </c>
      <c r="AK353" t="str">
        <f>IF($A353="","",IFERROR(LOOKUP(2,1/($B$9:$B$352=$B353),$AN$9:$AN352),0))</f>
        <v/>
      </c>
      <c r="AL353" s="51" t="str">
        <f t="shared" si="95"/>
        <v/>
      </c>
      <c r="AM353" s="51" t="str">
        <f t="shared" si="96"/>
        <v/>
      </c>
      <c r="AN353" t="str">
        <f t="shared" si="97"/>
        <v/>
      </c>
      <c r="AO353" s="50" t="str">
        <f>IF($A353="","",IFERROR(LOOKUP(2,1/($B$9:$B$352=$B353),$AO$9:$AO352),0)+IF($F353="sell_put",$I353*$AE353*$D353,IF($F353="roll",IF($AG353="put",($I353-IF($AF353&gt;0,INDEX($AH$9:$AH$352,$AF353),0))*$AE353*$D353,0),IF(AND(OR($F353="buy_to_close",$F353="expire",$F353="roll",$F353="assignment",$F353="called_away"),$F353&lt;&gt;"roll",$AG353="put"),-IF($AF353&gt;0,INDEX($AH$9:$AH$352,$AF353),0)*$AE353*$D353,0))))</f>
        <v/>
      </c>
      <c r="AP353" s="51" t="str">
        <f>IF($A353="","",IFERROR(LOOKUP(2,1/($B$9:$B$352=$B353),$AP$9:$AP352),0)+IF($F353="sell_put",$AE353*$D353,IF(AND(OR($F353="buy_to_close",$F353="expire",$F353="roll",$F353="assignment",$F353="called_away"),$F353&lt;&gt;"roll",$AG353="put"),-$AE353*$D353,0)))</f>
        <v/>
      </c>
      <c r="AQ353" s="51" t="str">
        <f>IF($A353="","",IFERROR(LOOKUP(2,1/($B$9:$B$352=$B353),$AQ$9:$AQ352),0)+IF(OR($F353="sell_put",$F353="sell_call"),$AE353,0)-IF(AND(OR($F353="buy_to_close",$F353="expire",$F353="roll",$F353="assignment",$F353="called_away"),$F353&lt;&gt;"roll"),$AE353,0))</f>
        <v/>
      </c>
      <c r="AR353" t="str">
        <f t="shared" si="98"/>
        <v/>
      </c>
      <c r="AS353" s="50" t="str">
        <f t="shared" si="99"/>
        <v/>
      </c>
      <c r="AT353" s="50" t="str">
        <f>IF($A353="","",MAX(IF($T353=IFERROR(LOOKUP(2,1/($B$9:$B$352=$B353),$T$9:$T352),0),IFERROR(LOOKUP(2,1/($B$9:$B$352=$B353),$AT$9:$AT352),0),0),$AS353))</f>
        <v/>
      </c>
      <c r="AU353" t="str">
        <f t="shared" si="100"/>
        <v/>
      </c>
      <c r="AV353" s="51">
        <f>IF($AU353="",0,IF(AND(IFERROR(LOOKUP(2,1/($B$9:$B$352=$B353),$AR$9:$AR352),1),NOT(AND(OR($F353="dividend",$F353="fee"),IFERROR(LOOKUP(2,1/($B$9:$B$352=$B353),$T$9:$T352),0)&gt;0))),ROW(),0))</f>
        <v>0</v>
      </c>
      <c r="AW353">
        <f>IF($A353="",0,IF($AV353&gt;0,MAX($AW$9:$AW$352)+1,MAX($AW$9:$AW$352)))</f>
        <v>0</v>
      </c>
      <c r="AX353">
        <f>IF($AU353="",0,IF(AND($AR353,OR(NOT(IFERROR(LOOKUP(2,1/($B$9:$B$352=$B353),$AR$9:$AR352),1)),IFERROR(LOOKUP(2,1/($B$9:$B$352=$B353),$T$9:$T352),0)=0)),ROW(),0))</f>
        <v>0</v>
      </c>
      <c r="AY353" t="str">
        <f t="shared" si="101"/>
        <v/>
      </c>
    </row>
    <row r="354" spans="1:51" ht="15" x14ac:dyDescent="0.25">
      <c r="A354" s="52" t="str">
        <f>IF(Trades!$A354="","",Trades!O354)</f>
        <v/>
      </c>
      <c r="B354" s="52" t="str">
        <f>IF(Trades!$A354="","",Trades!B354)</f>
        <v/>
      </c>
      <c r="C354" s="52" t="str">
        <f>IF(Trades!$A354="","",Trades!C354)</f>
        <v/>
      </c>
      <c r="D354" s="53" t="str">
        <f>IF(Trades!$A354="","",IF(Trades!$L354&gt;0,Trades!$L354,Trades!$C$6))</f>
        <v/>
      </c>
      <c r="E354" s="54" t="str">
        <f>IF(Trades!$A354="","",Trades!A354)</f>
        <v/>
      </c>
      <c r="F354" s="52" t="str">
        <f>IF(Trades!$A354="","",IFERROR(INDEX(Trades!$V$2:$V$14,MATCH(Trades!$E354,Trades!$U$2:$U$14,0)),""))</f>
        <v/>
      </c>
      <c r="G354" s="52" t="str">
        <f>IF(Trades!$A354="","",Trades!N354)</f>
        <v/>
      </c>
      <c r="H354" s="53" t="str">
        <f>IF(Trades!$A354="","",Trades!F354)</f>
        <v/>
      </c>
      <c r="I354" s="55" t="str">
        <f>IF(Trades!$A354="","",Trades!G354)</f>
        <v/>
      </c>
      <c r="J354" s="55" t="str">
        <f>IF(Trades!$A354="","",Trades!I354)</f>
        <v/>
      </c>
      <c r="K354" s="55" t="str">
        <f>IF(Trades!$A354="","",Trades!Q354)</f>
        <v/>
      </c>
      <c r="L354" s="53" t="str">
        <f>IF(Trades!$A354="","",Trades!F354)</f>
        <v/>
      </c>
      <c r="M354" s="55" t="str">
        <f>IF(Trades!$A354="","",Trades!M354)</f>
        <v/>
      </c>
      <c r="N354" s="55" t="str">
        <f>IF(Trades!$A354="","",Trades!R354)</f>
        <v/>
      </c>
      <c r="O354" s="55" t="str">
        <f>IF(Trades!$A354="","",Trades!J354)</f>
        <v/>
      </c>
      <c r="P354" s="54" t="str">
        <f>IF(Trades!$A354="","",Trades!H354)</f>
        <v/>
      </c>
      <c r="Q354" s="52" t="str">
        <f>IF(Trades!$A354="","",Trades!P354)</f>
        <v/>
      </c>
      <c r="R354" s="56" t="str">
        <f t="shared" si="85"/>
        <v/>
      </c>
      <c r="S354" s="56" t="str">
        <f t="shared" si="86"/>
        <v/>
      </c>
      <c r="T354" s="57" t="str">
        <f>IF(OR($A354="",$B354=""),"",IF(AND(IFERROR(LOOKUP(2,1/($B$9:$B$353=$B354),$AR$9:$AR353),1),NOT(AND(OR($F354="dividend",$F354="fee"),IFERROR(LOOKUP(2,1/($B$9:$B$353=$B354),$T$9:$T353),0)&gt;0))),IFERROR(LOOKUP(2,1/($B$9:$B$353=$B354),$T$9:$T353),0)+1,IFERROR(LOOKUP(2,1/($B$9:$B$353=$B354),$T$9:$T353),0)))</f>
        <v/>
      </c>
      <c r="U354" s="58" t="str">
        <f t="shared" si="87"/>
        <v/>
      </c>
      <c r="V354" s="58" t="str">
        <f>IF($A354="","",IF(OR($B354="",$C354="",$D354="",$E354="",$F354=""),"Missing required field",IF(COUNTIFS($A$9:$A354,$A354,$B$9:$B354,$B354)&gt;1,"Duplicate event ID",IF(AND($E354&lt;&gt;IFERROR(LOOKUP(2,1/($B$9:$B$353=$B354),$E$9:$E353),0),IFERROR(LOOKUP(2,1/($B$9:$B$353=$B354),$E$9:$E353),0)&gt;$E354),"Date out of order",IF(AND(OR($F354="buy_to_close",$F354="expire",$F354="roll",$F354="assignment",$F354="called_away"),$AF354=0),"Unknown lot",IF(OR(AND($F354="assignment",$AF354&gt;0,IF($AF354&gt;0,INDEX($AG$9:$AG$353,$AF354),"")&lt;&gt;"put"),AND($F354="called_away",$AF354&gt;0,IF($AF354&gt;0,INDEX($AG$9:$AG$353,$AF354),"")&lt;&gt;"call")),"Wrong option leg",IF(OR(AND(OR($F354="sell_put",$F354="sell_call"),OR($H354&lt;=0,$I354&lt;=0,$J354&lt;0)),AND(OR($F354="buy_to_close",$F354="expire",$F354="assignment",$F354="called_away"),OR($H354&lt;=0,$J354&lt;0)),AND($F354="roll",OR($H354&lt;=0,$I354&lt;=0,$J354&lt;0,$K354&lt;0)),AND(OR($F354="buy_shares",$F354="sell_shares"),OR($L354&lt;=0,$M354&lt;0)),AND(OR($F354="dividend",$F354="fee"),$N354&lt;0)),"Invalid value",IF(AND(OR($F354="sell_shares",$F354="called_away"),$AL354&lt;IF($F354="called_away",$AE354*$D354,$L354)),"Insufficient shares (capped)",IF(AND(OR($F354="buy_to_close",$F354="expire",$F354="roll",$F354="assignment",$F354="called_away"),$AF354&gt;0,$H354&gt;IF($AF354&gt;0,MAX(0,INDEX($AI$9:$AI$353,$AF354)-SUMIFS($AE$9:$AE$353,$G$9:$G$353,$G354,$B$9:$B$353,$B354)),0)),"Close quantity capped","OK")))))))))</f>
        <v/>
      </c>
      <c r="W354" s="59" t="str">
        <f t="shared" si="88"/>
        <v/>
      </c>
      <c r="X354" s="60" t="str">
        <f t="shared" si="89"/>
        <v/>
      </c>
      <c r="Y354" s="50" t="str">
        <f t="shared" si="90"/>
        <v/>
      </c>
      <c r="Z354" s="50" t="str">
        <f t="shared" si="91"/>
        <v/>
      </c>
      <c r="AA354" s="50" t="str">
        <f t="shared" si="92"/>
        <v/>
      </c>
      <c r="AB354" s="50" t="str">
        <f t="shared" si="93"/>
        <v/>
      </c>
      <c r="AC354" s="50" t="str">
        <f>IF($A354="","",IF($F354="assignment",IF($AF354&gt;0,INDEX($AH$9:$AH$353,$AF354),0)*$AE354*$D354,IF($F354="buy_shares",$M354*$AL354,0)))</f>
        <v/>
      </c>
      <c r="AD354" s="50" t="str">
        <f>IF($A354="","",IF($F354="called_away",IF($AF354&gt;0,INDEX($AH$9:$AH$353,$AF354),0)*$AL354,IF($F354="sell_shares",$M354*$AL354,0)))</f>
        <v/>
      </c>
      <c r="AE354" s="51" t="str">
        <f>IF($A354="","",IF(OR($F354="sell_put",$F354="sell_call"),IF(AND($H354&gt;0,$I354&gt;0,$J354&gt;=0),$H354,0),IF(OR($F354="buy_to_close",$F354="expire",$F354="roll",$F354="assignment",$F354="called_away"),IF(AND($AF354&gt;0,$H354&gt;0,IF($F354="assignment",IF($AF354&gt;0,INDEX($AG$9:$AG$353,$AF354),"")="put",TRUE),IF($F354="called_away",IF($AF354&gt;0,INDEX($AG$9:$AG$353,$AF354),"")="call",TRUE)),MIN($H354,IF($AF354&gt;0,MAX(0,INDEX($AI$9:$AI$353,$AF354)-SUMIFS($AE$9:$AE$353,$G$9:$G$353,$G354,$B$9:$B$353,$B354)),0)),0),0)))</f>
        <v/>
      </c>
      <c r="AF354" t="str">
        <f>IF($A354="","",IFERROR(MATCH(LEN($B354)&amp;":"&amp;$B354&amp;$G354,$AY$9:$AY$353,0),0))</f>
        <v/>
      </c>
      <c r="AG354" t="str">
        <f>IF($A354="","",IF($F354="sell_put","put",IF($F354="sell_call","call",IF($F354="roll",IF($AF354&gt;0,IF($AF354&gt;0,INDEX($AG$9:$AG$353,$AF354),""),""),IF($AF354&gt;0,IF($AF354&gt;0,INDEX($AG$9:$AG$353,$AF354),""),"")))))</f>
        <v/>
      </c>
      <c r="AH354" t="str">
        <f>IF($A354="","",IF(OR($F354="sell_put",$F354="sell_call",$F354="roll"),$I354,IF($AF354&gt;0,IF($AF354&gt;0,INDEX($AH$9:$AH$353,$AF354),0),0)))</f>
        <v/>
      </c>
      <c r="AI354" s="51" t="str">
        <f t="shared" si="94"/>
        <v/>
      </c>
      <c r="AJ354" s="51" t="str">
        <f>IF($A354="","",IFERROR(LOOKUP(2,1/($B$9:$B$353=$B354),$AM$9:$AM353),0))</f>
        <v/>
      </c>
      <c r="AK354" t="str">
        <f>IF($A354="","",IFERROR(LOOKUP(2,1/($B$9:$B$353=$B354),$AN$9:$AN353),0))</f>
        <v/>
      </c>
      <c r="AL354" s="51" t="str">
        <f t="shared" si="95"/>
        <v/>
      </c>
      <c r="AM354" s="51" t="str">
        <f t="shared" si="96"/>
        <v/>
      </c>
      <c r="AN354" t="str">
        <f t="shared" si="97"/>
        <v/>
      </c>
      <c r="AO354" s="50" t="str">
        <f>IF($A354="","",IFERROR(LOOKUP(2,1/($B$9:$B$353=$B354),$AO$9:$AO353),0)+IF($F354="sell_put",$I354*$AE354*$D354,IF($F354="roll",IF($AG354="put",($I354-IF($AF354&gt;0,INDEX($AH$9:$AH$353,$AF354),0))*$AE354*$D354,0),IF(AND(OR($F354="buy_to_close",$F354="expire",$F354="roll",$F354="assignment",$F354="called_away"),$F354&lt;&gt;"roll",$AG354="put"),-IF($AF354&gt;0,INDEX($AH$9:$AH$353,$AF354),0)*$AE354*$D354,0))))</f>
        <v/>
      </c>
      <c r="AP354" s="51" t="str">
        <f>IF($A354="","",IFERROR(LOOKUP(2,1/($B$9:$B$353=$B354),$AP$9:$AP353),0)+IF($F354="sell_put",$AE354*$D354,IF(AND(OR($F354="buy_to_close",$F354="expire",$F354="roll",$F354="assignment",$F354="called_away"),$F354&lt;&gt;"roll",$AG354="put"),-$AE354*$D354,0)))</f>
        <v/>
      </c>
      <c r="AQ354" s="51" t="str">
        <f>IF($A354="","",IFERROR(LOOKUP(2,1/($B$9:$B$353=$B354),$AQ$9:$AQ353),0)+IF(OR($F354="sell_put",$F354="sell_call"),$AE354,0)-IF(AND(OR($F354="buy_to_close",$F354="expire",$F354="roll",$F354="assignment",$F354="called_away"),$F354&lt;&gt;"roll"),$AE354,0))</f>
        <v/>
      </c>
      <c r="AR354" t="str">
        <f t="shared" si="98"/>
        <v/>
      </c>
      <c r="AS354" s="50" t="str">
        <f t="shared" si="99"/>
        <v/>
      </c>
      <c r="AT354" s="50" t="str">
        <f>IF($A354="","",MAX(IF($T354=IFERROR(LOOKUP(2,1/($B$9:$B$353=$B354),$T$9:$T353),0),IFERROR(LOOKUP(2,1/($B$9:$B$353=$B354),$AT$9:$AT353),0),0),$AS354))</f>
        <v/>
      </c>
      <c r="AU354" t="str">
        <f t="shared" si="100"/>
        <v/>
      </c>
      <c r="AV354" s="51">
        <f>IF($AU354="",0,IF(AND(IFERROR(LOOKUP(2,1/($B$9:$B$353=$B354),$AR$9:$AR353),1),NOT(AND(OR($F354="dividend",$F354="fee"),IFERROR(LOOKUP(2,1/($B$9:$B$353=$B354),$T$9:$T353),0)&gt;0))),ROW(),0))</f>
        <v>0</v>
      </c>
      <c r="AW354">
        <f>IF($A354="",0,IF($AV354&gt;0,MAX($AW$9:$AW$353)+1,MAX($AW$9:$AW$353)))</f>
        <v>0</v>
      </c>
      <c r="AX354">
        <f>IF($AU354="",0,IF(AND($AR354,OR(NOT(IFERROR(LOOKUP(2,1/($B$9:$B$353=$B354),$AR$9:$AR353),1)),IFERROR(LOOKUP(2,1/($B$9:$B$353=$B354),$T$9:$T353),0)=0)),ROW(),0))</f>
        <v>0</v>
      </c>
      <c r="AY354" t="str">
        <f t="shared" si="101"/>
        <v/>
      </c>
    </row>
    <row r="355" spans="1:51" ht="15" x14ac:dyDescent="0.25">
      <c r="A355" s="41" t="str">
        <f>IF(Trades!$A355="","",Trades!O355)</f>
        <v/>
      </c>
      <c r="B355" s="41" t="str">
        <f>IF(Trades!$A355="","",Trades!B355)</f>
        <v/>
      </c>
      <c r="C355" s="41" t="str">
        <f>IF(Trades!$A355="","",Trades!C355)</f>
        <v/>
      </c>
      <c r="D355" s="42" t="str">
        <f>IF(Trades!$A355="","",IF(Trades!$L355&gt;0,Trades!$L355,Trades!$C$6))</f>
        <v/>
      </c>
      <c r="E355" s="43" t="str">
        <f>IF(Trades!$A355="","",Trades!A355)</f>
        <v/>
      </c>
      <c r="F355" s="41" t="str">
        <f>IF(Trades!$A355="","",IFERROR(INDEX(Trades!$V$2:$V$14,MATCH(Trades!$E355,Trades!$U$2:$U$14,0)),""))</f>
        <v/>
      </c>
      <c r="G355" s="41" t="str">
        <f>IF(Trades!$A355="","",Trades!N355)</f>
        <v/>
      </c>
      <c r="H355" s="42" t="str">
        <f>IF(Trades!$A355="","",Trades!F355)</f>
        <v/>
      </c>
      <c r="I355" s="44" t="str">
        <f>IF(Trades!$A355="","",Trades!G355)</f>
        <v/>
      </c>
      <c r="J355" s="44" t="str">
        <f>IF(Trades!$A355="","",Trades!I355)</f>
        <v/>
      </c>
      <c r="K355" s="44" t="str">
        <f>IF(Trades!$A355="","",Trades!Q355)</f>
        <v/>
      </c>
      <c r="L355" s="42" t="str">
        <f>IF(Trades!$A355="","",Trades!F355)</f>
        <v/>
      </c>
      <c r="M355" s="44" t="str">
        <f>IF(Trades!$A355="","",Trades!M355)</f>
        <v/>
      </c>
      <c r="N355" s="44" t="str">
        <f>IF(Trades!$A355="","",Trades!R355)</f>
        <v/>
      </c>
      <c r="O355" s="44" t="str">
        <f>IF(Trades!$A355="","",Trades!J355)</f>
        <v/>
      </c>
      <c r="P355" s="43" t="str">
        <f>IF(Trades!$A355="","",Trades!H355)</f>
        <v/>
      </c>
      <c r="Q355" s="41" t="str">
        <f>IF(Trades!$A355="","",Trades!P355)</f>
        <v/>
      </c>
      <c r="R355" s="45" t="str">
        <f t="shared" si="85"/>
        <v/>
      </c>
      <c r="S355" s="45" t="str">
        <f t="shared" si="86"/>
        <v/>
      </c>
      <c r="T355" s="46" t="str">
        <f>IF(OR($A355="",$B355=""),"",IF(AND(IFERROR(LOOKUP(2,1/($B$9:$B$354=$B355),$AR$9:$AR354),1),NOT(AND(OR($F355="dividend",$F355="fee"),IFERROR(LOOKUP(2,1/($B$9:$B$354=$B355),$T$9:$T354),0)&gt;0))),IFERROR(LOOKUP(2,1/($B$9:$B$354=$B355),$T$9:$T354),0)+1,IFERROR(LOOKUP(2,1/($B$9:$B$354=$B355),$T$9:$T354),0)))</f>
        <v/>
      </c>
      <c r="U355" s="47" t="str">
        <f t="shared" si="87"/>
        <v/>
      </c>
      <c r="V355" s="47" t="str">
        <f>IF($A355="","",IF(OR($B355="",$C355="",$D355="",$E355="",$F355=""),"Missing required field",IF(COUNTIFS($A$9:$A355,$A355,$B$9:$B355,$B355)&gt;1,"Duplicate event ID",IF(AND($E355&lt;&gt;IFERROR(LOOKUP(2,1/($B$9:$B$354=$B355),$E$9:$E354),0),IFERROR(LOOKUP(2,1/($B$9:$B$354=$B355),$E$9:$E354),0)&gt;$E355),"Date out of order",IF(AND(OR($F355="buy_to_close",$F355="expire",$F355="roll",$F355="assignment",$F355="called_away"),$AF355=0),"Unknown lot",IF(OR(AND($F355="assignment",$AF355&gt;0,IF($AF355&gt;0,INDEX($AG$9:$AG$354,$AF355),"")&lt;&gt;"put"),AND($F355="called_away",$AF355&gt;0,IF($AF355&gt;0,INDEX($AG$9:$AG$354,$AF355),"")&lt;&gt;"call")),"Wrong option leg",IF(OR(AND(OR($F355="sell_put",$F355="sell_call"),OR($H355&lt;=0,$I355&lt;=0,$J355&lt;0)),AND(OR($F355="buy_to_close",$F355="expire",$F355="assignment",$F355="called_away"),OR($H355&lt;=0,$J355&lt;0)),AND($F355="roll",OR($H355&lt;=0,$I355&lt;=0,$J355&lt;0,$K355&lt;0)),AND(OR($F355="buy_shares",$F355="sell_shares"),OR($L355&lt;=0,$M355&lt;0)),AND(OR($F355="dividend",$F355="fee"),$N355&lt;0)),"Invalid value",IF(AND(OR($F355="sell_shares",$F355="called_away"),$AL355&lt;IF($F355="called_away",$AE355*$D355,$L355)),"Insufficient shares (capped)",IF(AND(OR($F355="buy_to_close",$F355="expire",$F355="roll",$F355="assignment",$F355="called_away"),$AF355&gt;0,$H355&gt;IF($AF355&gt;0,MAX(0,INDEX($AI$9:$AI$354,$AF355)-SUMIFS($AE$9:$AE$354,$G$9:$G$354,$G355,$B$9:$B$354,$B355)),0)),"Close quantity capped","OK")))))))))</f>
        <v/>
      </c>
      <c r="W355" s="48" t="str">
        <f t="shared" si="88"/>
        <v/>
      </c>
      <c r="X355" s="49" t="str">
        <f t="shared" si="89"/>
        <v/>
      </c>
      <c r="Y355" s="50" t="str">
        <f t="shared" si="90"/>
        <v/>
      </c>
      <c r="Z355" s="50" t="str">
        <f t="shared" si="91"/>
        <v/>
      </c>
      <c r="AA355" s="50" t="str">
        <f t="shared" si="92"/>
        <v/>
      </c>
      <c r="AB355" s="50" t="str">
        <f t="shared" si="93"/>
        <v/>
      </c>
      <c r="AC355" s="50" t="str">
        <f>IF($A355="","",IF($F355="assignment",IF($AF355&gt;0,INDEX($AH$9:$AH$354,$AF355),0)*$AE355*$D355,IF($F355="buy_shares",$M355*$AL355,0)))</f>
        <v/>
      </c>
      <c r="AD355" s="50" t="str">
        <f>IF($A355="","",IF($F355="called_away",IF($AF355&gt;0,INDEX($AH$9:$AH$354,$AF355),0)*$AL355,IF($F355="sell_shares",$M355*$AL355,0)))</f>
        <v/>
      </c>
      <c r="AE355" s="51" t="str">
        <f>IF($A355="","",IF(OR($F355="sell_put",$F355="sell_call"),IF(AND($H355&gt;0,$I355&gt;0,$J355&gt;=0),$H355,0),IF(OR($F355="buy_to_close",$F355="expire",$F355="roll",$F355="assignment",$F355="called_away"),IF(AND($AF355&gt;0,$H355&gt;0,IF($F355="assignment",IF($AF355&gt;0,INDEX($AG$9:$AG$354,$AF355),"")="put",TRUE),IF($F355="called_away",IF($AF355&gt;0,INDEX($AG$9:$AG$354,$AF355),"")="call",TRUE)),MIN($H355,IF($AF355&gt;0,MAX(0,INDEX($AI$9:$AI$354,$AF355)-SUMIFS($AE$9:$AE$354,$G$9:$G$354,$G355,$B$9:$B$354,$B355)),0)),0),0)))</f>
        <v/>
      </c>
      <c r="AF355" t="str">
        <f>IF($A355="","",IFERROR(MATCH(LEN($B355)&amp;":"&amp;$B355&amp;$G355,$AY$9:$AY$354,0),0))</f>
        <v/>
      </c>
      <c r="AG355" t="str">
        <f>IF($A355="","",IF($F355="sell_put","put",IF($F355="sell_call","call",IF($F355="roll",IF($AF355&gt;0,IF($AF355&gt;0,INDEX($AG$9:$AG$354,$AF355),""),""),IF($AF355&gt;0,IF($AF355&gt;0,INDEX($AG$9:$AG$354,$AF355),""),"")))))</f>
        <v/>
      </c>
      <c r="AH355" t="str">
        <f>IF($A355="","",IF(OR($F355="sell_put",$F355="sell_call",$F355="roll"),$I355,IF($AF355&gt;0,IF($AF355&gt;0,INDEX($AH$9:$AH$354,$AF355),0),0)))</f>
        <v/>
      </c>
      <c r="AI355" s="51" t="str">
        <f t="shared" si="94"/>
        <v/>
      </c>
      <c r="AJ355" s="51" t="str">
        <f>IF($A355="","",IFERROR(LOOKUP(2,1/($B$9:$B$354=$B355),$AM$9:$AM354),0))</f>
        <v/>
      </c>
      <c r="AK355" t="str">
        <f>IF($A355="","",IFERROR(LOOKUP(2,1/($B$9:$B$354=$B355),$AN$9:$AN354),0))</f>
        <v/>
      </c>
      <c r="AL355" s="51" t="str">
        <f t="shared" si="95"/>
        <v/>
      </c>
      <c r="AM355" s="51" t="str">
        <f t="shared" si="96"/>
        <v/>
      </c>
      <c r="AN355" t="str">
        <f t="shared" si="97"/>
        <v/>
      </c>
      <c r="AO355" s="50" t="str">
        <f>IF($A355="","",IFERROR(LOOKUP(2,1/($B$9:$B$354=$B355),$AO$9:$AO354),0)+IF($F355="sell_put",$I355*$AE355*$D355,IF($F355="roll",IF($AG355="put",($I355-IF($AF355&gt;0,INDEX($AH$9:$AH$354,$AF355),0))*$AE355*$D355,0),IF(AND(OR($F355="buy_to_close",$F355="expire",$F355="roll",$F355="assignment",$F355="called_away"),$F355&lt;&gt;"roll",$AG355="put"),-IF($AF355&gt;0,INDEX($AH$9:$AH$354,$AF355),0)*$AE355*$D355,0))))</f>
        <v/>
      </c>
      <c r="AP355" s="51" t="str">
        <f>IF($A355="","",IFERROR(LOOKUP(2,1/($B$9:$B$354=$B355),$AP$9:$AP354),0)+IF($F355="sell_put",$AE355*$D355,IF(AND(OR($F355="buy_to_close",$F355="expire",$F355="roll",$F355="assignment",$F355="called_away"),$F355&lt;&gt;"roll",$AG355="put"),-$AE355*$D355,0)))</f>
        <v/>
      </c>
      <c r="AQ355" s="51" t="str">
        <f>IF($A355="","",IFERROR(LOOKUP(2,1/($B$9:$B$354=$B355),$AQ$9:$AQ354),0)+IF(OR($F355="sell_put",$F355="sell_call"),$AE355,0)-IF(AND(OR($F355="buy_to_close",$F355="expire",$F355="roll",$F355="assignment",$F355="called_away"),$F355&lt;&gt;"roll"),$AE355,0))</f>
        <v/>
      </c>
      <c r="AR355" t="str">
        <f t="shared" si="98"/>
        <v/>
      </c>
      <c r="AS355" s="50" t="str">
        <f t="shared" si="99"/>
        <v/>
      </c>
      <c r="AT355" s="50" t="str">
        <f>IF($A355="","",MAX(IF($T355=IFERROR(LOOKUP(2,1/($B$9:$B$354=$B355),$T$9:$T354),0),IFERROR(LOOKUP(2,1/($B$9:$B$354=$B355),$AT$9:$AT354),0),0),$AS355))</f>
        <v/>
      </c>
      <c r="AU355" t="str">
        <f t="shared" si="100"/>
        <v/>
      </c>
      <c r="AV355" s="51">
        <f>IF($AU355="",0,IF(AND(IFERROR(LOOKUP(2,1/($B$9:$B$354=$B355),$AR$9:$AR354),1),NOT(AND(OR($F355="dividend",$F355="fee"),IFERROR(LOOKUP(2,1/($B$9:$B$354=$B355),$T$9:$T354),0)&gt;0))),ROW(),0))</f>
        <v>0</v>
      </c>
      <c r="AW355">
        <f>IF($A355="",0,IF($AV355&gt;0,MAX($AW$9:$AW$354)+1,MAX($AW$9:$AW$354)))</f>
        <v>0</v>
      </c>
      <c r="AX355">
        <f>IF($AU355="",0,IF(AND($AR355,OR(NOT(IFERROR(LOOKUP(2,1/($B$9:$B$354=$B355),$AR$9:$AR354),1)),IFERROR(LOOKUP(2,1/($B$9:$B$354=$B355),$T$9:$T354),0)=0)),ROW(),0))</f>
        <v>0</v>
      </c>
      <c r="AY355" t="str">
        <f t="shared" si="101"/>
        <v/>
      </c>
    </row>
    <row r="356" spans="1:51" ht="15" x14ac:dyDescent="0.25">
      <c r="A356" s="52" t="str">
        <f>IF(Trades!$A356="","",Trades!O356)</f>
        <v/>
      </c>
      <c r="B356" s="52" t="str">
        <f>IF(Trades!$A356="","",Trades!B356)</f>
        <v/>
      </c>
      <c r="C356" s="52" t="str">
        <f>IF(Trades!$A356="","",Trades!C356)</f>
        <v/>
      </c>
      <c r="D356" s="53" t="str">
        <f>IF(Trades!$A356="","",IF(Trades!$L356&gt;0,Trades!$L356,Trades!$C$6))</f>
        <v/>
      </c>
      <c r="E356" s="54" t="str">
        <f>IF(Trades!$A356="","",Trades!A356)</f>
        <v/>
      </c>
      <c r="F356" s="52" t="str">
        <f>IF(Trades!$A356="","",IFERROR(INDEX(Trades!$V$2:$V$14,MATCH(Trades!$E356,Trades!$U$2:$U$14,0)),""))</f>
        <v/>
      </c>
      <c r="G356" s="52" t="str">
        <f>IF(Trades!$A356="","",Trades!N356)</f>
        <v/>
      </c>
      <c r="H356" s="53" t="str">
        <f>IF(Trades!$A356="","",Trades!F356)</f>
        <v/>
      </c>
      <c r="I356" s="55" t="str">
        <f>IF(Trades!$A356="","",Trades!G356)</f>
        <v/>
      </c>
      <c r="J356" s="55" t="str">
        <f>IF(Trades!$A356="","",Trades!I356)</f>
        <v/>
      </c>
      <c r="K356" s="55" t="str">
        <f>IF(Trades!$A356="","",Trades!Q356)</f>
        <v/>
      </c>
      <c r="L356" s="53" t="str">
        <f>IF(Trades!$A356="","",Trades!F356)</f>
        <v/>
      </c>
      <c r="M356" s="55" t="str">
        <f>IF(Trades!$A356="","",Trades!M356)</f>
        <v/>
      </c>
      <c r="N356" s="55" t="str">
        <f>IF(Trades!$A356="","",Trades!R356)</f>
        <v/>
      </c>
      <c r="O356" s="55" t="str">
        <f>IF(Trades!$A356="","",Trades!J356)</f>
        <v/>
      </c>
      <c r="P356" s="54" t="str">
        <f>IF(Trades!$A356="","",Trades!H356)</f>
        <v/>
      </c>
      <c r="Q356" s="52" t="str">
        <f>IF(Trades!$A356="","",Trades!P356)</f>
        <v/>
      </c>
      <c r="R356" s="56" t="str">
        <f t="shared" si="85"/>
        <v/>
      </c>
      <c r="S356" s="56" t="str">
        <f t="shared" si="86"/>
        <v/>
      </c>
      <c r="T356" s="57" t="str">
        <f>IF(OR($A356="",$B356=""),"",IF(AND(IFERROR(LOOKUP(2,1/($B$9:$B$355=$B356),$AR$9:$AR355),1),NOT(AND(OR($F356="dividend",$F356="fee"),IFERROR(LOOKUP(2,1/($B$9:$B$355=$B356),$T$9:$T355),0)&gt;0))),IFERROR(LOOKUP(2,1/($B$9:$B$355=$B356),$T$9:$T355),0)+1,IFERROR(LOOKUP(2,1/($B$9:$B$355=$B356),$T$9:$T355),0)))</f>
        <v/>
      </c>
      <c r="U356" s="58" t="str">
        <f t="shared" si="87"/>
        <v/>
      </c>
      <c r="V356" s="58" t="str">
        <f>IF($A356="","",IF(OR($B356="",$C356="",$D356="",$E356="",$F356=""),"Missing required field",IF(COUNTIFS($A$9:$A356,$A356,$B$9:$B356,$B356)&gt;1,"Duplicate event ID",IF(AND($E356&lt;&gt;IFERROR(LOOKUP(2,1/($B$9:$B$355=$B356),$E$9:$E355),0),IFERROR(LOOKUP(2,1/($B$9:$B$355=$B356),$E$9:$E355),0)&gt;$E356),"Date out of order",IF(AND(OR($F356="buy_to_close",$F356="expire",$F356="roll",$F356="assignment",$F356="called_away"),$AF356=0),"Unknown lot",IF(OR(AND($F356="assignment",$AF356&gt;0,IF($AF356&gt;0,INDEX($AG$9:$AG$355,$AF356),"")&lt;&gt;"put"),AND($F356="called_away",$AF356&gt;0,IF($AF356&gt;0,INDEX($AG$9:$AG$355,$AF356),"")&lt;&gt;"call")),"Wrong option leg",IF(OR(AND(OR($F356="sell_put",$F356="sell_call"),OR($H356&lt;=0,$I356&lt;=0,$J356&lt;0)),AND(OR($F356="buy_to_close",$F356="expire",$F356="assignment",$F356="called_away"),OR($H356&lt;=0,$J356&lt;0)),AND($F356="roll",OR($H356&lt;=0,$I356&lt;=0,$J356&lt;0,$K356&lt;0)),AND(OR($F356="buy_shares",$F356="sell_shares"),OR($L356&lt;=0,$M356&lt;0)),AND(OR($F356="dividend",$F356="fee"),$N356&lt;0)),"Invalid value",IF(AND(OR($F356="sell_shares",$F356="called_away"),$AL356&lt;IF($F356="called_away",$AE356*$D356,$L356)),"Insufficient shares (capped)",IF(AND(OR($F356="buy_to_close",$F356="expire",$F356="roll",$F356="assignment",$F356="called_away"),$AF356&gt;0,$H356&gt;IF($AF356&gt;0,MAX(0,INDEX($AI$9:$AI$355,$AF356)-SUMIFS($AE$9:$AE$355,$G$9:$G$355,$G356,$B$9:$B$355,$B356)),0)),"Close quantity capped","OK")))))))))</f>
        <v/>
      </c>
      <c r="W356" s="59" t="str">
        <f t="shared" si="88"/>
        <v/>
      </c>
      <c r="X356" s="60" t="str">
        <f t="shared" si="89"/>
        <v/>
      </c>
      <c r="Y356" s="50" t="str">
        <f t="shared" si="90"/>
        <v/>
      </c>
      <c r="Z356" s="50" t="str">
        <f t="shared" si="91"/>
        <v/>
      </c>
      <c r="AA356" s="50" t="str">
        <f t="shared" si="92"/>
        <v/>
      </c>
      <c r="AB356" s="50" t="str">
        <f t="shared" si="93"/>
        <v/>
      </c>
      <c r="AC356" s="50" t="str">
        <f>IF($A356="","",IF($F356="assignment",IF($AF356&gt;0,INDEX($AH$9:$AH$355,$AF356),0)*$AE356*$D356,IF($F356="buy_shares",$M356*$AL356,0)))</f>
        <v/>
      </c>
      <c r="AD356" s="50" t="str">
        <f>IF($A356="","",IF($F356="called_away",IF($AF356&gt;0,INDEX($AH$9:$AH$355,$AF356),0)*$AL356,IF($F356="sell_shares",$M356*$AL356,0)))</f>
        <v/>
      </c>
      <c r="AE356" s="51" t="str">
        <f>IF($A356="","",IF(OR($F356="sell_put",$F356="sell_call"),IF(AND($H356&gt;0,$I356&gt;0,$J356&gt;=0),$H356,0),IF(OR($F356="buy_to_close",$F356="expire",$F356="roll",$F356="assignment",$F356="called_away"),IF(AND($AF356&gt;0,$H356&gt;0,IF($F356="assignment",IF($AF356&gt;0,INDEX($AG$9:$AG$355,$AF356),"")="put",TRUE),IF($F356="called_away",IF($AF356&gt;0,INDEX($AG$9:$AG$355,$AF356),"")="call",TRUE)),MIN($H356,IF($AF356&gt;0,MAX(0,INDEX($AI$9:$AI$355,$AF356)-SUMIFS($AE$9:$AE$355,$G$9:$G$355,$G356,$B$9:$B$355,$B356)),0)),0),0)))</f>
        <v/>
      </c>
      <c r="AF356" t="str">
        <f>IF($A356="","",IFERROR(MATCH(LEN($B356)&amp;":"&amp;$B356&amp;$G356,$AY$9:$AY$355,0),0))</f>
        <v/>
      </c>
      <c r="AG356" t="str">
        <f>IF($A356="","",IF($F356="sell_put","put",IF($F356="sell_call","call",IF($F356="roll",IF($AF356&gt;0,IF($AF356&gt;0,INDEX($AG$9:$AG$355,$AF356),""),""),IF($AF356&gt;0,IF($AF356&gt;0,INDEX($AG$9:$AG$355,$AF356),""),"")))))</f>
        <v/>
      </c>
      <c r="AH356" t="str">
        <f>IF($A356="","",IF(OR($F356="sell_put",$F356="sell_call",$F356="roll"),$I356,IF($AF356&gt;0,IF($AF356&gt;0,INDEX($AH$9:$AH$355,$AF356),0),0)))</f>
        <v/>
      </c>
      <c r="AI356" s="51" t="str">
        <f t="shared" si="94"/>
        <v/>
      </c>
      <c r="AJ356" s="51" t="str">
        <f>IF($A356="","",IFERROR(LOOKUP(2,1/($B$9:$B$355=$B356),$AM$9:$AM355),0))</f>
        <v/>
      </c>
      <c r="AK356" t="str">
        <f>IF($A356="","",IFERROR(LOOKUP(2,1/($B$9:$B$355=$B356),$AN$9:$AN355),0))</f>
        <v/>
      </c>
      <c r="AL356" s="51" t="str">
        <f t="shared" si="95"/>
        <v/>
      </c>
      <c r="AM356" s="51" t="str">
        <f t="shared" si="96"/>
        <v/>
      </c>
      <c r="AN356" t="str">
        <f t="shared" si="97"/>
        <v/>
      </c>
      <c r="AO356" s="50" t="str">
        <f>IF($A356="","",IFERROR(LOOKUP(2,1/($B$9:$B$355=$B356),$AO$9:$AO355),0)+IF($F356="sell_put",$I356*$AE356*$D356,IF($F356="roll",IF($AG356="put",($I356-IF($AF356&gt;0,INDEX($AH$9:$AH$355,$AF356),0))*$AE356*$D356,0),IF(AND(OR($F356="buy_to_close",$F356="expire",$F356="roll",$F356="assignment",$F356="called_away"),$F356&lt;&gt;"roll",$AG356="put"),-IF($AF356&gt;0,INDEX($AH$9:$AH$355,$AF356),0)*$AE356*$D356,0))))</f>
        <v/>
      </c>
      <c r="AP356" s="51" t="str">
        <f>IF($A356="","",IFERROR(LOOKUP(2,1/($B$9:$B$355=$B356),$AP$9:$AP355),0)+IF($F356="sell_put",$AE356*$D356,IF(AND(OR($F356="buy_to_close",$F356="expire",$F356="roll",$F356="assignment",$F356="called_away"),$F356&lt;&gt;"roll",$AG356="put"),-$AE356*$D356,0)))</f>
        <v/>
      </c>
      <c r="AQ356" s="51" t="str">
        <f>IF($A356="","",IFERROR(LOOKUP(2,1/($B$9:$B$355=$B356),$AQ$9:$AQ355),0)+IF(OR($F356="sell_put",$F356="sell_call"),$AE356,0)-IF(AND(OR($F356="buy_to_close",$F356="expire",$F356="roll",$F356="assignment",$F356="called_away"),$F356&lt;&gt;"roll"),$AE356,0))</f>
        <v/>
      </c>
      <c r="AR356" t="str">
        <f t="shared" si="98"/>
        <v/>
      </c>
      <c r="AS356" s="50" t="str">
        <f t="shared" si="99"/>
        <v/>
      </c>
      <c r="AT356" s="50" t="str">
        <f>IF($A356="","",MAX(IF($T356=IFERROR(LOOKUP(2,1/($B$9:$B$355=$B356),$T$9:$T355),0),IFERROR(LOOKUP(2,1/($B$9:$B$355=$B356),$AT$9:$AT355),0),0),$AS356))</f>
        <v/>
      </c>
      <c r="AU356" t="str">
        <f t="shared" si="100"/>
        <v/>
      </c>
      <c r="AV356" s="51">
        <f>IF($AU356="",0,IF(AND(IFERROR(LOOKUP(2,1/($B$9:$B$355=$B356),$AR$9:$AR355),1),NOT(AND(OR($F356="dividend",$F356="fee"),IFERROR(LOOKUP(2,1/($B$9:$B$355=$B356),$T$9:$T355),0)&gt;0))),ROW(),0))</f>
        <v>0</v>
      </c>
      <c r="AW356">
        <f>IF($A356="",0,IF($AV356&gt;0,MAX($AW$9:$AW$355)+1,MAX($AW$9:$AW$355)))</f>
        <v>0</v>
      </c>
      <c r="AX356">
        <f>IF($AU356="",0,IF(AND($AR356,OR(NOT(IFERROR(LOOKUP(2,1/($B$9:$B$355=$B356),$AR$9:$AR355),1)),IFERROR(LOOKUP(2,1/($B$9:$B$355=$B356),$T$9:$T355),0)=0)),ROW(),0))</f>
        <v>0</v>
      </c>
      <c r="AY356" t="str">
        <f t="shared" si="101"/>
        <v/>
      </c>
    </row>
    <row r="357" spans="1:51" ht="15" x14ac:dyDescent="0.25">
      <c r="A357" s="41" t="str">
        <f>IF(Trades!$A357="","",Trades!O357)</f>
        <v/>
      </c>
      <c r="B357" s="41" t="str">
        <f>IF(Trades!$A357="","",Trades!B357)</f>
        <v/>
      </c>
      <c r="C357" s="41" t="str">
        <f>IF(Trades!$A357="","",Trades!C357)</f>
        <v/>
      </c>
      <c r="D357" s="42" t="str">
        <f>IF(Trades!$A357="","",IF(Trades!$L357&gt;0,Trades!$L357,Trades!$C$6))</f>
        <v/>
      </c>
      <c r="E357" s="43" t="str">
        <f>IF(Trades!$A357="","",Trades!A357)</f>
        <v/>
      </c>
      <c r="F357" s="41" t="str">
        <f>IF(Trades!$A357="","",IFERROR(INDEX(Trades!$V$2:$V$14,MATCH(Trades!$E357,Trades!$U$2:$U$14,0)),""))</f>
        <v/>
      </c>
      <c r="G357" s="41" t="str">
        <f>IF(Trades!$A357="","",Trades!N357)</f>
        <v/>
      </c>
      <c r="H357" s="42" t="str">
        <f>IF(Trades!$A357="","",Trades!F357)</f>
        <v/>
      </c>
      <c r="I357" s="44" t="str">
        <f>IF(Trades!$A357="","",Trades!G357)</f>
        <v/>
      </c>
      <c r="J357" s="44" t="str">
        <f>IF(Trades!$A357="","",Trades!I357)</f>
        <v/>
      </c>
      <c r="K357" s="44" t="str">
        <f>IF(Trades!$A357="","",Trades!Q357)</f>
        <v/>
      </c>
      <c r="L357" s="42" t="str">
        <f>IF(Trades!$A357="","",Trades!F357)</f>
        <v/>
      </c>
      <c r="M357" s="44" t="str">
        <f>IF(Trades!$A357="","",Trades!M357)</f>
        <v/>
      </c>
      <c r="N357" s="44" t="str">
        <f>IF(Trades!$A357="","",Trades!R357)</f>
        <v/>
      </c>
      <c r="O357" s="44" t="str">
        <f>IF(Trades!$A357="","",Trades!J357)</f>
        <v/>
      </c>
      <c r="P357" s="43" t="str">
        <f>IF(Trades!$A357="","",Trades!H357)</f>
        <v/>
      </c>
      <c r="Q357" s="41" t="str">
        <f>IF(Trades!$A357="","",Trades!P357)</f>
        <v/>
      </c>
      <c r="R357" s="45" t="str">
        <f t="shared" si="85"/>
        <v/>
      </c>
      <c r="S357" s="45" t="str">
        <f t="shared" si="86"/>
        <v/>
      </c>
      <c r="T357" s="46" t="str">
        <f>IF(OR($A357="",$B357=""),"",IF(AND(IFERROR(LOOKUP(2,1/($B$9:$B$356=$B357),$AR$9:$AR356),1),NOT(AND(OR($F357="dividend",$F357="fee"),IFERROR(LOOKUP(2,1/($B$9:$B$356=$B357),$T$9:$T356),0)&gt;0))),IFERROR(LOOKUP(2,1/($B$9:$B$356=$B357),$T$9:$T356),0)+1,IFERROR(LOOKUP(2,1/($B$9:$B$356=$B357),$T$9:$T356),0)))</f>
        <v/>
      </c>
      <c r="U357" s="47" t="str">
        <f t="shared" si="87"/>
        <v/>
      </c>
      <c r="V357" s="47" t="str">
        <f>IF($A357="","",IF(OR($B357="",$C357="",$D357="",$E357="",$F357=""),"Missing required field",IF(COUNTIFS($A$9:$A357,$A357,$B$9:$B357,$B357)&gt;1,"Duplicate event ID",IF(AND($E357&lt;&gt;IFERROR(LOOKUP(2,1/($B$9:$B$356=$B357),$E$9:$E356),0),IFERROR(LOOKUP(2,1/($B$9:$B$356=$B357),$E$9:$E356),0)&gt;$E357),"Date out of order",IF(AND(OR($F357="buy_to_close",$F357="expire",$F357="roll",$F357="assignment",$F357="called_away"),$AF357=0),"Unknown lot",IF(OR(AND($F357="assignment",$AF357&gt;0,IF($AF357&gt;0,INDEX($AG$9:$AG$356,$AF357),"")&lt;&gt;"put"),AND($F357="called_away",$AF357&gt;0,IF($AF357&gt;0,INDEX($AG$9:$AG$356,$AF357),"")&lt;&gt;"call")),"Wrong option leg",IF(OR(AND(OR($F357="sell_put",$F357="sell_call"),OR($H357&lt;=0,$I357&lt;=0,$J357&lt;0)),AND(OR($F357="buy_to_close",$F357="expire",$F357="assignment",$F357="called_away"),OR($H357&lt;=0,$J357&lt;0)),AND($F357="roll",OR($H357&lt;=0,$I357&lt;=0,$J357&lt;0,$K357&lt;0)),AND(OR($F357="buy_shares",$F357="sell_shares"),OR($L357&lt;=0,$M357&lt;0)),AND(OR($F357="dividend",$F357="fee"),$N357&lt;0)),"Invalid value",IF(AND(OR($F357="sell_shares",$F357="called_away"),$AL357&lt;IF($F357="called_away",$AE357*$D357,$L357)),"Insufficient shares (capped)",IF(AND(OR($F357="buy_to_close",$F357="expire",$F357="roll",$F357="assignment",$F357="called_away"),$AF357&gt;0,$H357&gt;IF($AF357&gt;0,MAX(0,INDEX($AI$9:$AI$356,$AF357)-SUMIFS($AE$9:$AE$356,$G$9:$G$356,$G357,$B$9:$B$356,$B357)),0)),"Close quantity capped","OK")))))))))</f>
        <v/>
      </c>
      <c r="W357" s="48" t="str">
        <f t="shared" si="88"/>
        <v/>
      </c>
      <c r="X357" s="49" t="str">
        <f t="shared" si="89"/>
        <v/>
      </c>
      <c r="Y357" s="50" t="str">
        <f t="shared" si="90"/>
        <v/>
      </c>
      <c r="Z357" s="50" t="str">
        <f t="shared" si="91"/>
        <v/>
      </c>
      <c r="AA357" s="50" t="str">
        <f t="shared" si="92"/>
        <v/>
      </c>
      <c r="AB357" s="50" t="str">
        <f t="shared" si="93"/>
        <v/>
      </c>
      <c r="AC357" s="50" t="str">
        <f>IF($A357="","",IF($F357="assignment",IF($AF357&gt;0,INDEX($AH$9:$AH$356,$AF357),0)*$AE357*$D357,IF($F357="buy_shares",$M357*$AL357,0)))</f>
        <v/>
      </c>
      <c r="AD357" s="50" t="str">
        <f>IF($A357="","",IF($F357="called_away",IF($AF357&gt;0,INDEX($AH$9:$AH$356,$AF357),0)*$AL357,IF($F357="sell_shares",$M357*$AL357,0)))</f>
        <v/>
      </c>
      <c r="AE357" s="51" t="str">
        <f>IF($A357="","",IF(OR($F357="sell_put",$F357="sell_call"),IF(AND($H357&gt;0,$I357&gt;0,$J357&gt;=0),$H357,0),IF(OR($F357="buy_to_close",$F357="expire",$F357="roll",$F357="assignment",$F357="called_away"),IF(AND($AF357&gt;0,$H357&gt;0,IF($F357="assignment",IF($AF357&gt;0,INDEX($AG$9:$AG$356,$AF357),"")="put",TRUE),IF($F357="called_away",IF($AF357&gt;0,INDEX($AG$9:$AG$356,$AF357),"")="call",TRUE)),MIN($H357,IF($AF357&gt;0,MAX(0,INDEX($AI$9:$AI$356,$AF357)-SUMIFS($AE$9:$AE$356,$G$9:$G$356,$G357,$B$9:$B$356,$B357)),0)),0),0)))</f>
        <v/>
      </c>
      <c r="AF357" t="str">
        <f>IF($A357="","",IFERROR(MATCH(LEN($B357)&amp;":"&amp;$B357&amp;$G357,$AY$9:$AY$356,0),0))</f>
        <v/>
      </c>
      <c r="AG357" t="str">
        <f>IF($A357="","",IF($F357="sell_put","put",IF($F357="sell_call","call",IF($F357="roll",IF($AF357&gt;0,IF($AF357&gt;0,INDEX($AG$9:$AG$356,$AF357),""),""),IF($AF357&gt;0,IF($AF357&gt;0,INDEX($AG$9:$AG$356,$AF357),""),"")))))</f>
        <v/>
      </c>
      <c r="AH357" t="str">
        <f>IF($A357="","",IF(OR($F357="sell_put",$F357="sell_call",$F357="roll"),$I357,IF($AF357&gt;0,IF($AF357&gt;0,INDEX($AH$9:$AH$356,$AF357),0),0)))</f>
        <v/>
      </c>
      <c r="AI357" s="51" t="str">
        <f t="shared" si="94"/>
        <v/>
      </c>
      <c r="AJ357" s="51" t="str">
        <f>IF($A357="","",IFERROR(LOOKUP(2,1/($B$9:$B$356=$B357),$AM$9:$AM356),0))</f>
        <v/>
      </c>
      <c r="AK357" t="str">
        <f>IF($A357="","",IFERROR(LOOKUP(2,1/($B$9:$B$356=$B357),$AN$9:$AN356),0))</f>
        <v/>
      </c>
      <c r="AL357" s="51" t="str">
        <f t="shared" si="95"/>
        <v/>
      </c>
      <c r="AM357" s="51" t="str">
        <f t="shared" si="96"/>
        <v/>
      </c>
      <c r="AN357" t="str">
        <f t="shared" si="97"/>
        <v/>
      </c>
      <c r="AO357" s="50" t="str">
        <f>IF($A357="","",IFERROR(LOOKUP(2,1/($B$9:$B$356=$B357),$AO$9:$AO356),0)+IF($F357="sell_put",$I357*$AE357*$D357,IF($F357="roll",IF($AG357="put",($I357-IF($AF357&gt;0,INDEX($AH$9:$AH$356,$AF357),0))*$AE357*$D357,0),IF(AND(OR($F357="buy_to_close",$F357="expire",$F357="roll",$F357="assignment",$F357="called_away"),$F357&lt;&gt;"roll",$AG357="put"),-IF($AF357&gt;0,INDEX($AH$9:$AH$356,$AF357),0)*$AE357*$D357,0))))</f>
        <v/>
      </c>
      <c r="AP357" s="51" t="str">
        <f>IF($A357="","",IFERROR(LOOKUP(2,1/($B$9:$B$356=$B357),$AP$9:$AP356),0)+IF($F357="sell_put",$AE357*$D357,IF(AND(OR($F357="buy_to_close",$F357="expire",$F357="roll",$F357="assignment",$F357="called_away"),$F357&lt;&gt;"roll",$AG357="put"),-$AE357*$D357,0)))</f>
        <v/>
      </c>
      <c r="AQ357" s="51" t="str">
        <f>IF($A357="","",IFERROR(LOOKUP(2,1/($B$9:$B$356=$B357),$AQ$9:$AQ356),0)+IF(OR($F357="sell_put",$F357="sell_call"),$AE357,0)-IF(AND(OR($F357="buy_to_close",$F357="expire",$F357="roll",$F357="assignment",$F357="called_away"),$F357&lt;&gt;"roll"),$AE357,0))</f>
        <v/>
      </c>
      <c r="AR357" t="str">
        <f t="shared" si="98"/>
        <v/>
      </c>
      <c r="AS357" s="50" t="str">
        <f t="shared" si="99"/>
        <v/>
      </c>
      <c r="AT357" s="50" t="str">
        <f>IF($A357="","",MAX(IF($T357=IFERROR(LOOKUP(2,1/($B$9:$B$356=$B357),$T$9:$T356),0),IFERROR(LOOKUP(2,1/($B$9:$B$356=$B357),$AT$9:$AT356),0),0),$AS357))</f>
        <v/>
      </c>
      <c r="AU357" t="str">
        <f t="shared" si="100"/>
        <v/>
      </c>
      <c r="AV357" s="51">
        <f>IF($AU357="",0,IF(AND(IFERROR(LOOKUP(2,1/($B$9:$B$356=$B357),$AR$9:$AR356),1),NOT(AND(OR($F357="dividend",$F357="fee"),IFERROR(LOOKUP(2,1/($B$9:$B$356=$B357),$T$9:$T356),0)&gt;0))),ROW(),0))</f>
        <v>0</v>
      </c>
      <c r="AW357">
        <f>IF($A357="",0,IF($AV357&gt;0,MAX($AW$9:$AW$356)+1,MAX($AW$9:$AW$356)))</f>
        <v>0</v>
      </c>
      <c r="AX357">
        <f>IF($AU357="",0,IF(AND($AR357,OR(NOT(IFERROR(LOOKUP(2,1/($B$9:$B$356=$B357),$AR$9:$AR356),1)),IFERROR(LOOKUP(2,1/($B$9:$B$356=$B357),$T$9:$T356),0)=0)),ROW(),0))</f>
        <v>0</v>
      </c>
      <c r="AY357" t="str">
        <f t="shared" si="101"/>
        <v/>
      </c>
    </row>
    <row r="358" spans="1:51" ht="15" x14ac:dyDescent="0.25">
      <c r="A358" s="52" t="str">
        <f>IF(Trades!$A358="","",Trades!O358)</f>
        <v/>
      </c>
      <c r="B358" s="52" t="str">
        <f>IF(Trades!$A358="","",Trades!B358)</f>
        <v/>
      </c>
      <c r="C358" s="52" t="str">
        <f>IF(Trades!$A358="","",Trades!C358)</f>
        <v/>
      </c>
      <c r="D358" s="53" t="str">
        <f>IF(Trades!$A358="","",IF(Trades!$L358&gt;0,Trades!$L358,Trades!$C$6))</f>
        <v/>
      </c>
      <c r="E358" s="54" t="str">
        <f>IF(Trades!$A358="","",Trades!A358)</f>
        <v/>
      </c>
      <c r="F358" s="52" t="str">
        <f>IF(Trades!$A358="","",IFERROR(INDEX(Trades!$V$2:$V$14,MATCH(Trades!$E358,Trades!$U$2:$U$14,0)),""))</f>
        <v/>
      </c>
      <c r="G358" s="52" t="str">
        <f>IF(Trades!$A358="","",Trades!N358)</f>
        <v/>
      </c>
      <c r="H358" s="53" t="str">
        <f>IF(Trades!$A358="","",Trades!F358)</f>
        <v/>
      </c>
      <c r="I358" s="55" t="str">
        <f>IF(Trades!$A358="","",Trades!G358)</f>
        <v/>
      </c>
      <c r="J358" s="55" t="str">
        <f>IF(Trades!$A358="","",Trades!I358)</f>
        <v/>
      </c>
      <c r="K358" s="55" t="str">
        <f>IF(Trades!$A358="","",Trades!Q358)</f>
        <v/>
      </c>
      <c r="L358" s="53" t="str">
        <f>IF(Trades!$A358="","",Trades!F358)</f>
        <v/>
      </c>
      <c r="M358" s="55" t="str">
        <f>IF(Trades!$A358="","",Trades!M358)</f>
        <v/>
      </c>
      <c r="N358" s="55" t="str">
        <f>IF(Trades!$A358="","",Trades!R358)</f>
        <v/>
      </c>
      <c r="O358" s="55" t="str">
        <f>IF(Trades!$A358="","",Trades!J358)</f>
        <v/>
      </c>
      <c r="P358" s="54" t="str">
        <f>IF(Trades!$A358="","",Trades!H358)</f>
        <v/>
      </c>
      <c r="Q358" s="52" t="str">
        <f>IF(Trades!$A358="","",Trades!P358)</f>
        <v/>
      </c>
      <c r="R358" s="56" t="str">
        <f t="shared" si="85"/>
        <v/>
      </c>
      <c r="S358" s="56" t="str">
        <f t="shared" si="86"/>
        <v/>
      </c>
      <c r="T358" s="57" t="str">
        <f>IF(OR($A358="",$B358=""),"",IF(AND(IFERROR(LOOKUP(2,1/($B$9:$B$357=$B358),$AR$9:$AR357),1),NOT(AND(OR($F358="dividend",$F358="fee"),IFERROR(LOOKUP(2,1/($B$9:$B$357=$B358),$T$9:$T357),0)&gt;0))),IFERROR(LOOKUP(2,1/($B$9:$B$357=$B358),$T$9:$T357),0)+1,IFERROR(LOOKUP(2,1/($B$9:$B$357=$B358),$T$9:$T357),0)))</f>
        <v/>
      </c>
      <c r="U358" s="58" t="str">
        <f t="shared" si="87"/>
        <v/>
      </c>
      <c r="V358" s="58" t="str">
        <f>IF($A358="","",IF(OR($B358="",$C358="",$D358="",$E358="",$F358=""),"Missing required field",IF(COUNTIFS($A$9:$A358,$A358,$B$9:$B358,$B358)&gt;1,"Duplicate event ID",IF(AND($E358&lt;&gt;IFERROR(LOOKUP(2,1/($B$9:$B$357=$B358),$E$9:$E357),0),IFERROR(LOOKUP(2,1/($B$9:$B$357=$B358),$E$9:$E357),0)&gt;$E358),"Date out of order",IF(AND(OR($F358="buy_to_close",$F358="expire",$F358="roll",$F358="assignment",$F358="called_away"),$AF358=0),"Unknown lot",IF(OR(AND($F358="assignment",$AF358&gt;0,IF($AF358&gt;0,INDEX($AG$9:$AG$357,$AF358),"")&lt;&gt;"put"),AND($F358="called_away",$AF358&gt;0,IF($AF358&gt;0,INDEX($AG$9:$AG$357,$AF358),"")&lt;&gt;"call")),"Wrong option leg",IF(OR(AND(OR($F358="sell_put",$F358="sell_call"),OR($H358&lt;=0,$I358&lt;=0,$J358&lt;0)),AND(OR($F358="buy_to_close",$F358="expire",$F358="assignment",$F358="called_away"),OR($H358&lt;=0,$J358&lt;0)),AND($F358="roll",OR($H358&lt;=0,$I358&lt;=0,$J358&lt;0,$K358&lt;0)),AND(OR($F358="buy_shares",$F358="sell_shares"),OR($L358&lt;=0,$M358&lt;0)),AND(OR($F358="dividend",$F358="fee"),$N358&lt;0)),"Invalid value",IF(AND(OR($F358="sell_shares",$F358="called_away"),$AL358&lt;IF($F358="called_away",$AE358*$D358,$L358)),"Insufficient shares (capped)",IF(AND(OR($F358="buy_to_close",$F358="expire",$F358="roll",$F358="assignment",$F358="called_away"),$AF358&gt;0,$H358&gt;IF($AF358&gt;0,MAX(0,INDEX($AI$9:$AI$357,$AF358)-SUMIFS($AE$9:$AE$357,$G$9:$G$357,$G358,$B$9:$B$357,$B358)),0)),"Close quantity capped","OK")))))))))</f>
        <v/>
      </c>
      <c r="W358" s="59" t="str">
        <f t="shared" si="88"/>
        <v/>
      </c>
      <c r="X358" s="60" t="str">
        <f t="shared" si="89"/>
        <v/>
      </c>
      <c r="Y358" s="50" t="str">
        <f t="shared" si="90"/>
        <v/>
      </c>
      <c r="Z358" s="50" t="str">
        <f t="shared" si="91"/>
        <v/>
      </c>
      <c r="AA358" s="50" t="str">
        <f t="shared" si="92"/>
        <v/>
      </c>
      <c r="AB358" s="50" t="str">
        <f t="shared" si="93"/>
        <v/>
      </c>
      <c r="AC358" s="50" t="str">
        <f>IF($A358="","",IF($F358="assignment",IF($AF358&gt;0,INDEX($AH$9:$AH$357,$AF358),0)*$AE358*$D358,IF($F358="buy_shares",$M358*$AL358,0)))</f>
        <v/>
      </c>
      <c r="AD358" s="50" t="str">
        <f>IF($A358="","",IF($F358="called_away",IF($AF358&gt;0,INDEX($AH$9:$AH$357,$AF358),0)*$AL358,IF($F358="sell_shares",$M358*$AL358,0)))</f>
        <v/>
      </c>
      <c r="AE358" s="51" t="str">
        <f>IF($A358="","",IF(OR($F358="sell_put",$F358="sell_call"),IF(AND($H358&gt;0,$I358&gt;0,$J358&gt;=0),$H358,0),IF(OR($F358="buy_to_close",$F358="expire",$F358="roll",$F358="assignment",$F358="called_away"),IF(AND($AF358&gt;0,$H358&gt;0,IF($F358="assignment",IF($AF358&gt;0,INDEX($AG$9:$AG$357,$AF358),"")="put",TRUE),IF($F358="called_away",IF($AF358&gt;0,INDEX($AG$9:$AG$357,$AF358),"")="call",TRUE)),MIN($H358,IF($AF358&gt;0,MAX(0,INDEX($AI$9:$AI$357,$AF358)-SUMIFS($AE$9:$AE$357,$G$9:$G$357,$G358,$B$9:$B$357,$B358)),0)),0),0)))</f>
        <v/>
      </c>
      <c r="AF358" t="str">
        <f>IF($A358="","",IFERROR(MATCH(LEN($B358)&amp;":"&amp;$B358&amp;$G358,$AY$9:$AY$357,0),0))</f>
        <v/>
      </c>
      <c r="AG358" t="str">
        <f>IF($A358="","",IF($F358="sell_put","put",IF($F358="sell_call","call",IF($F358="roll",IF($AF358&gt;0,IF($AF358&gt;0,INDEX($AG$9:$AG$357,$AF358),""),""),IF($AF358&gt;0,IF($AF358&gt;0,INDEX($AG$9:$AG$357,$AF358),""),"")))))</f>
        <v/>
      </c>
      <c r="AH358" t="str">
        <f>IF($A358="","",IF(OR($F358="sell_put",$F358="sell_call",$F358="roll"),$I358,IF($AF358&gt;0,IF($AF358&gt;0,INDEX($AH$9:$AH$357,$AF358),0),0)))</f>
        <v/>
      </c>
      <c r="AI358" s="51" t="str">
        <f t="shared" si="94"/>
        <v/>
      </c>
      <c r="AJ358" s="51" t="str">
        <f>IF($A358="","",IFERROR(LOOKUP(2,1/($B$9:$B$357=$B358),$AM$9:$AM357),0))</f>
        <v/>
      </c>
      <c r="AK358" t="str">
        <f>IF($A358="","",IFERROR(LOOKUP(2,1/($B$9:$B$357=$B358),$AN$9:$AN357),0))</f>
        <v/>
      </c>
      <c r="AL358" s="51" t="str">
        <f t="shared" si="95"/>
        <v/>
      </c>
      <c r="AM358" s="51" t="str">
        <f t="shared" si="96"/>
        <v/>
      </c>
      <c r="AN358" t="str">
        <f t="shared" si="97"/>
        <v/>
      </c>
      <c r="AO358" s="50" t="str">
        <f>IF($A358="","",IFERROR(LOOKUP(2,1/($B$9:$B$357=$B358),$AO$9:$AO357),0)+IF($F358="sell_put",$I358*$AE358*$D358,IF($F358="roll",IF($AG358="put",($I358-IF($AF358&gt;0,INDEX($AH$9:$AH$357,$AF358),0))*$AE358*$D358,0),IF(AND(OR($F358="buy_to_close",$F358="expire",$F358="roll",$F358="assignment",$F358="called_away"),$F358&lt;&gt;"roll",$AG358="put"),-IF($AF358&gt;0,INDEX($AH$9:$AH$357,$AF358),0)*$AE358*$D358,0))))</f>
        <v/>
      </c>
      <c r="AP358" s="51" t="str">
        <f>IF($A358="","",IFERROR(LOOKUP(2,1/($B$9:$B$357=$B358),$AP$9:$AP357),0)+IF($F358="sell_put",$AE358*$D358,IF(AND(OR($F358="buy_to_close",$F358="expire",$F358="roll",$F358="assignment",$F358="called_away"),$F358&lt;&gt;"roll",$AG358="put"),-$AE358*$D358,0)))</f>
        <v/>
      </c>
      <c r="AQ358" s="51" t="str">
        <f>IF($A358="","",IFERROR(LOOKUP(2,1/($B$9:$B$357=$B358),$AQ$9:$AQ357),0)+IF(OR($F358="sell_put",$F358="sell_call"),$AE358,0)-IF(AND(OR($F358="buy_to_close",$F358="expire",$F358="roll",$F358="assignment",$F358="called_away"),$F358&lt;&gt;"roll"),$AE358,0))</f>
        <v/>
      </c>
      <c r="AR358" t="str">
        <f t="shared" si="98"/>
        <v/>
      </c>
      <c r="AS358" s="50" t="str">
        <f t="shared" si="99"/>
        <v/>
      </c>
      <c r="AT358" s="50" t="str">
        <f>IF($A358="","",MAX(IF($T358=IFERROR(LOOKUP(2,1/($B$9:$B$357=$B358),$T$9:$T357),0),IFERROR(LOOKUP(2,1/($B$9:$B$357=$B358),$AT$9:$AT357),0),0),$AS358))</f>
        <v/>
      </c>
      <c r="AU358" t="str">
        <f t="shared" si="100"/>
        <v/>
      </c>
      <c r="AV358" s="51">
        <f>IF($AU358="",0,IF(AND(IFERROR(LOOKUP(2,1/($B$9:$B$357=$B358),$AR$9:$AR357),1),NOT(AND(OR($F358="dividend",$F358="fee"),IFERROR(LOOKUP(2,1/($B$9:$B$357=$B358),$T$9:$T357),0)&gt;0))),ROW(),0))</f>
        <v>0</v>
      </c>
      <c r="AW358">
        <f>IF($A358="",0,IF($AV358&gt;0,MAX($AW$9:$AW$357)+1,MAX($AW$9:$AW$357)))</f>
        <v>0</v>
      </c>
      <c r="AX358">
        <f>IF($AU358="",0,IF(AND($AR358,OR(NOT(IFERROR(LOOKUP(2,1/($B$9:$B$357=$B358),$AR$9:$AR357),1)),IFERROR(LOOKUP(2,1/($B$9:$B$357=$B358),$T$9:$T357),0)=0)),ROW(),0))</f>
        <v>0</v>
      </c>
      <c r="AY358" t="str">
        <f t="shared" si="101"/>
        <v/>
      </c>
    </row>
    <row r="359" spans="1:51" ht="15" x14ac:dyDescent="0.25">
      <c r="A359" s="41" t="str">
        <f>IF(Trades!$A359="","",Trades!O359)</f>
        <v/>
      </c>
      <c r="B359" s="41" t="str">
        <f>IF(Trades!$A359="","",Trades!B359)</f>
        <v/>
      </c>
      <c r="C359" s="41" t="str">
        <f>IF(Trades!$A359="","",Trades!C359)</f>
        <v/>
      </c>
      <c r="D359" s="42" t="str">
        <f>IF(Trades!$A359="","",IF(Trades!$L359&gt;0,Trades!$L359,Trades!$C$6))</f>
        <v/>
      </c>
      <c r="E359" s="43" t="str">
        <f>IF(Trades!$A359="","",Trades!A359)</f>
        <v/>
      </c>
      <c r="F359" s="41" t="str">
        <f>IF(Trades!$A359="","",IFERROR(INDEX(Trades!$V$2:$V$14,MATCH(Trades!$E359,Trades!$U$2:$U$14,0)),""))</f>
        <v/>
      </c>
      <c r="G359" s="41" t="str">
        <f>IF(Trades!$A359="","",Trades!N359)</f>
        <v/>
      </c>
      <c r="H359" s="42" t="str">
        <f>IF(Trades!$A359="","",Trades!F359)</f>
        <v/>
      </c>
      <c r="I359" s="44" t="str">
        <f>IF(Trades!$A359="","",Trades!G359)</f>
        <v/>
      </c>
      <c r="J359" s="44" t="str">
        <f>IF(Trades!$A359="","",Trades!I359)</f>
        <v/>
      </c>
      <c r="K359" s="44" t="str">
        <f>IF(Trades!$A359="","",Trades!Q359)</f>
        <v/>
      </c>
      <c r="L359" s="42" t="str">
        <f>IF(Trades!$A359="","",Trades!F359)</f>
        <v/>
      </c>
      <c r="M359" s="44" t="str">
        <f>IF(Trades!$A359="","",Trades!M359)</f>
        <v/>
      </c>
      <c r="N359" s="44" t="str">
        <f>IF(Trades!$A359="","",Trades!R359)</f>
        <v/>
      </c>
      <c r="O359" s="44" t="str">
        <f>IF(Trades!$A359="","",Trades!J359)</f>
        <v/>
      </c>
      <c r="P359" s="43" t="str">
        <f>IF(Trades!$A359="","",Trades!H359)</f>
        <v/>
      </c>
      <c r="Q359" s="41" t="str">
        <f>IF(Trades!$A359="","",Trades!P359)</f>
        <v/>
      </c>
      <c r="R359" s="45" t="str">
        <f t="shared" si="85"/>
        <v/>
      </c>
      <c r="S359" s="45" t="str">
        <f t="shared" si="86"/>
        <v/>
      </c>
      <c r="T359" s="46" t="str">
        <f>IF(OR($A359="",$B359=""),"",IF(AND(IFERROR(LOOKUP(2,1/($B$9:$B$358=$B359),$AR$9:$AR358),1),NOT(AND(OR($F359="dividend",$F359="fee"),IFERROR(LOOKUP(2,1/($B$9:$B$358=$B359),$T$9:$T358),0)&gt;0))),IFERROR(LOOKUP(2,1/($B$9:$B$358=$B359),$T$9:$T358),0)+1,IFERROR(LOOKUP(2,1/($B$9:$B$358=$B359),$T$9:$T358),0)))</f>
        <v/>
      </c>
      <c r="U359" s="47" t="str">
        <f t="shared" si="87"/>
        <v/>
      </c>
      <c r="V359" s="47" t="str">
        <f>IF($A359="","",IF(OR($B359="",$C359="",$D359="",$E359="",$F359=""),"Missing required field",IF(COUNTIFS($A$9:$A359,$A359,$B$9:$B359,$B359)&gt;1,"Duplicate event ID",IF(AND($E359&lt;&gt;IFERROR(LOOKUP(2,1/($B$9:$B$358=$B359),$E$9:$E358),0),IFERROR(LOOKUP(2,1/($B$9:$B$358=$B359),$E$9:$E358),0)&gt;$E359),"Date out of order",IF(AND(OR($F359="buy_to_close",$F359="expire",$F359="roll",$F359="assignment",$F359="called_away"),$AF359=0),"Unknown lot",IF(OR(AND($F359="assignment",$AF359&gt;0,IF($AF359&gt;0,INDEX($AG$9:$AG$358,$AF359),"")&lt;&gt;"put"),AND($F359="called_away",$AF359&gt;0,IF($AF359&gt;0,INDEX($AG$9:$AG$358,$AF359),"")&lt;&gt;"call")),"Wrong option leg",IF(OR(AND(OR($F359="sell_put",$F359="sell_call"),OR($H359&lt;=0,$I359&lt;=0,$J359&lt;0)),AND(OR($F359="buy_to_close",$F359="expire",$F359="assignment",$F359="called_away"),OR($H359&lt;=0,$J359&lt;0)),AND($F359="roll",OR($H359&lt;=0,$I359&lt;=0,$J359&lt;0,$K359&lt;0)),AND(OR($F359="buy_shares",$F359="sell_shares"),OR($L359&lt;=0,$M359&lt;0)),AND(OR($F359="dividend",$F359="fee"),$N359&lt;0)),"Invalid value",IF(AND(OR($F359="sell_shares",$F359="called_away"),$AL359&lt;IF($F359="called_away",$AE359*$D359,$L359)),"Insufficient shares (capped)",IF(AND(OR($F359="buy_to_close",$F359="expire",$F359="roll",$F359="assignment",$F359="called_away"),$AF359&gt;0,$H359&gt;IF($AF359&gt;0,MAX(0,INDEX($AI$9:$AI$358,$AF359)-SUMIFS($AE$9:$AE$358,$G$9:$G$358,$G359,$B$9:$B$358,$B359)),0)),"Close quantity capped","OK")))))))))</f>
        <v/>
      </c>
      <c r="W359" s="48" t="str">
        <f t="shared" si="88"/>
        <v/>
      </c>
      <c r="X359" s="49" t="str">
        <f t="shared" si="89"/>
        <v/>
      </c>
      <c r="Y359" s="50" t="str">
        <f t="shared" si="90"/>
        <v/>
      </c>
      <c r="Z359" s="50" t="str">
        <f t="shared" si="91"/>
        <v/>
      </c>
      <c r="AA359" s="50" t="str">
        <f t="shared" si="92"/>
        <v/>
      </c>
      <c r="AB359" s="50" t="str">
        <f t="shared" si="93"/>
        <v/>
      </c>
      <c r="AC359" s="50" t="str">
        <f>IF($A359="","",IF($F359="assignment",IF($AF359&gt;0,INDEX($AH$9:$AH$358,$AF359),0)*$AE359*$D359,IF($F359="buy_shares",$M359*$AL359,0)))</f>
        <v/>
      </c>
      <c r="AD359" s="50" t="str">
        <f>IF($A359="","",IF($F359="called_away",IF($AF359&gt;0,INDEX($AH$9:$AH$358,$AF359),0)*$AL359,IF($F359="sell_shares",$M359*$AL359,0)))</f>
        <v/>
      </c>
      <c r="AE359" s="51" t="str">
        <f>IF($A359="","",IF(OR($F359="sell_put",$F359="sell_call"),IF(AND($H359&gt;0,$I359&gt;0,$J359&gt;=0),$H359,0),IF(OR($F359="buy_to_close",$F359="expire",$F359="roll",$F359="assignment",$F359="called_away"),IF(AND($AF359&gt;0,$H359&gt;0,IF($F359="assignment",IF($AF359&gt;0,INDEX($AG$9:$AG$358,$AF359),"")="put",TRUE),IF($F359="called_away",IF($AF359&gt;0,INDEX($AG$9:$AG$358,$AF359),"")="call",TRUE)),MIN($H359,IF($AF359&gt;0,MAX(0,INDEX($AI$9:$AI$358,$AF359)-SUMIFS($AE$9:$AE$358,$G$9:$G$358,$G359,$B$9:$B$358,$B359)),0)),0),0)))</f>
        <v/>
      </c>
      <c r="AF359" t="str">
        <f>IF($A359="","",IFERROR(MATCH(LEN($B359)&amp;":"&amp;$B359&amp;$G359,$AY$9:$AY$358,0),0))</f>
        <v/>
      </c>
      <c r="AG359" t="str">
        <f>IF($A359="","",IF($F359="sell_put","put",IF($F359="sell_call","call",IF($F359="roll",IF($AF359&gt;0,IF($AF359&gt;0,INDEX($AG$9:$AG$358,$AF359),""),""),IF($AF359&gt;0,IF($AF359&gt;0,INDEX($AG$9:$AG$358,$AF359),""),"")))))</f>
        <v/>
      </c>
      <c r="AH359" t="str">
        <f>IF($A359="","",IF(OR($F359="sell_put",$F359="sell_call",$F359="roll"),$I359,IF($AF359&gt;0,IF($AF359&gt;0,INDEX($AH$9:$AH$358,$AF359),0),0)))</f>
        <v/>
      </c>
      <c r="AI359" s="51" t="str">
        <f t="shared" si="94"/>
        <v/>
      </c>
      <c r="AJ359" s="51" t="str">
        <f>IF($A359="","",IFERROR(LOOKUP(2,1/($B$9:$B$358=$B359),$AM$9:$AM358),0))</f>
        <v/>
      </c>
      <c r="AK359" t="str">
        <f>IF($A359="","",IFERROR(LOOKUP(2,1/($B$9:$B$358=$B359),$AN$9:$AN358),0))</f>
        <v/>
      </c>
      <c r="AL359" s="51" t="str">
        <f t="shared" si="95"/>
        <v/>
      </c>
      <c r="AM359" s="51" t="str">
        <f t="shared" si="96"/>
        <v/>
      </c>
      <c r="AN359" t="str">
        <f t="shared" si="97"/>
        <v/>
      </c>
      <c r="AO359" s="50" t="str">
        <f>IF($A359="","",IFERROR(LOOKUP(2,1/($B$9:$B$358=$B359),$AO$9:$AO358),0)+IF($F359="sell_put",$I359*$AE359*$D359,IF($F359="roll",IF($AG359="put",($I359-IF($AF359&gt;0,INDEX($AH$9:$AH$358,$AF359),0))*$AE359*$D359,0),IF(AND(OR($F359="buy_to_close",$F359="expire",$F359="roll",$F359="assignment",$F359="called_away"),$F359&lt;&gt;"roll",$AG359="put"),-IF($AF359&gt;0,INDEX($AH$9:$AH$358,$AF359),0)*$AE359*$D359,0))))</f>
        <v/>
      </c>
      <c r="AP359" s="51" t="str">
        <f>IF($A359="","",IFERROR(LOOKUP(2,1/($B$9:$B$358=$B359),$AP$9:$AP358),0)+IF($F359="sell_put",$AE359*$D359,IF(AND(OR($F359="buy_to_close",$F359="expire",$F359="roll",$F359="assignment",$F359="called_away"),$F359&lt;&gt;"roll",$AG359="put"),-$AE359*$D359,0)))</f>
        <v/>
      </c>
      <c r="AQ359" s="51" t="str">
        <f>IF($A359="","",IFERROR(LOOKUP(2,1/($B$9:$B$358=$B359),$AQ$9:$AQ358),0)+IF(OR($F359="sell_put",$F359="sell_call"),$AE359,0)-IF(AND(OR($F359="buy_to_close",$F359="expire",$F359="roll",$F359="assignment",$F359="called_away"),$F359&lt;&gt;"roll"),$AE359,0))</f>
        <v/>
      </c>
      <c r="AR359" t="str">
        <f t="shared" si="98"/>
        <v/>
      </c>
      <c r="AS359" s="50" t="str">
        <f t="shared" si="99"/>
        <v/>
      </c>
      <c r="AT359" s="50" t="str">
        <f>IF($A359="","",MAX(IF($T359=IFERROR(LOOKUP(2,1/($B$9:$B$358=$B359),$T$9:$T358),0),IFERROR(LOOKUP(2,1/($B$9:$B$358=$B359),$AT$9:$AT358),0),0),$AS359))</f>
        <v/>
      </c>
      <c r="AU359" t="str">
        <f t="shared" si="100"/>
        <v/>
      </c>
      <c r="AV359" s="51">
        <f>IF($AU359="",0,IF(AND(IFERROR(LOOKUP(2,1/($B$9:$B$358=$B359),$AR$9:$AR358),1),NOT(AND(OR($F359="dividend",$F359="fee"),IFERROR(LOOKUP(2,1/($B$9:$B$358=$B359),$T$9:$T358),0)&gt;0))),ROW(),0))</f>
        <v>0</v>
      </c>
      <c r="AW359">
        <f>IF($A359="",0,IF($AV359&gt;0,MAX($AW$9:$AW$358)+1,MAX($AW$9:$AW$358)))</f>
        <v>0</v>
      </c>
      <c r="AX359">
        <f>IF($AU359="",0,IF(AND($AR359,OR(NOT(IFERROR(LOOKUP(2,1/($B$9:$B$358=$B359),$AR$9:$AR358),1)),IFERROR(LOOKUP(2,1/($B$9:$B$358=$B359),$T$9:$T358),0)=0)),ROW(),0))</f>
        <v>0</v>
      </c>
      <c r="AY359" t="str">
        <f t="shared" si="101"/>
        <v/>
      </c>
    </row>
    <row r="360" spans="1:51" ht="15" x14ac:dyDescent="0.25">
      <c r="A360" s="52" t="str">
        <f>IF(Trades!$A360="","",Trades!O360)</f>
        <v/>
      </c>
      <c r="B360" s="52" t="str">
        <f>IF(Trades!$A360="","",Trades!B360)</f>
        <v/>
      </c>
      <c r="C360" s="52" t="str">
        <f>IF(Trades!$A360="","",Trades!C360)</f>
        <v/>
      </c>
      <c r="D360" s="53" t="str">
        <f>IF(Trades!$A360="","",IF(Trades!$L360&gt;0,Trades!$L360,Trades!$C$6))</f>
        <v/>
      </c>
      <c r="E360" s="54" t="str">
        <f>IF(Trades!$A360="","",Trades!A360)</f>
        <v/>
      </c>
      <c r="F360" s="52" t="str">
        <f>IF(Trades!$A360="","",IFERROR(INDEX(Trades!$V$2:$V$14,MATCH(Trades!$E360,Trades!$U$2:$U$14,0)),""))</f>
        <v/>
      </c>
      <c r="G360" s="52" t="str">
        <f>IF(Trades!$A360="","",Trades!N360)</f>
        <v/>
      </c>
      <c r="H360" s="53" t="str">
        <f>IF(Trades!$A360="","",Trades!F360)</f>
        <v/>
      </c>
      <c r="I360" s="55" t="str">
        <f>IF(Trades!$A360="","",Trades!G360)</f>
        <v/>
      </c>
      <c r="J360" s="55" t="str">
        <f>IF(Trades!$A360="","",Trades!I360)</f>
        <v/>
      </c>
      <c r="K360" s="55" t="str">
        <f>IF(Trades!$A360="","",Trades!Q360)</f>
        <v/>
      </c>
      <c r="L360" s="53" t="str">
        <f>IF(Trades!$A360="","",Trades!F360)</f>
        <v/>
      </c>
      <c r="M360" s="55" t="str">
        <f>IF(Trades!$A360="","",Trades!M360)</f>
        <v/>
      </c>
      <c r="N360" s="55" t="str">
        <f>IF(Trades!$A360="","",Trades!R360)</f>
        <v/>
      </c>
      <c r="O360" s="55" t="str">
        <f>IF(Trades!$A360="","",Trades!J360)</f>
        <v/>
      </c>
      <c r="P360" s="54" t="str">
        <f>IF(Trades!$A360="","",Trades!H360)</f>
        <v/>
      </c>
      <c r="Q360" s="52" t="str">
        <f>IF(Trades!$A360="","",Trades!P360)</f>
        <v/>
      </c>
      <c r="R360" s="56" t="str">
        <f t="shared" si="85"/>
        <v/>
      </c>
      <c r="S360" s="56" t="str">
        <f t="shared" si="86"/>
        <v/>
      </c>
      <c r="T360" s="57" t="str">
        <f>IF(OR($A360="",$B360=""),"",IF(AND(IFERROR(LOOKUP(2,1/($B$9:$B$359=$B360),$AR$9:$AR359),1),NOT(AND(OR($F360="dividend",$F360="fee"),IFERROR(LOOKUP(2,1/($B$9:$B$359=$B360),$T$9:$T359),0)&gt;0))),IFERROR(LOOKUP(2,1/($B$9:$B$359=$B360),$T$9:$T359),0)+1,IFERROR(LOOKUP(2,1/($B$9:$B$359=$B360),$T$9:$T359),0)))</f>
        <v/>
      </c>
      <c r="U360" s="58" t="str">
        <f t="shared" si="87"/>
        <v/>
      </c>
      <c r="V360" s="58" t="str">
        <f>IF($A360="","",IF(OR($B360="",$C360="",$D360="",$E360="",$F360=""),"Missing required field",IF(COUNTIFS($A$9:$A360,$A360,$B$9:$B360,$B360)&gt;1,"Duplicate event ID",IF(AND($E360&lt;&gt;IFERROR(LOOKUP(2,1/($B$9:$B$359=$B360),$E$9:$E359),0),IFERROR(LOOKUP(2,1/($B$9:$B$359=$B360),$E$9:$E359),0)&gt;$E360),"Date out of order",IF(AND(OR($F360="buy_to_close",$F360="expire",$F360="roll",$F360="assignment",$F360="called_away"),$AF360=0),"Unknown lot",IF(OR(AND($F360="assignment",$AF360&gt;0,IF($AF360&gt;0,INDEX($AG$9:$AG$359,$AF360),"")&lt;&gt;"put"),AND($F360="called_away",$AF360&gt;0,IF($AF360&gt;0,INDEX($AG$9:$AG$359,$AF360),"")&lt;&gt;"call")),"Wrong option leg",IF(OR(AND(OR($F360="sell_put",$F360="sell_call"),OR($H360&lt;=0,$I360&lt;=0,$J360&lt;0)),AND(OR($F360="buy_to_close",$F360="expire",$F360="assignment",$F360="called_away"),OR($H360&lt;=0,$J360&lt;0)),AND($F360="roll",OR($H360&lt;=0,$I360&lt;=0,$J360&lt;0,$K360&lt;0)),AND(OR($F360="buy_shares",$F360="sell_shares"),OR($L360&lt;=0,$M360&lt;0)),AND(OR($F360="dividend",$F360="fee"),$N360&lt;0)),"Invalid value",IF(AND(OR($F360="sell_shares",$F360="called_away"),$AL360&lt;IF($F360="called_away",$AE360*$D360,$L360)),"Insufficient shares (capped)",IF(AND(OR($F360="buy_to_close",$F360="expire",$F360="roll",$F360="assignment",$F360="called_away"),$AF360&gt;0,$H360&gt;IF($AF360&gt;0,MAX(0,INDEX($AI$9:$AI$359,$AF360)-SUMIFS($AE$9:$AE$359,$G$9:$G$359,$G360,$B$9:$B$359,$B360)),0)),"Close quantity capped","OK")))))))))</f>
        <v/>
      </c>
      <c r="W360" s="59" t="str">
        <f t="shared" si="88"/>
        <v/>
      </c>
      <c r="X360" s="60" t="str">
        <f t="shared" si="89"/>
        <v/>
      </c>
      <c r="Y360" s="50" t="str">
        <f t="shared" si="90"/>
        <v/>
      </c>
      <c r="Z360" s="50" t="str">
        <f t="shared" si="91"/>
        <v/>
      </c>
      <c r="AA360" s="50" t="str">
        <f t="shared" si="92"/>
        <v/>
      </c>
      <c r="AB360" s="50" t="str">
        <f t="shared" si="93"/>
        <v/>
      </c>
      <c r="AC360" s="50" t="str">
        <f>IF($A360="","",IF($F360="assignment",IF($AF360&gt;0,INDEX($AH$9:$AH$359,$AF360),0)*$AE360*$D360,IF($F360="buy_shares",$M360*$AL360,0)))</f>
        <v/>
      </c>
      <c r="AD360" s="50" t="str">
        <f>IF($A360="","",IF($F360="called_away",IF($AF360&gt;0,INDEX($AH$9:$AH$359,$AF360),0)*$AL360,IF($F360="sell_shares",$M360*$AL360,0)))</f>
        <v/>
      </c>
      <c r="AE360" s="51" t="str">
        <f>IF($A360="","",IF(OR($F360="sell_put",$F360="sell_call"),IF(AND($H360&gt;0,$I360&gt;0,$J360&gt;=0),$H360,0),IF(OR($F360="buy_to_close",$F360="expire",$F360="roll",$F360="assignment",$F360="called_away"),IF(AND($AF360&gt;0,$H360&gt;0,IF($F360="assignment",IF($AF360&gt;0,INDEX($AG$9:$AG$359,$AF360),"")="put",TRUE),IF($F360="called_away",IF($AF360&gt;0,INDEX($AG$9:$AG$359,$AF360),"")="call",TRUE)),MIN($H360,IF($AF360&gt;0,MAX(0,INDEX($AI$9:$AI$359,$AF360)-SUMIFS($AE$9:$AE$359,$G$9:$G$359,$G360,$B$9:$B$359,$B360)),0)),0),0)))</f>
        <v/>
      </c>
      <c r="AF360" t="str">
        <f>IF($A360="","",IFERROR(MATCH(LEN($B360)&amp;":"&amp;$B360&amp;$G360,$AY$9:$AY$359,0),0))</f>
        <v/>
      </c>
      <c r="AG360" t="str">
        <f>IF($A360="","",IF($F360="sell_put","put",IF($F360="sell_call","call",IF($F360="roll",IF($AF360&gt;0,IF($AF360&gt;0,INDEX($AG$9:$AG$359,$AF360),""),""),IF($AF360&gt;0,IF($AF360&gt;0,INDEX($AG$9:$AG$359,$AF360),""),"")))))</f>
        <v/>
      </c>
      <c r="AH360" t="str">
        <f>IF($A360="","",IF(OR($F360="sell_put",$F360="sell_call",$F360="roll"),$I360,IF($AF360&gt;0,IF($AF360&gt;0,INDEX($AH$9:$AH$359,$AF360),0),0)))</f>
        <v/>
      </c>
      <c r="AI360" s="51" t="str">
        <f t="shared" si="94"/>
        <v/>
      </c>
      <c r="AJ360" s="51" t="str">
        <f>IF($A360="","",IFERROR(LOOKUP(2,1/($B$9:$B$359=$B360),$AM$9:$AM359),0))</f>
        <v/>
      </c>
      <c r="AK360" t="str">
        <f>IF($A360="","",IFERROR(LOOKUP(2,1/($B$9:$B$359=$B360),$AN$9:$AN359),0))</f>
        <v/>
      </c>
      <c r="AL360" s="51" t="str">
        <f t="shared" si="95"/>
        <v/>
      </c>
      <c r="AM360" s="51" t="str">
        <f t="shared" si="96"/>
        <v/>
      </c>
      <c r="AN360" t="str">
        <f t="shared" si="97"/>
        <v/>
      </c>
      <c r="AO360" s="50" t="str">
        <f>IF($A360="","",IFERROR(LOOKUP(2,1/($B$9:$B$359=$B360),$AO$9:$AO359),0)+IF($F360="sell_put",$I360*$AE360*$D360,IF($F360="roll",IF($AG360="put",($I360-IF($AF360&gt;0,INDEX($AH$9:$AH$359,$AF360),0))*$AE360*$D360,0),IF(AND(OR($F360="buy_to_close",$F360="expire",$F360="roll",$F360="assignment",$F360="called_away"),$F360&lt;&gt;"roll",$AG360="put"),-IF($AF360&gt;0,INDEX($AH$9:$AH$359,$AF360),0)*$AE360*$D360,0))))</f>
        <v/>
      </c>
      <c r="AP360" s="51" t="str">
        <f>IF($A360="","",IFERROR(LOOKUP(2,1/($B$9:$B$359=$B360),$AP$9:$AP359),0)+IF($F360="sell_put",$AE360*$D360,IF(AND(OR($F360="buy_to_close",$F360="expire",$F360="roll",$F360="assignment",$F360="called_away"),$F360&lt;&gt;"roll",$AG360="put"),-$AE360*$D360,0)))</f>
        <v/>
      </c>
      <c r="AQ360" s="51" t="str">
        <f>IF($A360="","",IFERROR(LOOKUP(2,1/($B$9:$B$359=$B360),$AQ$9:$AQ359),0)+IF(OR($F360="sell_put",$F360="sell_call"),$AE360,0)-IF(AND(OR($F360="buy_to_close",$F360="expire",$F360="roll",$F360="assignment",$F360="called_away"),$F360&lt;&gt;"roll"),$AE360,0))</f>
        <v/>
      </c>
      <c r="AR360" t="str">
        <f t="shared" si="98"/>
        <v/>
      </c>
      <c r="AS360" s="50" t="str">
        <f t="shared" si="99"/>
        <v/>
      </c>
      <c r="AT360" s="50" t="str">
        <f>IF($A360="","",MAX(IF($T360=IFERROR(LOOKUP(2,1/($B$9:$B$359=$B360),$T$9:$T359),0),IFERROR(LOOKUP(2,1/($B$9:$B$359=$B360),$AT$9:$AT359),0),0),$AS360))</f>
        <v/>
      </c>
      <c r="AU360" t="str">
        <f t="shared" si="100"/>
        <v/>
      </c>
      <c r="AV360" s="51">
        <f>IF($AU360="",0,IF(AND(IFERROR(LOOKUP(2,1/($B$9:$B$359=$B360),$AR$9:$AR359),1),NOT(AND(OR($F360="dividend",$F360="fee"),IFERROR(LOOKUP(2,1/($B$9:$B$359=$B360),$T$9:$T359),0)&gt;0))),ROW(),0))</f>
        <v>0</v>
      </c>
      <c r="AW360">
        <f>IF($A360="",0,IF($AV360&gt;0,MAX($AW$9:$AW$359)+1,MAX($AW$9:$AW$359)))</f>
        <v>0</v>
      </c>
      <c r="AX360">
        <f>IF($AU360="",0,IF(AND($AR360,OR(NOT(IFERROR(LOOKUP(2,1/($B$9:$B$359=$B360),$AR$9:$AR359),1)),IFERROR(LOOKUP(2,1/($B$9:$B$359=$B360),$T$9:$T359),0)=0)),ROW(),0))</f>
        <v>0</v>
      </c>
      <c r="AY360" t="str">
        <f t="shared" si="101"/>
        <v/>
      </c>
    </row>
    <row r="361" spans="1:51" ht="15" x14ac:dyDescent="0.25">
      <c r="A361" s="41" t="str">
        <f>IF(Trades!$A361="","",Trades!O361)</f>
        <v/>
      </c>
      <c r="B361" s="41" t="str">
        <f>IF(Trades!$A361="","",Trades!B361)</f>
        <v/>
      </c>
      <c r="C361" s="41" t="str">
        <f>IF(Trades!$A361="","",Trades!C361)</f>
        <v/>
      </c>
      <c r="D361" s="42" t="str">
        <f>IF(Trades!$A361="","",IF(Trades!$L361&gt;0,Trades!$L361,Trades!$C$6))</f>
        <v/>
      </c>
      <c r="E361" s="43" t="str">
        <f>IF(Trades!$A361="","",Trades!A361)</f>
        <v/>
      </c>
      <c r="F361" s="41" t="str">
        <f>IF(Trades!$A361="","",IFERROR(INDEX(Trades!$V$2:$V$14,MATCH(Trades!$E361,Trades!$U$2:$U$14,0)),""))</f>
        <v/>
      </c>
      <c r="G361" s="41" t="str">
        <f>IF(Trades!$A361="","",Trades!N361)</f>
        <v/>
      </c>
      <c r="H361" s="42" t="str">
        <f>IF(Trades!$A361="","",Trades!F361)</f>
        <v/>
      </c>
      <c r="I361" s="44" t="str">
        <f>IF(Trades!$A361="","",Trades!G361)</f>
        <v/>
      </c>
      <c r="J361" s="44" t="str">
        <f>IF(Trades!$A361="","",Trades!I361)</f>
        <v/>
      </c>
      <c r="K361" s="44" t="str">
        <f>IF(Trades!$A361="","",Trades!Q361)</f>
        <v/>
      </c>
      <c r="L361" s="42" t="str">
        <f>IF(Trades!$A361="","",Trades!F361)</f>
        <v/>
      </c>
      <c r="M361" s="44" t="str">
        <f>IF(Trades!$A361="","",Trades!M361)</f>
        <v/>
      </c>
      <c r="N361" s="44" t="str">
        <f>IF(Trades!$A361="","",Trades!R361)</f>
        <v/>
      </c>
      <c r="O361" s="44" t="str">
        <f>IF(Trades!$A361="","",Trades!J361)</f>
        <v/>
      </c>
      <c r="P361" s="43" t="str">
        <f>IF(Trades!$A361="","",Trades!H361)</f>
        <v/>
      </c>
      <c r="Q361" s="41" t="str">
        <f>IF(Trades!$A361="","",Trades!P361)</f>
        <v/>
      </c>
      <c r="R361" s="45" t="str">
        <f t="shared" si="85"/>
        <v/>
      </c>
      <c r="S361" s="45" t="str">
        <f t="shared" si="86"/>
        <v/>
      </c>
      <c r="T361" s="46" t="str">
        <f>IF(OR($A361="",$B361=""),"",IF(AND(IFERROR(LOOKUP(2,1/($B$9:$B$360=$B361),$AR$9:$AR360),1),NOT(AND(OR($F361="dividend",$F361="fee"),IFERROR(LOOKUP(2,1/($B$9:$B$360=$B361),$T$9:$T360),0)&gt;0))),IFERROR(LOOKUP(2,1/($B$9:$B$360=$B361),$T$9:$T360),0)+1,IFERROR(LOOKUP(2,1/($B$9:$B$360=$B361),$T$9:$T360),0)))</f>
        <v/>
      </c>
      <c r="U361" s="47" t="str">
        <f t="shared" si="87"/>
        <v/>
      </c>
      <c r="V361" s="47" t="str">
        <f>IF($A361="","",IF(OR($B361="",$C361="",$D361="",$E361="",$F361=""),"Missing required field",IF(COUNTIFS($A$9:$A361,$A361,$B$9:$B361,$B361)&gt;1,"Duplicate event ID",IF(AND($E361&lt;&gt;IFERROR(LOOKUP(2,1/($B$9:$B$360=$B361),$E$9:$E360),0),IFERROR(LOOKUP(2,1/($B$9:$B$360=$B361),$E$9:$E360),0)&gt;$E361),"Date out of order",IF(AND(OR($F361="buy_to_close",$F361="expire",$F361="roll",$F361="assignment",$F361="called_away"),$AF361=0),"Unknown lot",IF(OR(AND($F361="assignment",$AF361&gt;0,IF($AF361&gt;0,INDEX($AG$9:$AG$360,$AF361),"")&lt;&gt;"put"),AND($F361="called_away",$AF361&gt;0,IF($AF361&gt;0,INDEX($AG$9:$AG$360,$AF361),"")&lt;&gt;"call")),"Wrong option leg",IF(OR(AND(OR($F361="sell_put",$F361="sell_call"),OR($H361&lt;=0,$I361&lt;=0,$J361&lt;0)),AND(OR($F361="buy_to_close",$F361="expire",$F361="assignment",$F361="called_away"),OR($H361&lt;=0,$J361&lt;0)),AND($F361="roll",OR($H361&lt;=0,$I361&lt;=0,$J361&lt;0,$K361&lt;0)),AND(OR($F361="buy_shares",$F361="sell_shares"),OR($L361&lt;=0,$M361&lt;0)),AND(OR($F361="dividend",$F361="fee"),$N361&lt;0)),"Invalid value",IF(AND(OR($F361="sell_shares",$F361="called_away"),$AL361&lt;IF($F361="called_away",$AE361*$D361,$L361)),"Insufficient shares (capped)",IF(AND(OR($F361="buy_to_close",$F361="expire",$F361="roll",$F361="assignment",$F361="called_away"),$AF361&gt;0,$H361&gt;IF($AF361&gt;0,MAX(0,INDEX($AI$9:$AI$360,$AF361)-SUMIFS($AE$9:$AE$360,$G$9:$G$360,$G361,$B$9:$B$360,$B361)),0)),"Close quantity capped","OK")))))))))</f>
        <v/>
      </c>
      <c r="W361" s="48" t="str">
        <f t="shared" si="88"/>
        <v/>
      </c>
      <c r="X361" s="49" t="str">
        <f t="shared" si="89"/>
        <v/>
      </c>
      <c r="Y361" s="50" t="str">
        <f t="shared" si="90"/>
        <v/>
      </c>
      <c r="Z361" s="50" t="str">
        <f t="shared" si="91"/>
        <v/>
      </c>
      <c r="AA361" s="50" t="str">
        <f t="shared" si="92"/>
        <v/>
      </c>
      <c r="AB361" s="50" t="str">
        <f t="shared" si="93"/>
        <v/>
      </c>
      <c r="AC361" s="50" t="str">
        <f>IF($A361="","",IF($F361="assignment",IF($AF361&gt;0,INDEX($AH$9:$AH$360,$AF361),0)*$AE361*$D361,IF($F361="buy_shares",$M361*$AL361,0)))</f>
        <v/>
      </c>
      <c r="AD361" s="50" t="str">
        <f>IF($A361="","",IF($F361="called_away",IF($AF361&gt;0,INDEX($AH$9:$AH$360,$AF361),0)*$AL361,IF($F361="sell_shares",$M361*$AL361,0)))</f>
        <v/>
      </c>
      <c r="AE361" s="51" t="str">
        <f>IF($A361="","",IF(OR($F361="sell_put",$F361="sell_call"),IF(AND($H361&gt;0,$I361&gt;0,$J361&gt;=0),$H361,0),IF(OR($F361="buy_to_close",$F361="expire",$F361="roll",$F361="assignment",$F361="called_away"),IF(AND($AF361&gt;0,$H361&gt;0,IF($F361="assignment",IF($AF361&gt;0,INDEX($AG$9:$AG$360,$AF361),"")="put",TRUE),IF($F361="called_away",IF($AF361&gt;0,INDEX($AG$9:$AG$360,$AF361),"")="call",TRUE)),MIN($H361,IF($AF361&gt;0,MAX(0,INDEX($AI$9:$AI$360,$AF361)-SUMIFS($AE$9:$AE$360,$G$9:$G$360,$G361,$B$9:$B$360,$B361)),0)),0),0)))</f>
        <v/>
      </c>
      <c r="AF361" t="str">
        <f>IF($A361="","",IFERROR(MATCH(LEN($B361)&amp;":"&amp;$B361&amp;$G361,$AY$9:$AY$360,0),0))</f>
        <v/>
      </c>
      <c r="AG361" t="str">
        <f>IF($A361="","",IF($F361="sell_put","put",IF($F361="sell_call","call",IF($F361="roll",IF($AF361&gt;0,IF($AF361&gt;0,INDEX($AG$9:$AG$360,$AF361),""),""),IF($AF361&gt;0,IF($AF361&gt;0,INDEX($AG$9:$AG$360,$AF361),""),"")))))</f>
        <v/>
      </c>
      <c r="AH361" t="str">
        <f>IF($A361="","",IF(OR($F361="sell_put",$F361="sell_call",$F361="roll"),$I361,IF($AF361&gt;0,IF($AF361&gt;0,INDEX($AH$9:$AH$360,$AF361),0),0)))</f>
        <v/>
      </c>
      <c r="AI361" s="51" t="str">
        <f t="shared" si="94"/>
        <v/>
      </c>
      <c r="AJ361" s="51" t="str">
        <f>IF($A361="","",IFERROR(LOOKUP(2,1/($B$9:$B$360=$B361),$AM$9:$AM360),0))</f>
        <v/>
      </c>
      <c r="AK361" t="str">
        <f>IF($A361="","",IFERROR(LOOKUP(2,1/($B$9:$B$360=$B361),$AN$9:$AN360),0))</f>
        <v/>
      </c>
      <c r="AL361" s="51" t="str">
        <f t="shared" si="95"/>
        <v/>
      </c>
      <c r="AM361" s="51" t="str">
        <f t="shared" si="96"/>
        <v/>
      </c>
      <c r="AN361" t="str">
        <f t="shared" si="97"/>
        <v/>
      </c>
      <c r="AO361" s="50" t="str">
        <f>IF($A361="","",IFERROR(LOOKUP(2,1/($B$9:$B$360=$B361),$AO$9:$AO360),0)+IF($F361="sell_put",$I361*$AE361*$D361,IF($F361="roll",IF($AG361="put",($I361-IF($AF361&gt;0,INDEX($AH$9:$AH$360,$AF361),0))*$AE361*$D361,0),IF(AND(OR($F361="buy_to_close",$F361="expire",$F361="roll",$F361="assignment",$F361="called_away"),$F361&lt;&gt;"roll",$AG361="put"),-IF($AF361&gt;0,INDEX($AH$9:$AH$360,$AF361),0)*$AE361*$D361,0))))</f>
        <v/>
      </c>
      <c r="AP361" s="51" t="str">
        <f>IF($A361="","",IFERROR(LOOKUP(2,1/($B$9:$B$360=$B361),$AP$9:$AP360),0)+IF($F361="sell_put",$AE361*$D361,IF(AND(OR($F361="buy_to_close",$F361="expire",$F361="roll",$F361="assignment",$F361="called_away"),$F361&lt;&gt;"roll",$AG361="put"),-$AE361*$D361,0)))</f>
        <v/>
      </c>
      <c r="AQ361" s="51" t="str">
        <f>IF($A361="","",IFERROR(LOOKUP(2,1/($B$9:$B$360=$B361),$AQ$9:$AQ360),0)+IF(OR($F361="sell_put",$F361="sell_call"),$AE361,0)-IF(AND(OR($F361="buy_to_close",$F361="expire",$F361="roll",$F361="assignment",$F361="called_away"),$F361&lt;&gt;"roll"),$AE361,0))</f>
        <v/>
      </c>
      <c r="AR361" t="str">
        <f t="shared" si="98"/>
        <v/>
      </c>
      <c r="AS361" s="50" t="str">
        <f t="shared" si="99"/>
        <v/>
      </c>
      <c r="AT361" s="50" t="str">
        <f>IF($A361="","",MAX(IF($T361=IFERROR(LOOKUP(2,1/($B$9:$B$360=$B361),$T$9:$T360),0),IFERROR(LOOKUP(2,1/($B$9:$B$360=$B361),$AT$9:$AT360),0),0),$AS361))</f>
        <v/>
      </c>
      <c r="AU361" t="str">
        <f t="shared" si="100"/>
        <v/>
      </c>
      <c r="AV361" s="51">
        <f>IF($AU361="",0,IF(AND(IFERROR(LOOKUP(2,1/($B$9:$B$360=$B361),$AR$9:$AR360),1),NOT(AND(OR($F361="dividend",$F361="fee"),IFERROR(LOOKUP(2,1/($B$9:$B$360=$B361),$T$9:$T360),0)&gt;0))),ROW(),0))</f>
        <v>0</v>
      </c>
      <c r="AW361">
        <f>IF($A361="",0,IF($AV361&gt;0,MAX($AW$9:$AW$360)+1,MAX($AW$9:$AW$360)))</f>
        <v>0</v>
      </c>
      <c r="AX361">
        <f>IF($AU361="",0,IF(AND($AR361,OR(NOT(IFERROR(LOOKUP(2,1/($B$9:$B$360=$B361),$AR$9:$AR360),1)),IFERROR(LOOKUP(2,1/($B$9:$B$360=$B361),$T$9:$T360),0)=0)),ROW(),0))</f>
        <v>0</v>
      </c>
      <c r="AY361" t="str">
        <f t="shared" si="101"/>
        <v/>
      </c>
    </row>
    <row r="362" spans="1:51" ht="15" x14ac:dyDescent="0.25">
      <c r="A362" s="52" t="str">
        <f>IF(Trades!$A362="","",Trades!O362)</f>
        <v/>
      </c>
      <c r="B362" s="52" t="str">
        <f>IF(Trades!$A362="","",Trades!B362)</f>
        <v/>
      </c>
      <c r="C362" s="52" t="str">
        <f>IF(Trades!$A362="","",Trades!C362)</f>
        <v/>
      </c>
      <c r="D362" s="53" t="str">
        <f>IF(Trades!$A362="","",IF(Trades!$L362&gt;0,Trades!$L362,Trades!$C$6))</f>
        <v/>
      </c>
      <c r="E362" s="54" t="str">
        <f>IF(Trades!$A362="","",Trades!A362)</f>
        <v/>
      </c>
      <c r="F362" s="52" t="str">
        <f>IF(Trades!$A362="","",IFERROR(INDEX(Trades!$V$2:$V$14,MATCH(Trades!$E362,Trades!$U$2:$U$14,0)),""))</f>
        <v/>
      </c>
      <c r="G362" s="52" t="str">
        <f>IF(Trades!$A362="","",Trades!N362)</f>
        <v/>
      </c>
      <c r="H362" s="53" t="str">
        <f>IF(Trades!$A362="","",Trades!F362)</f>
        <v/>
      </c>
      <c r="I362" s="55" t="str">
        <f>IF(Trades!$A362="","",Trades!G362)</f>
        <v/>
      </c>
      <c r="J362" s="55" t="str">
        <f>IF(Trades!$A362="","",Trades!I362)</f>
        <v/>
      </c>
      <c r="K362" s="55" t="str">
        <f>IF(Trades!$A362="","",Trades!Q362)</f>
        <v/>
      </c>
      <c r="L362" s="53" t="str">
        <f>IF(Trades!$A362="","",Trades!F362)</f>
        <v/>
      </c>
      <c r="M362" s="55" t="str">
        <f>IF(Trades!$A362="","",Trades!M362)</f>
        <v/>
      </c>
      <c r="N362" s="55" t="str">
        <f>IF(Trades!$A362="","",Trades!R362)</f>
        <v/>
      </c>
      <c r="O362" s="55" t="str">
        <f>IF(Trades!$A362="","",Trades!J362)</f>
        <v/>
      </c>
      <c r="P362" s="54" t="str">
        <f>IF(Trades!$A362="","",Trades!H362)</f>
        <v/>
      </c>
      <c r="Q362" s="52" t="str">
        <f>IF(Trades!$A362="","",Trades!P362)</f>
        <v/>
      </c>
      <c r="R362" s="56" t="str">
        <f t="shared" si="85"/>
        <v/>
      </c>
      <c r="S362" s="56" t="str">
        <f t="shared" si="86"/>
        <v/>
      </c>
      <c r="T362" s="57" t="str">
        <f>IF(OR($A362="",$B362=""),"",IF(AND(IFERROR(LOOKUP(2,1/($B$9:$B$361=$B362),$AR$9:$AR361),1),NOT(AND(OR($F362="dividend",$F362="fee"),IFERROR(LOOKUP(2,1/($B$9:$B$361=$B362),$T$9:$T361),0)&gt;0))),IFERROR(LOOKUP(2,1/($B$9:$B$361=$B362),$T$9:$T361),0)+1,IFERROR(LOOKUP(2,1/($B$9:$B$361=$B362),$T$9:$T361),0)))</f>
        <v/>
      </c>
      <c r="U362" s="58" t="str">
        <f t="shared" si="87"/>
        <v/>
      </c>
      <c r="V362" s="58" t="str">
        <f>IF($A362="","",IF(OR($B362="",$C362="",$D362="",$E362="",$F362=""),"Missing required field",IF(COUNTIFS($A$9:$A362,$A362,$B$9:$B362,$B362)&gt;1,"Duplicate event ID",IF(AND($E362&lt;&gt;IFERROR(LOOKUP(2,1/($B$9:$B$361=$B362),$E$9:$E361),0),IFERROR(LOOKUP(2,1/($B$9:$B$361=$B362),$E$9:$E361),0)&gt;$E362),"Date out of order",IF(AND(OR($F362="buy_to_close",$F362="expire",$F362="roll",$F362="assignment",$F362="called_away"),$AF362=0),"Unknown lot",IF(OR(AND($F362="assignment",$AF362&gt;0,IF($AF362&gt;0,INDEX($AG$9:$AG$361,$AF362),"")&lt;&gt;"put"),AND($F362="called_away",$AF362&gt;0,IF($AF362&gt;0,INDEX($AG$9:$AG$361,$AF362),"")&lt;&gt;"call")),"Wrong option leg",IF(OR(AND(OR($F362="sell_put",$F362="sell_call"),OR($H362&lt;=0,$I362&lt;=0,$J362&lt;0)),AND(OR($F362="buy_to_close",$F362="expire",$F362="assignment",$F362="called_away"),OR($H362&lt;=0,$J362&lt;0)),AND($F362="roll",OR($H362&lt;=0,$I362&lt;=0,$J362&lt;0,$K362&lt;0)),AND(OR($F362="buy_shares",$F362="sell_shares"),OR($L362&lt;=0,$M362&lt;0)),AND(OR($F362="dividend",$F362="fee"),$N362&lt;0)),"Invalid value",IF(AND(OR($F362="sell_shares",$F362="called_away"),$AL362&lt;IF($F362="called_away",$AE362*$D362,$L362)),"Insufficient shares (capped)",IF(AND(OR($F362="buy_to_close",$F362="expire",$F362="roll",$F362="assignment",$F362="called_away"),$AF362&gt;0,$H362&gt;IF($AF362&gt;0,MAX(0,INDEX($AI$9:$AI$361,$AF362)-SUMIFS($AE$9:$AE$361,$G$9:$G$361,$G362,$B$9:$B$361,$B362)),0)),"Close quantity capped","OK")))))))))</f>
        <v/>
      </c>
      <c r="W362" s="59" t="str">
        <f t="shared" si="88"/>
        <v/>
      </c>
      <c r="X362" s="60" t="str">
        <f t="shared" si="89"/>
        <v/>
      </c>
      <c r="Y362" s="50" t="str">
        <f t="shared" si="90"/>
        <v/>
      </c>
      <c r="Z362" s="50" t="str">
        <f t="shared" si="91"/>
        <v/>
      </c>
      <c r="AA362" s="50" t="str">
        <f t="shared" si="92"/>
        <v/>
      </c>
      <c r="AB362" s="50" t="str">
        <f t="shared" si="93"/>
        <v/>
      </c>
      <c r="AC362" s="50" t="str">
        <f>IF($A362="","",IF($F362="assignment",IF($AF362&gt;0,INDEX($AH$9:$AH$361,$AF362),0)*$AE362*$D362,IF($F362="buy_shares",$M362*$AL362,0)))</f>
        <v/>
      </c>
      <c r="AD362" s="50" t="str">
        <f>IF($A362="","",IF($F362="called_away",IF($AF362&gt;0,INDEX($AH$9:$AH$361,$AF362),0)*$AL362,IF($F362="sell_shares",$M362*$AL362,0)))</f>
        <v/>
      </c>
      <c r="AE362" s="51" t="str">
        <f>IF($A362="","",IF(OR($F362="sell_put",$F362="sell_call"),IF(AND($H362&gt;0,$I362&gt;0,$J362&gt;=0),$H362,0),IF(OR($F362="buy_to_close",$F362="expire",$F362="roll",$F362="assignment",$F362="called_away"),IF(AND($AF362&gt;0,$H362&gt;0,IF($F362="assignment",IF($AF362&gt;0,INDEX($AG$9:$AG$361,$AF362),"")="put",TRUE),IF($F362="called_away",IF($AF362&gt;0,INDEX($AG$9:$AG$361,$AF362),"")="call",TRUE)),MIN($H362,IF($AF362&gt;0,MAX(0,INDEX($AI$9:$AI$361,$AF362)-SUMIFS($AE$9:$AE$361,$G$9:$G$361,$G362,$B$9:$B$361,$B362)),0)),0),0)))</f>
        <v/>
      </c>
      <c r="AF362" t="str">
        <f>IF($A362="","",IFERROR(MATCH(LEN($B362)&amp;":"&amp;$B362&amp;$G362,$AY$9:$AY$361,0),0))</f>
        <v/>
      </c>
      <c r="AG362" t="str">
        <f>IF($A362="","",IF($F362="sell_put","put",IF($F362="sell_call","call",IF($F362="roll",IF($AF362&gt;0,IF($AF362&gt;0,INDEX($AG$9:$AG$361,$AF362),""),""),IF($AF362&gt;0,IF($AF362&gt;0,INDEX($AG$9:$AG$361,$AF362),""),"")))))</f>
        <v/>
      </c>
      <c r="AH362" t="str">
        <f>IF($A362="","",IF(OR($F362="sell_put",$F362="sell_call",$F362="roll"),$I362,IF($AF362&gt;0,IF($AF362&gt;0,INDEX($AH$9:$AH$361,$AF362),0),0)))</f>
        <v/>
      </c>
      <c r="AI362" s="51" t="str">
        <f t="shared" si="94"/>
        <v/>
      </c>
      <c r="AJ362" s="51" t="str">
        <f>IF($A362="","",IFERROR(LOOKUP(2,1/($B$9:$B$361=$B362),$AM$9:$AM361),0))</f>
        <v/>
      </c>
      <c r="AK362" t="str">
        <f>IF($A362="","",IFERROR(LOOKUP(2,1/($B$9:$B$361=$B362),$AN$9:$AN361),0))</f>
        <v/>
      </c>
      <c r="AL362" s="51" t="str">
        <f t="shared" si="95"/>
        <v/>
      </c>
      <c r="AM362" s="51" t="str">
        <f t="shared" si="96"/>
        <v/>
      </c>
      <c r="AN362" t="str">
        <f t="shared" si="97"/>
        <v/>
      </c>
      <c r="AO362" s="50" t="str">
        <f>IF($A362="","",IFERROR(LOOKUP(2,1/($B$9:$B$361=$B362),$AO$9:$AO361),0)+IF($F362="sell_put",$I362*$AE362*$D362,IF($F362="roll",IF($AG362="put",($I362-IF($AF362&gt;0,INDEX($AH$9:$AH$361,$AF362),0))*$AE362*$D362,0),IF(AND(OR($F362="buy_to_close",$F362="expire",$F362="roll",$F362="assignment",$F362="called_away"),$F362&lt;&gt;"roll",$AG362="put"),-IF($AF362&gt;0,INDEX($AH$9:$AH$361,$AF362),0)*$AE362*$D362,0))))</f>
        <v/>
      </c>
      <c r="AP362" s="51" t="str">
        <f>IF($A362="","",IFERROR(LOOKUP(2,1/($B$9:$B$361=$B362),$AP$9:$AP361),0)+IF($F362="sell_put",$AE362*$D362,IF(AND(OR($F362="buy_to_close",$F362="expire",$F362="roll",$F362="assignment",$F362="called_away"),$F362&lt;&gt;"roll",$AG362="put"),-$AE362*$D362,0)))</f>
        <v/>
      </c>
      <c r="AQ362" s="51" t="str">
        <f>IF($A362="","",IFERROR(LOOKUP(2,1/($B$9:$B$361=$B362),$AQ$9:$AQ361),0)+IF(OR($F362="sell_put",$F362="sell_call"),$AE362,0)-IF(AND(OR($F362="buy_to_close",$F362="expire",$F362="roll",$F362="assignment",$F362="called_away"),$F362&lt;&gt;"roll"),$AE362,0))</f>
        <v/>
      </c>
      <c r="AR362" t="str">
        <f t="shared" si="98"/>
        <v/>
      </c>
      <c r="AS362" s="50" t="str">
        <f t="shared" si="99"/>
        <v/>
      </c>
      <c r="AT362" s="50" t="str">
        <f>IF($A362="","",MAX(IF($T362=IFERROR(LOOKUP(2,1/($B$9:$B$361=$B362),$T$9:$T361),0),IFERROR(LOOKUP(2,1/($B$9:$B$361=$B362),$AT$9:$AT361),0),0),$AS362))</f>
        <v/>
      </c>
      <c r="AU362" t="str">
        <f t="shared" si="100"/>
        <v/>
      </c>
      <c r="AV362" s="51">
        <f>IF($AU362="",0,IF(AND(IFERROR(LOOKUP(2,1/($B$9:$B$361=$B362),$AR$9:$AR361),1),NOT(AND(OR($F362="dividend",$F362="fee"),IFERROR(LOOKUP(2,1/($B$9:$B$361=$B362),$T$9:$T361),0)&gt;0))),ROW(),0))</f>
        <v>0</v>
      </c>
      <c r="AW362">
        <f>IF($A362="",0,IF($AV362&gt;0,MAX($AW$9:$AW$361)+1,MAX($AW$9:$AW$361)))</f>
        <v>0</v>
      </c>
      <c r="AX362">
        <f>IF($AU362="",0,IF(AND($AR362,OR(NOT(IFERROR(LOOKUP(2,1/($B$9:$B$361=$B362),$AR$9:$AR361),1)),IFERROR(LOOKUP(2,1/($B$9:$B$361=$B362),$T$9:$T361),0)=0)),ROW(),0))</f>
        <v>0</v>
      </c>
      <c r="AY362" t="str">
        <f t="shared" si="101"/>
        <v/>
      </c>
    </row>
    <row r="363" spans="1:51" ht="15" x14ac:dyDescent="0.25">
      <c r="A363" s="41" t="str">
        <f>IF(Trades!$A363="","",Trades!O363)</f>
        <v/>
      </c>
      <c r="B363" s="41" t="str">
        <f>IF(Trades!$A363="","",Trades!B363)</f>
        <v/>
      </c>
      <c r="C363" s="41" t="str">
        <f>IF(Trades!$A363="","",Trades!C363)</f>
        <v/>
      </c>
      <c r="D363" s="42" t="str">
        <f>IF(Trades!$A363="","",IF(Trades!$L363&gt;0,Trades!$L363,Trades!$C$6))</f>
        <v/>
      </c>
      <c r="E363" s="43" t="str">
        <f>IF(Trades!$A363="","",Trades!A363)</f>
        <v/>
      </c>
      <c r="F363" s="41" t="str">
        <f>IF(Trades!$A363="","",IFERROR(INDEX(Trades!$V$2:$V$14,MATCH(Trades!$E363,Trades!$U$2:$U$14,0)),""))</f>
        <v/>
      </c>
      <c r="G363" s="41" t="str">
        <f>IF(Trades!$A363="","",Trades!N363)</f>
        <v/>
      </c>
      <c r="H363" s="42" t="str">
        <f>IF(Trades!$A363="","",Trades!F363)</f>
        <v/>
      </c>
      <c r="I363" s="44" t="str">
        <f>IF(Trades!$A363="","",Trades!G363)</f>
        <v/>
      </c>
      <c r="J363" s="44" t="str">
        <f>IF(Trades!$A363="","",Trades!I363)</f>
        <v/>
      </c>
      <c r="K363" s="44" t="str">
        <f>IF(Trades!$A363="","",Trades!Q363)</f>
        <v/>
      </c>
      <c r="L363" s="42" t="str">
        <f>IF(Trades!$A363="","",Trades!F363)</f>
        <v/>
      </c>
      <c r="M363" s="44" t="str">
        <f>IF(Trades!$A363="","",Trades!M363)</f>
        <v/>
      </c>
      <c r="N363" s="44" t="str">
        <f>IF(Trades!$A363="","",Trades!R363)</f>
        <v/>
      </c>
      <c r="O363" s="44" t="str">
        <f>IF(Trades!$A363="","",Trades!J363)</f>
        <v/>
      </c>
      <c r="P363" s="43" t="str">
        <f>IF(Trades!$A363="","",Trades!H363)</f>
        <v/>
      </c>
      <c r="Q363" s="41" t="str">
        <f>IF(Trades!$A363="","",Trades!P363)</f>
        <v/>
      </c>
      <c r="R363" s="45" t="str">
        <f t="shared" si="85"/>
        <v/>
      </c>
      <c r="S363" s="45" t="str">
        <f t="shared" si="86"/>
        <v/>
      </c>
      <c r="T363" s="46" t="str">
        <f>IF(OR($A363="",$B363=""),"",IF(AND(IFERROR(LOOKUP(2,1/($B$9:$B$362=$B363),$AR$9:$AR362),1),NOT(AND(OR($F363="dividend",$F363="fee"),IFERROR(LOOKUP(2,1/($B$9:$B$362=$B363),$T$9:$T362),0)&gt;0))),IFERROR(LOOKUP(2,1/($B$9:$B$362=$B363),$T$9:$T362),0)+1,IFERROR(LOOKUP(2,1/($B$9:$B$362=$B363),$T$9:$T362),0)))</f>
        <v/>
      </c>
      <c r="U363" s="47" t="str">
        <f t="shared" si="87"/>
        <v/>
      </c>
      <c r="V363" s="47" t="str">
        <f>IF($A363="","",IF(OR($B363="",$C363="",$D363="",$E363="",$F363=""),"Missing required field",IF(COUNTIFS($A$9:$A363,$A363,$B$9:$B363,$B363)&gt;1,"Duplicate event ID",IF(AND($E363&lt;&gt;IFERROR(LOOKUP(2,1/($B$9:$B$362=$B363),$E$9:$E362),0),IFERROR(LOOKUP(2,1/($B$9:$B$362=$B363),$E$9:$E362),0)&gt;$E363),"Date out of order",IF(AND(OR($F363="buy_to_close",$F363="expire",$F363="roll",$F363="assignment",$F363="called_away"),$AF363=0),"Unknown lot",IF(OR(AND($F363="assignment",$AF363&gt;0,IF($AF363&gt;0,INDEX($AG$9:$AG$362,$AF363),"")&lt;&gt;"put"),AND($F363="called_away",$AF363&gt;0,IF($AF363&gt;0,INDEX($AG$9:$AG$362,$AF363),"")&lt;&gt;"call")),"Wrong option leg",IF(OR(AND(OR($F363="sell_put",$F363="sell_call"),OR($H363&lt;=0,$I363&lt;=0,$J363&lt;0)),AND(OR($F363="buy_to_close",$F363="expire",$F363="assignment",$F363="called_away"),OR($H363&lt;=0,$J363&lt;0)),AND($F363="roll",OR($H363&lt;=0,$I363&lt;=0,$J363&lt;0,$K363&lt;0)),AND(OR($F363="buy_shares",$F363="sell_shares"),OR($L363&lt;=0,$M363&lt;0)),AND(OR($F363="dividend",$F363="fee"),$N363&lt;0)),"Invalid value",IF(AND(OR($F363="sell_shares",$F363="called_away"),$AL363&lt;IF($F363="called_away",$AE363*$D363,$L363)),"Insufficient shares (capped)",IF(AND(OR($F363="buy_to_close",$F363="expire",$F363="roll",$F363="assignment",$F363="called_away"),$AF363&gt;0,$H363&gt;IF($AF363&gt;0,MAX(0,INDEX($AI$9:$AI$362,$AF363)-SUMIFS($AE$9:$AE$362,$G$9:$G$362,$G363,$B$9:$B$362,$B363)),0)),"Close quantity capped","OK")))))))))</f>
        <v/>
      </c>
      <c r="W363" s="48" t="str">
        <f t="shared" si="88"/>
        <v/>
      </c>
      <c r="X363" s="49" t="str">
        <f t="shared" si="89"/>
        <v/>
      </c>
      <c r="Y363" s="50" t="str">
        <f t="shared" si="90"/>
        <v/>
      </c>
      <c r="Z363" s="50" t="str">
        <f t="shared" si="91"/>
        <v/>
      </c>
      <c r="AA363" s="50" t="str">
        <f t="shared" si="92"/>
        <v/>
      </c>
      <c r="AB363" s="50" t="str">
        <f t="shared" si="93"/>
        <v/>
      </c>
      <c r="AC363" s="50" t="str">
        <f>IF($A363="","",IF($F363="assignment",IF($AF363&gt;0,INDEX($AH$9:$AH$362,$AF363),0)*$AE363*$D363,IF($F363="buy_shares",$M363*$AL363,0)))</f>
        <v/>
      </c>
      <c r="AD363" s="50" t="str">
        <f>IF($A363="","",IF($F363="called_away",IF($AF363&gt;0,INDEX($AH$9:$AH$362,$AF363),0)*$AL363,IF($F363="sell_shares",$M363*$AL363,0)))</f>
        <v/>
      </c>
      <c r="AE363" s="51" t="str">
        <f>IF($A363="","",IF(OR($F363="sell_put",$F363="sell_call"),IF(AND($H363&gt;0,$I363&gt;0,$J363&gt;=0),$H363,0),IF(OR($F363="buy_to_close",$F363="expire",$F363="roll",$F363="assignment",$F363="called_away"),IF(AND($AF363&gt;0,$H363&gt;0,IF($F363="assignment",IF($AF363&gt;0,INDEX($AG$9:$AG$362,$AF363),"")="put",TRUE),IF($F363="called_away",IF($AF363&gt;0,INDEX($AG$9:$AG$362,$AF363),"")="call",TRUE)),MIN($H363,IF($AF363&gt;0,MAX(0,INDEX($AI$9:$AI$362,$AF363)-SUMIFS($AE$9:$AE$362,$G$9:$G$362,$G363,$B$9:$B$362,$B363)),0)),0),0)))</f>
        <v/>
      </c>
      <c r="AF363" t="str">
        <f>IF($A363="","",IFERROR(MATCH(LEN($B363)&amp;":"&amp;$B363&amp;$G363,$AY$9:$AY$362,0),0))</f>
        <v/>
      </c>
      <c r="AG363" t="str">
        <f>IF($A363="","",IF($F363="sell_put","put",IF($F363="sell_call","call",IF($F363="roll",IF($AF363&gt;0,IF($AF363&gt;0,INDEX($AG$9:$AG$362,$AF363),""),""),IF($AF363&gt;0,IF($AF363&gt;0,INDEX($AG$9:$AG$362,$AF363),""),"")))))</f>
        <v/>
      </c>
      <c r="AH363" t="str">
        <f>IF($A363="","",IF(OR($F363="sell_put",$F363="sell_call",$F363="roll"),$I363,IF($AF363&gt;0,IF($AF363&gt;0,INDEX($AH$9:$AH$362,$AF363),0),0)))</f>
        <v/>
      </c>
      <c r="AI363" s="51" t="str">
        <f t="shared" si="94"/>
        <v/>
      </c>
      <c r="AJ363" s="51" t="str">
        <f>IF($A363="","",IFERROR(LOOKUP(2,1/($B$9:$B$362=$B363),$AM$9:$AM362),0))</f>
        <v/>
      </c>
      <c r="AK363" t="str">
        <f>IF($A363="","",IFERROR(LOOKUP(2,1/($B$9:$B$362=$B363),$AN$9:$AN362),0))</f>
        <v/>
      </c>
      <c r="AL363" s="51" t="str">
        <f t="shared" si="95"/>
        <v/>
      </c>
      <c r="AM363" s="51" t="str">
        <f t="shared" si="96"/>
        <v/>
      </c>
      <c r="AN363" t="str">
        <f t="shared" si="97"/>
        <v/>
      </c>
      <c r="AO363" s="50" t="str">
        <f>IF($A363="","",IFERROR(LOOKUP(2,1/($B$9:$B$362=$B363),$AO$9:$AO362),0)+IF($F363="sell_put",$I363*$AE363*$D363,IF($F363="roll",IF($AG363="put",($I363-IF($AF363&gt;0,INDEX($AH$9:$AH$362,$AF363),0))*$AE363*$D363,0),IF(AND(OR($F363="buy_to_close",$F363="expire",$F363="roll",$F363="assignment",$F363="called_away"),$F363&lt;&gt;"roll",$AG363="put"),-IF($AF363&gt;0,INDEX($AH$9:$AH$362,$AF363),0)*$AE363*$D363,0))))</f>
        <v/>
      </c>
      <c r="AP363" s="51" t="str">
        <f>IF($A363="","",IFERROR(LOOKUP(2,1/($B$9:$B$362=$B363),$AP$9:$AP362),0)+IF($F363="sell_put",$AE363*$D363,IF(AND(OR($F363="buy_to_close",$F363="expire",$F363="roll",$F363="assignment",$F363="called_away"),$F363&lt;&gt;"roll",$AG363="put"),-$AE363*$D363,0)))</f>
        <v/>
      </c>
      <c r="AQ363" s="51" t="str">
        <f>IF($A363="","",IFERROR(LOOKUP(2,1/($B$9:$B$362=$B363),$AQ$9:$AQ362),0)+IF(OR($F363="sell_put",$F363="sell_call"),$AE363,0)-IF(AND(OR($F363="buy_to_close",$F363="expire",$F363="roll",$F363="assignment",$F363="called_away"),$F363&lt;&gt;"roll"),$AE363,0))</f>
        <v/>
      </c>
      <c r="AR363" t="str">
        <f t="shared" si="98"/>
        <v/>
      </c>
      <c r="AS363" s="50" t="str">
        <f t="shared" si="99"/>
        <v/>
      </c>
      <c r="AT363" s="50" t="str">
        <f>IF($A363="","",MAX(IF($T363=IFERROR(LOOKUP(2,1/($B$9:$B$362=$B363),$T$9:$T362),0),IFERROR(LOOKUP(2,1/($B$9:$B$362=$B363),$AT$9:$AT362),0),0),$AS363))</f>
        <v/>
      </c>
      <c r="AU363" t="str">
        <f t="shared" si="100"/>
        <v/>
      </c>
      <c r="AV363" s="51">
        <f>IF($AU363="",0,IF(AND(IFERROR(LOOKUP(2,1/($B$9:$B$362=$B363),$AR$9:$AR362),1),NOT(AND(OR($F363="dividend",$F363="fee"),IFERROR(LOOKUP(2,1/($B$9:$B$362=$B363),$T$9:$T362),0)&gt;0))),ROW(),0))</f>
        <v>0</v>
      </c>
      <c r="AW363">
        <f>IF($A363="",0,IF($AV363&gt;0,MAX($AW$9:$AW$362)+1,MAX($AW$9:$AW$362)))</f>
        <v>0</v>
      </c>
      <c r="AX363">
        <f>IF($AU363="",0,IF(AND($AR363,OR(NOT(IFERROR(LOOKUP(2,1/($B$9:$B$362=$B363),$AR$9:$AR362),1)),IFERROR(LOOKUP(2,1/($B$9:$B$362=$B363),$T$9:$T362),0)=0)),ROW(),0))</f>
        <v>0</v>
      </c>
      <c r="AY363" t="str">
        <f t="shared" si="101"/>
        <v/>
      </c>
    </row>
    <row r="364" spans="1:51" ht="15" x14ac:dyDescent="0.25">
      <c r="A364" s="52" t="str">
        <f>IF(Trades!$A364="","",Trades!O364)</f>
        <v/>
      </c>
      <c r="B364" s="52" t="str">
        <f>IF(Trades!$A364="","",Trades!B364)</f>
        <v/>
      </c>
      <c r="C364" s="52" t="str">
        <f>IF(Trades!$A364="","",Trades!C364)</f>
        <v/>
      </c>
      <c r="D364" s="53" t="str">
        <f>IF(Trades!$A364="","",IF(Trades!$L364&gt;0,Trades!$L364,Trades!$C$6))</f>
        <v/>
      </c>
      <c r="E364" s="54" t="str">
        <f>IF(Trades!$A364="","",Trades!A364)</f>
        <v/>
      </c>
      <c r="F364" s="52" t="str">
        <f>IF(Trades!$A364="","",IFERROR(INDEX(Trades!$V$2:$V$14,MATCH(Trades!$E364,Trades!$U$2:$U$14,0)),""))</f>
        <v/>
      </c>
      <c r="G364" s="52" t="str">
        <f>IF(Trades!$A364="","",Trades!N364)</f>
        <v/>
      </c>
      <c r="H364" s="53" t="str">
        <f>IF(Trades!$A364="","",Trades!F364)</f>
        <v/>
      </c>
      <c r="I364" s="55" t="str">
        <f>IF(Trades!$A364="","",Trades!G364)</f>
        <v/>
      </c>
      <c r="J364" s="55" t="str">
        <f>IF(Trades!$A364="","",Trades!I364)</f>
        <v/>
      </c>
      <c r="K364" s="55" t="str">
        <f>IF(Trades!$A364="","",Trades!Q364)</f>
        <v/>
      </c>
      <c r="L364" s="53" t="str">
        <f>IF(Trades!$A364="","",Trades!F364)</f>
        <v/>
      </c>
      <c r="M364" s="55" t="str">
        <f>IF(Trades!$A364="","",Trades!M364)</f>
        <v/>
      </c>
      <c r="N364" s="55" t="str">
        <f>IF(Trades!$A364="","",Trades!R364)</f>
        <v/>
      </c>
      <c r="O364" s="55" t="str">
        <f>IF(Trades!$A364="","",Trades!J364)</f>
        <v/>
      </c>
      <c r="P364" s="54" t="str">
        <f>IF(Trades!$A364="","",Trades!H364)</f>
        <v/>
      </c>
      <c r="Q364" s="52" t="str">
        <f>IF(Trades!$A364="","",Trades!P364)</f>
        <v/>
      </c>
      <c r="R364" s="56" t="str">
        <f t="shared" si="85"/>
        <v/>
      </c>
      <c r="S364" s="56" t="str">
        <f t="shared" si="86"/>
        <v/>
      </c>
      <c r="T364" s="57" t="str">
        <f>IF(OR($A364="",$B364=""),"",IF(AND(IFERROR(LOOKUP(2,1/($B$9:$B$363=$B364),$AR$9:$AR363),1),NOT(AND(OR($F364="dividend",$F364="fee"),IFERROR(LOOKUP(2,1/($B$9:$B$363=$B364),$T$9:$T363),0)&gt;0))),IFERROR(LOOKUP(2,1/($B$9:$B$363=$B364),$T$9:$T363),0)+1,IFERROR(LOOKUP(2,1/($B$9:$B$363=$B364),$T$9:$T363),0)))</f>
        <v/>
      </c>
      <c r="U364" s="58" t="str">
        <f t="shared" si="87"/>
        <v/>
      </c>
      <c r="V364" s="58" t="str">
        <f>IF($A364="","",IF(OR($B364="",$C364="",$D364="",$E364="",$F364=""),"Missing required field",IF(COUNTIFS($A$9:$A364,$A364,$B$9:$B364,$B364)&gt;1,"Duplicate event ID",IF(AND($E364&lt;&gt;IFERROR(LOOKUP(2,1/($B$9:$B$363=$B364),$E$9:$E363),0),IFERROR(LOOKUP(2,1/($B$9:$B$363=$B364),$E$9:$E363),0)&gt;$E364),"Date out of order",IF(AND(OR($F364="buy_to_close",$F364="expire",$F364="roll",$F364="assignment",$F364="called_away"),$AF364=0),"Unknown lot",IF(OR(AND($F364="assignment",$AF364&gt;0,IF($AF364&gt;0,INDEX($AG$9:$AG$363,$AF364),"")&lt;&gt;"put"),AND($F364="called_away",$AF364&gt;0,IF($AF364&gt;0,INDEX($AG$9:$AG$363,$AF364),"")&lt;&gt;"call")),"Wrong option leg",IF(OR(AND(OR($F364="sell_put",$F364="sell_call"),OR($H364&lt;=0,$I364&lt;=0,$J364&lt;0)),AND(OR($F364="buy_to_close",$F364="expire",$F364="assignment",$F364="called_away"),OR($H364&lt;=0,$J364&lt;0)),AND($F364="roll",OR($H364&lt;=0,$I364&lt;=0,$J364&lt;0,$K364&lt;0)),AND(OR($F364="buy_shares",$F364="sell_shares"),OR($L364&lt;=0,$M364&lt;0)),AND(OR($F364="dividend",$F364="fee"),$N364&lt;0)),"Invalid value",IF(AND(OR($F364="sell_shares",$F364="called_away"),$AL364&lt;IF($F364="called_away",$AE364*$D364,$L364)),"Insufficient shares (capped)",IF(AND(OR($F364="buy_to_close",$F364="expire",$F364="roll",$F364="assignment",$F364="called_away"),$AF364&gt;0,$H364&gt;IF($AF364&gt;0,MAX(0,INDEX($AI$9:$AI$363,$AF364)-SUMIFS($AE$9:$AE$363,$G$9:$G$363,$G364,$B$9:$B$363,$B364)),0)),"Close quantity capped","OK")))))))))</f>
        <v/>
      </c>
      <c r="W364" s="59" t="str">
        <f t="shared" si="88"/>
        <v/>
      </c>
      <c r="X364" s="60" t="str">
        <f t="shared" si="89"/>
        <v/>
      </c>
      <c r="Y364" s="50" t="str">
        <f t="shared" si="90"/>
        <v/>
      </c>
      <c r="Z364" s="50" t="str">
        <f t="shared" si="91"/>
        <v/>
      </c>
      <c r="AA364" s="50" t="str">
        <f t="shared" si="92"/>
        <v/>
      </c>
      <c r="AB364" s="50" t="str">
        <f t="shared" si="93"/>
        <v/>
      </c>
      <c r="AC364" s="50" t="str">
        <f>IF($A364="","",IF($F364="assignment",IF($AF364&gt;0,INDEX($AH$9:$AH$363,$AF364),0)*$AE364*$D364,IF($F364="buy_shares",$M364*$AL364,0)))</f>
        <v/>
      </c>
      <c r="AD364" s="50" t="str">
        <f>IF($A364="","",IF($F364="called_away",IF($AF364&gt;0,INDEX($AH$9:$AH$363,$AF364),0)*$AL364,IF($F364="sell_shares",$M364*$AL364,0)))</f>
        <v/>
      </c>
      <c r="AE364" s="51" t="str">
        <f>IF($A364="","",IF(OR($F364="sell_put",$F364="sell_call"),IF(AND($H364&gt;0,$I364&gt;0,$J364&gt;=0),$H364,0),IF(OR($F364="buy_to_close",$F364="expire",$F364="roll",$F364="assignment",$F364="called_away"),IF(AND($AF364&gt;0,$H364&gt;0,IF($F364="assignment",IF($AF364&gt;0,INDEX($AG$9:$AG$363,$AF364),"")="put",TRUE),IF($F364="called_away",IF($AF364&gt;0,INDEX($AG$9:$AG$363,$AF364),"")="call",TRUE)),MIN($H364,IF($AF364&gt;0,MAX(0,INDEX($AI$9:$AI$363,$AF364)-SUMIFS($AE$9:$AE$363,$G$9:$G$363,$G364,$B$9:$B$363,$B364)),0)),0),0)))</f>
        <v/>
      </c>
      <c r="AF364" t="str">
        <f>IF($A364="","",IFERROR(MATCH(LEN($B364)&amp;":"&amp;$B364&amp;$G364,$AY$9:$AY$363,0),0))</f>
        <v/>
      </c>
      <c r="AG364" t="str">
        <f>IF($A364="","",IF($F364="sell_put","put",IF($F364="sell_call","call",IF($F364="roll",IF($AF364&gt;0,IF($AF364&gt;0,INDEX($AG$9:$AG$363,$AF364),""),""),IF($AF364&gt;0,IF($AF364&gt;0,INDEX($AG$9:$AG$363,$AF364),""),"")))))</f>
        <v/>
      </c>
      <c r="AH364" t="str">
        <f>IF($A364="","",IF(OR($F364="sell_put",$F364="sell_call",$F364="roll"),$I364,IF($AF364&gt;0,IF($AF364&gt;0,INDEX($AH$9:$AH$363,$AF364),0),0)))</f>
        <v/>
      </c>
      <c r="AI364" s="51" t="str">
        <f t="shared" si="94"/>
        <v/>
      </c>
      <c r="AJ364" s="51" t="str">
        <f>IF($A364="","",IFERROR(LOOKUP(2,1/($B$9:$B$363=$B364),$AM$9:$AM363),0))</f>
        <v/>
      </c>
      <c r="AK364" t="str">
        <f>IF($A364="","",IFERROR(LOOKUP(2,1/($B$9:$B$363=$B364),$AN$9:$AN363),0))</f>
        <v/>
      </c>
      <c r="AL364" s="51" t="str">
        <f t="shared" si="95"/>
        <v/>
      </c>
      <c r="AM364" s="51" t="str">
        <f t="shared" si="96"/>
        <v/>
      </c>
      <c r="AN364" t="str">
        <f t="shared" si="97"/>
        <v/>
      </c>
      <c r="AO364" s="50" t="str">
        <f>IF($A364="","",IFERROR(LOOKUP(2,1/($B$9:$B$363=$B364),$AO$9:$AO363),0)+IF($F364="sell_put",$I364*$AE364*$D364,IF($F364="roll",IF($AG364="put",($I364-IF($AF364&gt;0,INDEX($AH$9:$AH$363,$AF364),0))*$AE364*$D364,0),IF(AND(OR($F364="buy_to_close",$F364="expire",$F364="roll",$F364="assignment",$F364="called_away"),$F364&lt;&gt;"roll",$AG364="put"),-IF($AF364&gt;0,INDEX($AH$9:$AH$363,$AF364),0)*$AE364*$D364,0))))</f>
        <v/>
      </c>
      <c r="AP364" s="51" t="str">
        <f>IF($A364="","",IFERROR(LOOKUP(2,1/($B$9:$B$363=$B364),$AP$9:$AP363),0)+IF($F364="sell_put",$AE364*$D364,IF(AND(OR($F364="buy_to_close",$F364="expire",$F364="roll",$F364="assignment",$F364="called_away"),$F364&lt;&gt;"roll",$AG364="put"),-$AE364*$D364,0)))</f>
        <v/>
      </c>
      <c r="AQ364" s="51" t="str">
        <f>IF($A364="","",IFERROR(LOOKUP(2,1/($B$9:$B$363=$B364),$AQ$9:$AQ363),0)+IF(OR($F364="sell_put",$F364="sell_call"),$AE364,0)-IF(AND(OR($F364="buy_to_close",$F364="expire",$F364="roll",$F364="assignment",$F364="called_away"),$F364&lt;&gt;"roll"),$AE364,0))</f>
        <v/>
      </c>
      <c r="AR364" t="str">
        <f t="shared" si="98"/>
        <v/>
      </c>
      <c r="AS364" s="50" t="str">
        <f t="shared" si="99"/>
        <v/>
      </c>
      <c r="AT364" s="50" t="str">
        <f>IF($A364="","",MAX(IF($T364=IFERROR(LOOKUP(2,1/($B$9:$B$363=$B364),$T$9:$T363),0),IFERROR(LOOKUP(2,1/($B$9:$B$363=$B364),$AT$9:$AT363),0),0),$AS364))</f>
        <v/>
      </c>
      <c r="AU364" t="str">
        <f t="shared" si="100"/>
        <v/>
      </c>
      <c r="AV364" s="51">
        <f>IF($AU364="",0,IF(AND(IFERROR(LOOKUP(2,1/($B$9:$B$363=$B364),$AR$9:$AR363),1),NOT(AND(OR($F364="dividend",$F364="fee"),IFERROR(LOOKUP(2,1/($B$9:$B$363=$B364),$T$9:$T363),0)&gt;0))),ROW(),0))</f>
        <v>0</v>
      </c>
      <c r="AW364">
        <f>IF($A364="",0,IF($AV364&gt;0,MAX($AW$9:$AW$363)+1,MAX($AW$9:$AW$363)))</f>
        <v>0</v>
      </c>
      <c r="AX364">
        <f>IF($AU364="",0,IF(AND($AR364,OR(NOT(IFERROR(LOOKUP(2,1/($B$9:$B$363=$B364),$AR$9:$AR363),1)),IFERROR(LOOKUP(2,1/($B$9:$B$363=$B364),$T$9:$T363),0)=0)),ROW(),0))</f>
        <v>0</v>
      </c>
      <c r="AY364" t="str">
        <f t="shared" si="101"/>
        <v/>
      </c>
    </row>
    <row r="365" spans="1:51" ht="15" x14ac:dyDescent="0.25">
      <c r="A365" s="41" t="str">
        <f>IF(Trades!$A365="","",Trades!O365)</f>
        <v/>
      </c>
      <c r="B365" s="41" t="str">
        <f>IF(Trades!$A365="","",Trades!B365)</f>
        <v/>
      </c>
      <c r="C365" s="41" t="str">
        <f>IF(Trades!$A365="","",Trades!C365)</f>
        <v/>
      </c>
      <c r="D365" s="42" t="str">
        <f>IF(Trades!$A365="","",IF(Trades!$L365&gt;0,Trades!$L365,Trades!$C$6))</f>
        <v/>
      </c>
      <c r="E365" s="43" t="str">
        <f>IF(Trades!$A365="","",Trades!A365)</f>
        <v/>
      </c>
      <c r="F365" s="41" t="str">
        <f>IF(Trades!$A365="","",IFERROR(INDEX(Trades!$V$2:$V$14,MATCH(Trades!$E365,Trades!$U$2:$U$14,0)),""))</f>
        <v/>
      </c>
      <c r="G365" s="41" t="str">
        <f>IF(Trades!$A365="","",Trades!N365)</f>
        <v/>
      </c>
      <c r="H365" s="42" t="str">
        <f>IF(Trades!$A365="","",Trades!F365)</f>
        <v/>
      </c>
      <c r="I365" s="44" t="str">
        <f>IF(Trades!$A365="","",Trades!G365)</f>
        <v/>
      </c>
      <c r="J365" s="44" t="str">
        <f>IF(Trades!$A365="","",Trades!I365)</f>
        <v/>
      </c>
      <c r="K365" s="44" t="str">
        <f>IF(Trades!$A365="","",Trades!Q365)</f>
        <v/>
      </c>
      <c r="L365" s="42" t="str">
        <f>IF(Trades!$A365="","",Trades!F365)</f>
        <v/>
      </c>
      <c r="M365" s="44" t="str">
        <f>IF(Trades!$A365="","",Trades!M365)</f>
        <v/>
      </c>
      <c r="N365" s="44" t="str">
        <f>IF(Trades!$A365="","",Trades!R365)</f>
        <v/>
      </c>
      <c r="O365" s="44" t="str">
        <f>IF(Trades!$A365="","",Trades!J365)</f>
        <v/>
      </c>
      <c r="P365" s="43" t="str">
        <f>IF(Trades!$A365="","",Trades!H365)</f>
        <v/>
      </c>
      <c r="Q365" s="41" t="str">
        <f>IF(Trades!$A365="","",Trades!P365)</f>
        <v/>
      </c>
      <c r="R365" s="45" t="str">
        <f t="shared" si="85"/>
        <v/>
      </c>
      <c r="S365" s="45" t="str">
        <f t="shared" si="86"/>
        <v/>
      </c>
      <c r="T365" s="46" t="str">
        <f>IF(OR($A365="",$B365=""),"",IF(AND(IFERROR(LOOKUP(2,1/($B$9:$B$364=$B365),$AR$9:$AR364),1),NOT(AND(OR($F365="dividend",$F365="fee"),IFERROR(LOOKUP(2,1/($B$9:$B$364=$B365),$T$9:$T364),0)&gt;0))),IFERROR(LOOKUP(2,1/($B$9:$B$364=$B365),$T$9:$T364),0)+1,IFERROR(LOOKUP(2,1/($B$9:$B$364=$B365),$T$9:$T364),0)))</f>
        <v/>
      </c>
      <c r="U365" s="47" t="str">
        <f t="shared" si="87"/>
        <v/>
      </c>
      <c r="V365" s="47" t="str">
        <f>IF($A365="","",IF(OR($B365="",$C365="",$D365="",$E365="",$F365=""),"Missing required field",IF(COUNTIFS($A$9:$A365,$A365,$B$9:$B365,$B365)&gt;1,"Duplicate event ID",IF(AND($E365&lt;&gt;IFERROR(LOOKUP(2,1/($B$9:$B$364=$B365),$E$9:$E364),0),IFERROR(LOOKUP(2,1/($B$9:$B$364=$B365),$E$9:$E364),0)&gt;$E365),"Date out of order",IF(AND(OR($F365="buy_to_close",$F365="expire",$F365="roll",$F365="assignment",$F365="called_away"),$AF365=0),"Unknown lot",IF(OR(AND($F365="assignment",$AF365&gt;0,IF($AF365&gt;0,INDEX($AG$9:$AG$364,$AF365),"")&lt;&gt;"put"),AND($F365="called_away",$AF365&gt;0,IF($AF365&gt;0,INDEX($AG$9:$AG$364,$AF365),"")&lt;&gt;"call")),"Wrong option leg",IF(OR(AND(OR($F365="sell_put",$F365="sell_call"),OR($H365&lt;=0,$I365&lt;=0,$J365&lt;0)),AND(OR($F365="buy_to_close",$F365="expire",$F365="assignment",$F365="called_away"),OR($H365&lt;=0,$J365&lt;0)),AND($F365="roll",OR($H365&lt;=0,$I365&lt;=0,$J365&lt;0,$K365&lt;0)),AND(OR($F365="buy_shares",$F365="sell_shares"),OR($L365&lt;=0,$M365&lt;0)),AND(OR($F365="dividend",$F365="fee"),$N365&lt;0)),"Invalid value",IF(AND(OR($F365="sell_shares",$F365="called_away"),$AL365&lt;IF($F365="called_away",$AE365*$D365,$L365)),"Insufficient shares (capped)",IF(AND(OR($F365="buy_to_close",$F365="expire",$F365="roll",$F365="assignment",$F365="called_away"),$AF365&gt;0,$H365&gt;IF($AF365&gt;0,MAX(0,INDEX($AI$9:$AI$364,$AF365)-SUMIFS($AE$9:$AE$364,$G$9:$G$364,$G365,$B$9:$B$364,$B365)),0)),"Close quantity capped","OK")))))))))</f>
        <v/>
      </c>
      <c r="W365" s="48" t="str">
        <f t="shared" si="88"/>
        <v/>
      </c>
      <c r="X365" s="49" t="str">
        <f t="shared" si="89"/>
        <v/>
      </c>
      <c r="Y365" s="50" t="str">
        <f t="shared" si="90"/>
        <v/>
      </c>
      <c r="Z365" s="50" t="str">
        <f t="shared" si="91"/>
        <v/>
      </c>
      <c r="AA365" s="50" t="str">
        <f t="shared" si="92"/>
        <v/>
      </c>
      <c r="AB365" s="50" t="str">
        <f t="shared" si="93"/>
        <v/>
      </c>
      <c r="AC365" s="50" t="str">
        <f>IF($A365="","",IF($F365="assignment",IF($AF365&gt;0,INDEX($AH$9:$AH$364,$AF365),0)*$AE365*$D365,IF($F365="buy_shares",$M365*$AL365,0)))</f>
        <v/>
      </c>
      <c r="AD365" s="50" t="str">
        <f>IF($A365="","",IF($F365="called_away",IF($AF365&gt;0,INDEX($AH$9:$AH$364,$AF365),0)*$AL365,IF($F365="sell_shares",$M365*$AL365,0)))</f>
        <v/>
      </c>
      <c r="AE365" s="51" t="str">
        <f>IF($A365="","",IF(OR($F365="sell_put",$F365="sell_call"),IF(AND($H365&gt;0,$I365&gt;0,$J365&gt;=0),$H365,0),IF(OR($F365="buy_to_close",$F365="expire",$F365="roll",$F365="assignment",$F365="called_away"),IF(AND($AF365&gt;0,$H365&gt;0,IF($F365="assignment",IF($AF365&gt;0,INDEX($AG$9:$AG$364,$AF365),"")="put",TRUE),IF($F365="called_away",IF($AF365&gt;0,INDEX($AG$9:$AG$364,$AF365),"")="call",TRUE)),MIN($H365,IF($AF365&gt;0,MAX(0,INDEX($AI$9:$AI$364,$AF365)-SUMIFS($AE$9:$AE$364,$G$9:$G$364,$G365,$B$9:$B$364,$B365)),0)),0),0)))</f>
        <v/>
      </c>
      <c r="AF365" t="str">
        <f>IF($A365="","",IFERROR(MATCH(LEN($B365)&amp;":"&amp;$B365&amp;$G365,$AY$9:$AY$364,0),0))</f>
        <v/>
      </c>
      <c r="AG365" t="str">
        <f>IF($A365="","",IF($F365="sell_put","put",IF($F365="sell_call","call",IF($F365="roll",IF($AF365&gt;0,IF($AF365&gt;0,INDEX($AG$9:$AG$364,$AF365),""),""),IF($AF365&gt;0,IF($AF365&gt;0,INDEX($AG$9:$AG$364,$AF365),""),"")))))</f>
        <v/>
      </c>
      <c r="AH365" t="str">
        <f>IF($A365="","",IF(OR($F365="sell_put",$F365="sell_call",$F365="roll"),$I365,IF($AF365&gt;0,IF($AF365&gt;0,INDEX($AH$9:$AH$364,$AF365),0),0)))</f>
        <v/>
      </c>
      <c r="AI365" s="51" t="str">
        <f t="shared" si="94"/>
        <v/>
      </c>
      <c r="AJ365" s="51" t="str">
        <f>IF($A365="","",IFERROR(LOOKUP(2,1/($B$9:$B$364=$B365),$AM$9:$AM364),0))</f>
        <v/>
      </c>
      <c r="AK365" t="str">
        <f>IF($A365="","",IFERROR(LOOKUP(2,1/($B$9:$B$364=$B365),$AN$9:$AN364),0))</f>
        <v/>
      </c>
      <c r="AL365" s="51" t="str">
        <f t="shared" si="95"/>
        <v/>
      </c>
      <c r="AM365" s="51" t="str">
        <f t="shared" si="96"/>
        <v/>
      </c>
      <c r="AN365" t="str">
        <f t="shared" si="97"/>
        <v/>
      </c>
      <c r="AO365" s="50" t="str">
        <f>IF($A365="","",IFERROR(LOOKUP(2,1/($B$9:$B$364=$B365),$AO$9:$AO364),0)+IF($F365="sell_put",$I365*$AE365*$D365,IF($F365="roll",IF($AG365="put",($I365-IF($AF365&gt;0,INDEX($AH$9:$AH$364,$AF365),0))*$AE365*$D365,0),IF(AND(OR($F365="buy_to_close",$F365="expire",$F365="roll",$F365="assignment",$F365="called_away"),$F365&lt;&gt;"roll",$AG365="put"),-IF($AF365&gt;0,INDEX($AH$9:$AH$364,$AF365),0)*$AE365*$D365,0))))</f>
        <v/>
      </c>
      <c r="AP365" s="51" t="str">
        <f>IF($A365="","",IFERROR(LOOKUP(2,1/($B$9:$B$364=$B365),$AP$9:$AP364),0)+IF($F365="sell_put",$AE365*$D365,IF(AND(OR($F365="buy_to_close",$F365="expire",$F365="roll",$F365="assignment",$F365="called_away"),$F365&lt;&gt;"roll",$AG365="put"),-$AE365*$D365,0)))</f>
        <v/>
      </c>
      <c r="AQ365" s="51" t="str">
        <f>IF($A365="","",IFERROR(LOOKUP(2,1/($B$9:$B$364=$B365),$AQ$9:$AQ364),0)+IF(OR($F365="sell_put",$F365="sell_call"),$AE365,0)-IF(AND(OR($F365="buy_to_close",$F365="expire",$F365="roll",$F365="assignment",$F365="called_away"),$F365&lt;&gt;"roll"),$AE365,0))</f>
        <v/>
      </c>
      <c r="AR365" t="str">
        <f t="shared" si="98"/>
        <v/>
      </c>
      <c r="AS365" s="50" t="str">
        <f t="shared" si="99"/>
        <v/>
      </c>
      <c r="AT365" s="50" t="str">
        <f>IF($A365="","",MAX(IF($T365=IFERROR(LOOKUP(2,1/($B$9:$B$364=$B365),$T$9:$T364),0),IFERROR(LOOKUP(2,1/($B$9:$B$364=$B365),$AT$9:$AT364),0),0),$AS365))</f>
        <v/>
      </c>
      <c r="AU365" t="str">
        <f t="shared" si="100"/>
        <v/>
      </c>
      <c r="AV365" s="51">
        <f>IF($AU365="",0,IF(AND(IFERROR(LOOKUP(2,1/($B$9:$B$364=$B365),$AR$9:$AR364),1),NOT(AND(OR($F365="dividend",$F365="fee"),IFERROR(LOOKUP(2,1/($B$9:$B$364=$B365),$T$9:$T364),0)&gt;0))),ROW(),0))</f>
        <v>0</v>
      </c>
      <c r="AW365">
        <f>IF($A365="",0,IF($AV365&gt;0,MAX($AW$9:$AW$364)+1,MAX($AW$9:$AW$364)))</f>
        <v>0</v>
      </c>
      <c r="AX365">
        <f>IF($AU365="",0,IF(AND($AR365,OR(NOT(IFERROR(LOOKUP(2,1/($B$9:$B$364=$B365),$AR$9:$AR364),1)),IFERROR(LOOKUP(2,1/($B$9:$B$364=$B365),$T$9:$T364),0)=0)),ROW(),0))</f>
        <v>0</v>
      </c>
      <c r="AY365" t="str">
        <f t="shared" si="101"/>
        <v/>
      </c>
    </row>
    <row r="366" spans="1:51" ht="15" x14ac:dyDescent="0.25">
      <c r="A366" s="52" t="str">
        <f>IF(Trades!$A366="","",Trades!O366)</f>
        <v/>
      </c>
      <c r="B366" s="52" t="str">
        <f>IF(Trades!$A366="","",Trades!B366)</f>
        <v/>
      </c>
      <c r="C366" s="52" t="str">
        <f>IF(Trades!$A366="","",Trades!C366)</f>
        <v/>
      </c>
      <c r="D366" s="53" t="str">
        <f>IF(Trades!$A366="","",IF(Trades!$L366&gt;0,Trades!$L366,Trades!$C$6))</f>
        <v/>
      </c>
      <c r="E366" s="54" t="str">
        <f>IF(Trades!$A366="","",Trades!A366)</f>
        <v/>
      </c>
      <c r="F366" s="52" t="str">
        <f>IF(Trades!$A366="","",IFERROR(INDEX(Trades!$V$2:$V$14,MATCH(Trades!$E366,Trades!$U$2:$U$14,0)),""))</f>
        <v/>
      </c>
      <c r="G366" s="52" t="str">
        <f>IF(Trades!$A366="","",Trades!N366)</f>
        <v/>
      </c>
      <c r="H366" s="53" t="str">
        <f>IF(Trades!$A366="","",Trades!F366)</f>
        <v/>
      </c>
      <c r="I366" s="55" t="str">
        <f>IF(Trades!$A366="","",Trades!G366)</f>
        <v/>
      </c>
      <c r="J366" s="55" t="str">
        <f>IF(Trades!$A366="","",Trades!I366)</f>
        <v/>
      </c>
      <c r="K366" s="55" t="str">
        <f>IF(Trades!$A366="","",Trades!Q366)</f>
        <v/>
      </c>
      <c r="L366" s="53" t="str">
        <f>IF(Trades!$A366="","",Trades!F366)</f>
        <v/>
      </c>
      <c r="M366" s="55" t="str">
        <f>IF(Trades!$A366="","",Trades!M366)</f>
        <v/>
      </c>
      <c r="N366" s="55" t="str">
        <f>IF(Trades!$A366="","",Trades!R366)</f>
        <v/>
      </c>
      <c r="O366" s="55" t="str">
        <f>IF(Trades!$A366="","",Trades!J366)</f>
        <v/>
      </c>
      <c r="P366" s="54" t="str">
        <f>IF(Trades!$A366="","",Trades!H366)</f>
        <v/>
      </c>
      <c r="Q366" s="52" t="str">
        <f>IF(Trades!$A366="","",Trades!P366)</f>
        <v/>
      </c>
      <c r="R366" s="56" t="str">
        <f t="shared" si="85"/>
        <v/>
      </c>
      <c r="S366" s="56" t="str">
        <f t="shared" si="86"/>
        <v/>
      </c>
      <c r="T366" s="57" t="str">
        <f>IF(OR($A366="",$B366=""),"",IF(AND(IFERROR(LOOKUP(2,1/($B$9:$B$365=$B366),$AR$9:$AR365),1),NOT(AND(OR($F366="dividend",$F366="fee"),IFERROR(LOOKUP(2,1/($B$9:$B$365=$B366),$T$9:$T365),0)&gt;0))),IFERROR(LOOKUP(2,1/($B$9:$B$365=$B366),$T$9:$T365),0)+1,IFERROR(LOOKUP(2,1/($B$9:$B$365=$B366),$T$9:$T365),0)))</f>
        <v/>
      </c>
      <c r="U366" s="58" t="str">
        <f t="shared" si="87"/>
        <v/>
      </c>
      <c r="V366" s="58" t="str">
        <f>IF($A366="","",IF(OR($B366="",$C366="",$D366="",$E366="",$F366=""),"Missing required field",IF(COUNTIFS($A$9:$A366,$A366,$B$9:$B366,$B366)&gt;1,"Duplicate event ID",IF(AND($E366&lt;&gt;IFERROR(LOOKUP(2,1/($B$9:$B$365=$B366),$E$9:$E365),0),IFERROR(LOOKUP(2,1/($B$9:$B$365=$B366),$E$9:$E365),0)&gt;$E366),"Date out of order",IF(AND(OR($F366="buy_to_close",$F366="expire",$F366="roll",$F366="assignment",$F366="called_away"),$AF366=0),"Unknown lot",IF(OR(AND($F366="assignment",$AF366&gt;0,IF($AF366&gt;0,INDEX($AG$9:$AG$365,$AF366),"")&lt;&gt;"put"),AND($F366="called_away",$AF366&gt;0,IF($AF366&gt;0,INDEX($AG$9:$AG$365,$AF366),"")&lt;&gt;"call")),"Wrong option leg",IF(OR(AND(OR($F366="sell_put",$F366="sell_call"),OR($H366&lt;=0,$I366&lt;=0,$J366&lt;0)),AND(OR($F366="buy_to_close",$F366="expire",$F366="assignment",$F366="called_away"),OR($H366&lt;=0,$J366&lt;0)),AND($F366="roll",OR($H366&lt;=0,$I366&lt;=0,$J366&lt;0,$K366&lt;0)),AND(OR($F366="buy_shares",$F366="sell_shares"),OR($L366&lt;=0,$M366&lt;0)),AND(OR($F366="dividend",$F366="fee"),$N366&lt;0)),"Invalid value",IF(AND(OR($F366="sell_shares",$F366="called_away"),$AL366&lt;IF($F366="called_away",$AE366*$D366,$L366)),"Insufficient shares (capped)",IF(AND(OR($F366="buy_to_close",$F366="expire",$F366="roll",$F366="assignment",$F366="called_away"),$AF366&gt;0,$H366&gt;IF($AF366&gt;0,MAX(0,INDEX($AI$9:$AI$365,$AF366)-SUMIFS($AE$9:$AE$365,$G$9:$G$365,$G366,$B$9:$B$365,$B366)),0)),"Close quantity capped","OK")))))))))</f>
        <v/>
      </c>
      <c r="W366" s="59" t="str">
        <f t="shared" si="88"/>
        <v/>
      </c>
      <c r="X366" s="60" t="str">
        <f t="shared" si="89"/>
        <v/>
      </c>
      <c r="Y366" s="50" t="str">
        <f t="shared" si="90"/>
        <v/>
      </c>
      <c r="Z366" s="50" t="str">
        <f t="shared" si="91"/>
        <v/>
      </c>
      <c r="AA366" s="50" t="str">
        <f t="shared" si="92"/>
        <v/>
      </c>
      <c r="AB366" s="50" t="str">
        <f t="shared" si="93"/>
        <v/>
      </c>
      <c r="AC366" s="50" t="str">
        <f>IF($A366="","",IF($F366="assignment",IF($AF366&gt;0,INDEX($AH$9:$AH$365,$AF366),0)*$AE366*$D366,IF($F366="buy_shares",$M366*$AL366,0)))</f>
        <v/>
      </c>
      <c r="AD366" s="50" t="str">
        <f>IF($A366="","",IF($F366="called_away",IF($AF366&gt;0,INDEX($AH$9:$AH$365,$AF366),0)*$AL366,IF($F366="sell_shares",$M366*$AL366,0)))</f>
        <v/>
      </c>
      <c r="AE366" s="51" t="str">
        <f>IF($A366="","",IF(OR($F366="sell_put",$F366="sell_call"),IF(AND($H366&gt;0,$I366&gt;0,$J366&gt;=0),$H366,0),IF(OR($F366="buy_to_close",$F366="expire",$F366="roll",$F366="assignment",$F366="called_away"),IF(AND($AF366&gt;0,$H366&gt;0,IF($F366="assignment",IF($AF366&gt;0,INDEX($AG$9:$AG$365,$AF366),"")="put",TRUE),IF($F366="called_away",IF($AF366&gt;0,INDEX($AG$9:$AG$365,$AF366),"")="call",TRUE)),MIN($H366,IF($AF366&gt;0,MAX(0,INDEX($AI$9:$AI$365,$AF366)-SUMIFS($AE$9:$AE$365,$G$9:$G$365,$G366,$B$9:$B$365,$B366)),0)),0),0)))</f>
        <v/>
      </c>
      <c r="AF366" t="str">
        <f>IF($A366="","",IFERROR(MATCH(LEN($B366)&amp;":"&amp;$B366&amp;$G366,$AY$9:$AY$365,0),0))</f>
        <v/>
      </c>
      <c r="AG366" t="str">
        <f>IF($A366="","",IF($F366="sell_put","put",IF($F366="sell_call","call",IF($F366="roll",IF($AF366&gt;0,IF($AF366&gt;0,INDEX($AG$9:$AG$365,$AF366),""),""),IF($AF366&gt;0,IF($AF366&gt;0,INDEX($AG$9:$AG$365,$AF366),""),"")))))</f>
        <v/>
      </c>
      <c r="AH366" t="str">
        <f>IF($A366="","",IF(OR($F366="sell_put",$F366="sell_call",$F366="roll"),$I366,IF($AF366&gt;0,IF($AF366&gt;0,INDEX($AH$9:$AH$365,$AF366),0),0)))</f>
        <v/>
      </c>
      <c r="AI366" s="51" t="str">
        <f t="shared" si="94"/>
        <v/>
      </c>
      <c r="AJ366" s="51" t="str">
        <f>IF($A366="","",IFERROR(LOOKUP(2,1/($B$9:$B$365=$B366),$AM$9:$AM365),0))</f>
        <v/>
      </c>
      <c r="AK366" t="str">
        <f>IF($A366="","",IFERROR(LOOKUP(2,1/($B$9:$B$365=$B366),$AN$9:$AN365),0))</f>
        <v/>
      </c>
      <c r="AL366" s="51" t="str">
        <f t="shared" si="95"/>
        <v/>
      </c>
      <c r="AM366" s="51" t="str">
        <f t="shared" si="96"/>
        <v/>
      </c>
      <c r="AN366" t="str">
        <f t="shared" si="97"/>
        <v/>
      </c>
      <c r="AO366" s="50" t="str">
        <f>IF($A366="","",IFERROR(LOOKUP(2,1/($B$9:$B$365=$B366),$AO$9:$AO365),0)+IF($F366="sell_put",$I366*$AE366*$D366,IF($F366="roll",IF($AG366="put",($I366-IF($AF366&gt;0,INDEX($AH$9:$AH$365,$AF366),0))*$AE366*$D366,0),IF(AND(OR($F366="buy_to_close",$F366="expire",$F366="roll",$F366="assignment",$F366="called_away"),$F366&lt;&gt;"roll",$AG366="put"),-IF($AF366&gt;0,INDEX($AH$9:$AH$365,$AF366),0)*$AE366*$D366,0))))</f>
        <v/>
      </c>
      <c r="AP366" s="51" t="str">
        <f>IF($A366="","",IFERROR(LOOKUP(2,1/($B$9:$B$365=$B366),$AP$9:$AP365),0)+IF($F366="sell_put",$AE366*$D366,IF(AND(OR($F366="buy_to_close",$F366="expire",$F366="roll",$F366="assignment",$F366="called_away"),$F366&lt;&gt;"roll",$AG366="put"),-$AE366*$D366,0)))</f>
        <v/>
      </c>
      <c r="AQ366" s="51" t="str">
        <f>IF($A366="","",IFERROR(LOOKUP(2,1/($B$9:$B$365=$B366),$AQ$9:$AQ365),0)+IF(OR($F366="sell_put",$F366="sell_call"),$AE366,0)-IF(AND(OR($F366="buy_to_close",$F366="expire",$F366="roll",$F366="assignment",$F366="called_away"),$F366&lt;&gt;"roll"),$AE366,0))</f>
        <v/>
      </c>
      <c r="AR366" t="str">
        <f t="shared" si="98"/>
        <v/>
      </c>
      <c r="AS366" s="50" t="str">
        <f t="shared" si="99"/>
        <v/>
      </c>
      <c r="AT366" s="50" t="str">
        <f>IF($A366="","",MAX(IF($T366=IFERROR(LOOKUP(2,1/($B$9:$B$365=$B366),$T$9:$T365),0),IFERROR(LOOKUP(2,1/($B$9:$B$365=$B366),$AT$9:$AT365),0),0),$AS366))</f>
        <v/>
      </c>
      <c r="AU366" t="str">
        <f t="shared" si="100"/>
        <v/>
      </c>
      <c r="AV366" s="51">
        <f>IF($AU366="",0,IF(AND(IFERROR(LOOKUP(2,1/($B$9:$B$365=$B366),$AR$9:$AR365),1),NOT(AND(OR($F366="dividend",$F366="fee"),IFERROR(LOOKUP(2,1/($B$9:$B$365=$B366),$T$9:$T365),0)&gt;0))),ROW(),0))</f>
        <v>0</v>
      </c>
      <c r="AW366">
        <f>IF($A366="",0,IF($AV366&gt;0,MAX($AW$9:$AW$365)+1,MAX($AW$9:$AW$365)))</f>
        <v>0</v>
      </c>
      <c r="AX366">
        <f>IF($AU366="",0,IF(AND($AR366,OR(NOT(IFERROR(LOOKUP(2,1/($B$9:$B$365=$B366),$AR$9:$AR365),1)),IFERROR(LOOKUP(2,1/($B$9:$B$365=$B366),$T$9:$T365),0)=0)),ROW(),0))</f>
        <v>0</v>
      </c>
      <c r="AY366" t="str">
        <f t="shared" si="101"/>
        <v/>
      </c>
    </row>
    <row r="367" spans="1:51" ht="15" x14ac:dyDescent="0.25">
      <c r="A367" s="41" t="str">
        <f>IF(Trades!$A367="","",Trades!O367)</f>
        <v/>
      </c>
      <c r="B367" s="41" t="str">
        <f>IF(Trades!$A367="","",Trades!B367)</f>
        <v/>
      </c>
      <c r="C367" s="41" t="str">
        <f>IF(Trades!$A367="","",Trades!C367)</f>
        <v/>
      </c>
      <c r="D367" s="42" t="str">
        <f>IF(Trades!$A367="","",IF(Trades!$L367&gt;0,Trades!$L367,Trades!$C$6))</f>
        <v/>
      </c>
      <c r="E367" s="43" t="str">
        <f>IF(Trades!$A367="","",Trades!A367)</f>
        <v/>
      </c>
      <c r="F367" s="41" t="str">
        <f>IF(Trades!$A367="","",IFERROR(INDEX(Trades!$V$2:$V$14,MATCH(Trades!$E367,Trades!$U$2:$U$14,0)),""))</f>
        <v/>
      </c>
      <c r="G367" s="41" t="str">
        <f>IF(Trades!$A367="","",Trades!N367)</f>
        <v/>
      </c>
      <c r="H367" s="42" t="str">
        <f>IF(Trades!$A367="","",Trades!F367)</f>
        <v/>
      </c>
      <c r="I367" s="44" t="str">
        <f>IF(Trades!$A367="","",Trades!G367)</f>
        <v/>
      </c>
      <c r="J367" s="44" t="str">
        <f>IF(Trades!$A367="","",Trades!I367)</f>
        <v/>
      </c>
      <c r="K367" s="44" t="str">
        <f>IF(Trades!$A367="","",Trades!Q367)</f>
        <v/>
      </c>
      <c r="L367" s="42" t="str">
        <f>IF(Trades!$A367="","",Trades!F367)</f>
        <v/>
      </c>
      <c r="M367" s="44" t="str">
        <f>IF(Trades!$A367="","",Trades!M367)</f>
        <v/>
      </c>
      <c r="N367" s="44" t="str">
        <f>IF(Trades!$A367="","",Trades!R367)</f>
        <v/>
      </c>
      <c r="O367" s="44" t="str">
        <f>IF(Trades!$A367="","",Trades!J367)</f>
        <v/>
      </c>
      <c r="P367" s="43" t="str">
        <f>IF(Trades!$A367="","",Trades!H367)</f>
        <v/>
      </c>
      <c r="Q367" s="41" t="str">
        <f>IF(Trades!$A367="","",Trades!P367)</f>
        <v/>
      </c>
      <c r="R367" s="45" t="str">
        <f t="shared" si="85"/>
        <v/>
      </c>
      <c r="S367" s="45" t="str">
        <f t="shared" si="86"/>
        <v/>
      </c>
      <c r="T367" s="46" t="str">
        <f>IF(OR($A367="",$B367=""),"",IF(AND(IFERROR(LOOKUP(2,1/($B$9:$B$366=$B367),$AR$9:$AR366),1),NOT(AND(OR($F367="dividend",$F367="fee"),IFERROR(LOOKUP(2,1/($B$9:$B$366=$B367),$T$9:$T366),0)&gt;0))),IFERROR(LOOKUP(2,1/($B$9:$B$366=$B367),$T$9:$T366),0)+1,IFERROR(LOOKUP(2,1/($B$9:$B$366=$B367),$T$9:$T366),0)))</f>
        <v/>
      </c>
      <c r="U367" s="47" t="str">
        <f t="shared" si="87"/>
        <v/>
      </c>
      <c r="V367" s="47" t="str">
        <f>IF($A367="","",IF(OR($B367="",$C367="",$D367="",$E367="",$F367=""),"Missing required field",IF(COUNTIFS($A$9:$A367,$A367,$B$9:$B367,$B367)&gt;1,"Duplicate event ID",IF(AND($E367&lt;&gt;IFERROR(LOOKUP(2,1/($B$9:$B$366=$B367),$E$9:$E366),0),IFERROR(LOOKUP(2,1/($B$9:$B$366=$B367),$E$9:$E366),0)&gt;$E367),"Date out of order",IF(AND(OR($F367="buy_to_close",$F367="expire",$F367="roll",$F367="assignment",$F367="called_away"),$AF367=0),"Unknown lot",IF(OR(AND($F367="assignment",$AF367&gt;0,IF($AF367&gt;0,INDEX($AG$9:$AG$366,$AF367),"")&lt;&gt;"put"),AND($F367="called_away",$AF367&gt;0,IF($AF367&gt;0,INDEX($AG$9:$AG$366,$AF367),"")&lt;&gt;"call")),"Wrong option leg",IF(OR(AND(OR($F367="sell_put",$F367="sell_call"),OR($H367&lt;=0,$I367&lt;=0,$J367&lt;0)),AND(OR($F367="buy_to_close",$F367="expire",$F367="assignment",$F367="called_away"),OR($H367&lt;=0,$J367&lt;0)),AND($F367="roll",OR($H367&lt;=0,$I367&lt;=0,$J367&lt;0,$K367&lt;0)),AND(OR($F367="buy_shares",$F367="sell_shares"),OR($L367&lt;=0,$M367&lt;0)),AND(OR($F367="dividend",$F367="fee"),$N367&lt;0)),"Invalid value",IF(AND(OR($F367="sell_shares",$F367="called_away"),$AL367&lt;IF($F367="called_away",$AE367*$D367,$L367)),"Insufficient shares (capped)",IF(AND(OR($F367="buy_to_close",$F367="expire",$F367="roll",$F367="assignment",$F367="called_away"),$AF367&gt;0,$H367&gt;IF($AF367&gt;0,MAX(0,INDEX($AI$9:$AI$366,$AF367)-SUMIFS($AE$9:$AE$366,$G$9:$G$366,$G367,$B$9:$B$366,$B367)),0)),"Close quantity capped","OK")))))))))</f>
        <v/>
      </c>
      <c r="W367" s="48" t="str">
        <f t="shared" si="88"/>
        <v/>
      </c>
      <c r="X367" s="49" t="str">
        <f t="shared" si="89"/>
        <v/>
      </c>
      <c r="Y367" s="50" t="str">
        <f t="shared" si="90"/>
        <v/>
      </c>
      <c r="Z367" s="50" t="str">
        <f t="shared" si="91"/>
        <v/>
      </c>
      <c r="AA367" s="50" t="str">
        <f t="shared" si="92"/>
        <v/>
      </c>
      <c r="AB367" s="50" t="str">
        <f t="shared" si="93"/>
        <v/>
      </c>
      <c r="AC367" s="50" t="str">
        <f>IF($A367="","",IF($F367="assignment",IF($AF367&gt;0,INDEX($AH$9:$AH$366,$AF367),0)*$AE367*$D367,IF($F367="buy_shares",$M367*$AL367,0)))</f>
        <v/>
      </c>
      <c r="AD367" s="50" t="str">
        <f>IF($A367="","",IF($F367="called_away",IF($AF367&gt;0,INDEX($AH$9:$AH$366,$AF367),0)*$AL367,IF($F367="sell_shares",$M367*$AL367,0)))</f>
        <v/>
      </c>
      <c r="AE367" s="51" t="str">
        <f>IF($A367="","",IF(OR($F367="sell_put",$F367="sell_call"),IF(AND($H367&gt;0,$I367&gt;0,$J367&gt;=0),$H367,0),IF(OR($F367="buy_to_close",$F367="expire",$F367="roll",$F367="assignment",$F367="called_away"),IF(AND($AF367&gt;0,$H367&gt;0,IF($F367="assignment",IF($AF367&gt;0,INDEX($AG$9:$AG$366,$AF367),"")="put",TRUE),IF($F367="called_away",IF($AF367&gt;0,INDEX($AG$9:$AG$366,$AF367),"")="call",TRUE)),MIN($H367,IF($AF367&gt;0,MAX(0,INDEX($AI$9:$AI$366,$AF367)-SUMIFS($AE$9:$AE$366,$G$9:$G$366,$G367,$B$9:$B$366,$B367)),0)),0),0)))</f>
        <v/>
      </c>
      <c r="AF367" t="str">
        <f>IF($A367="","",IFERROR(MATCH(LEN($B367)&amp;":"&amp;$B367&amp;$G367,$AY$9:$AY$366,0),0))</f>
        <v/>
      </c>
      <c r="AG367" t="str">
        <f>IF($A367="","",IF($F367="sell_put","put",IF($F367="sell_call","call",IF($F367="roll",IF($AF367&gt;0,IF($AF367&gt;0,INDEX($AG$9:$AG$366,$AF367),""),""),IF($AF367&gt;0,IF($AF367&gt;0,INDEX($AG$9:$AG$366,$AF367),""),"")))))</f>
        <v/>
      </c>
      <c r="AH367" t="str">
        <f>IF($A367="","",IF(OR($F367="sell_put",$F367="sell_call",$F367="roll"),$I367,IF($AF367&gt;0,IF($AF367&gt;0,INDEX($AH$9:$AH$366,$AF367),0),0)))</f>
        <v/>
      </c>
      <c r="AI367" s="51" t="str">
        <f t="shared" si="94"/>
        <v/>
      </c>
      <c r="AJ367" s="51" t="str">
        <f>IF($A367="","",IFERROR(LOOKUP(2,1/($B$9:$B$366=$B367),$AM$9:$AM366),0))</f>
        <v/>
      </c>
      <c r="AK367" t="str">
        <f>IF($A367="","",IFERROR(LOOKUP(2,1/($B$9:$B$366=$B367),$AN$9:$AN366),0))</f>
        <v/>
      </c>
      <c r="AL367" s="51" t="str">
        <f t="shared" si="95"/>
        <v/>
      </c>
      <c r="AM367" s="51" t="str">
        <f t="shared" si="96"/>
        <v/>
      </c>
      <c r="AN367" t="str">
        <f t="shared" si="97"/>
        <v/>
      </c>
      <c r="AO367" s="50" t="str">
        <f>IF($A367="","",IFERROR(LOOKUP(2,1/($B$9:$B$366=$B367),$AO$9:$AO366),0)+IF($F367="sell_put",$I367*$AE367*$D367,IF($F367="roll",IF($AG367="put",($I367-IF($AF367&gt;0,INDEX($AH$9:$AH$366,$AF367),0))*$AE367*$D367,0),IF(AND(OR($F367="buy_to_close",$F367="expire",$F367="roll",$F367="assignment",$F367="called_away"),$F367&lt;&gt;"roll",$AG367="put"),-IF($AF367&gt;0,INDEX($AH$9:$AH$366,$AF367),0)*$AE367*$D367,0))))</f>
        <v/>
      </c>
      <c r="AP367" s="51" t="str">
        <f>IF($A367="","",IFERROR(LOOKUP(2,1/($B$9:$B$366=$B367),$AP$9:$AP366),0)+IF($F367="sell_put",$AE367*$D367,IF(AND(OR($F367="buy_to_close",$F367="expire",$F367="roll",$F367="assignment",$F367="called_away"),$F367&lt;&gt;"roll",$AG367="put"),-$AE367*$D367,0)))</f>
        <v/>
      </c>
      <c r="AQ367" s="51" t="str">
        <f>IF($A367="","",IFERROR(LOOKUP(2,1/($B$9:$B$366=$B367),$AQ$9:$AQ366),0)+IF(OR($F367="sell_put",$F367="sell_call"),$AE367,0)-IF(AND(OR($F367="buy_to_close",$F367="expire",$F367="roll",$F367="assignment",$F367="called_away"),$F367&lt;&gt;"roll"),$AE367,0))</f>
        <v/>
      </c>
      <c r="AR367" t="str">
        <f t="shared" si="98"/>
        <v/>
      </c>
      <c r="AS367" s="50" t="str">
        <f t="shared" si="99"/>
        <v/>
      </c>
      <c r="AT367" s="50" t="str">
        <f>IF($A367="","",MAX(IF($T367=IFERROR(LOOKUP(2,1/($B$9:$B$366=$B367),$T$9:$T366),0),IFERROR(LOOKUP(2,1/($B$9:$B$366=$B367),$AT$9:$AT366),0),0),$AS367))</f>
        <v/>
      </c>
      <c r="AU367" t="str">
        <f t="shared" si="100"/>
        <v/>
      </c>
      <c r="AV367" s="51">
        <f>IF($AU367="",0,IF(AND(IFERROR(LOOKUP(2,1/($B$9:$B$366=$B367),$AR$9:$AR366),1),NOT(AND(OR($F367="dividend",$F367="fee"),IFERROR(LOOKUP(2,1/($B$9:$B$366=$B367),$T$9:$T366),0)&gt;0))),ROW(),0))</f>
        <v>0</v>
      </c>
      <c r="AW367">
        <f>IF($A367="",0,IF($AV367&gt;0,MAX($AW$9:$AW$366)+1,MAX($AW$9:$AW$366)))</f>
        <v>0</v>
      </c>
      <c r="AX367">
        <f>IF($AU367="",0,IF(AND($AR367,OR(NOT(IFERROR(LOOKUP(2,1/($B$9:$B$366=$B367),$AR$9:$AR366),1)),IFERROR(LOOKUP(2,1/($B$9:$B$366=$B367),$T$9:$T366),0)=0)),ROW(),0))</f>
        <v>0</v>
      </c>
      <c r="AY367" t="str">
        <f t="shared" si="101"/>
        <v/>
      </c>
    </row>
    <row r="368" spans="1:51" ht="15" x14ac:dyDescent="0.25">
      <c r="A368" s="52" t="str">
        <f>IF(Trades!$A368="","",Trades!O368)</f>
        <v/>
      </c>
      <c r="B368" s="52" t="str">
        <f>IF(Trades!$A368="","",Trades!B368)</f>
        <v/>
      </c>
      <c r="C368" s="52" t="str">
        <f>IF(Trades!$A368="","",Trades!C368)</f>
        <v/>
      </c>
      <c r="D368" s="53" t="str">
        <f>IF(Trades!$A368="","",IF(Trades!$L368&gt;0,Trades!$L368,Trades!$C$6))</f>
        <v/>
      </c>
      <c r="E368" s="54" t="str">
        <f>IF(Trades!$A368="","",Trades!A368)</f>
        <v/>
      </c>
      <c r="F368" s="52" t="str">
        <f>IF(Trades!$A368="","",IFERROR(INDEX(Trades!$V$2:$V$14,MATCH(Trades!$E368,Trades!$U$2:$U$14,0)),""))</f>
        <v/>
      </c>
      <c r="G368" s="52" t="str">
        <f>IF(Trades!$A368="","",Trades!N368)</f>
        <v/>
      </c>
      <c r="H368" s="53" t="str">
        <f>IF(Trades!$A368="","",Trades!F368)</f>
        <v/>
      </c>
      <c r="I368" s="55" t="str">
        <f>IF(Trades!$A368="","",Trades!G368)</f>
        <v/>
      </c>
      <c r="J368" s="55" t="str">
        <f>IF(Trades!$A368="","",Trades!I368)</f>
        <v/>
      </c>
      <c r="K368" s="55" t="str">
        <f>IF(Trades!$A368="","",Trades!Q368)</f>
        <v/>
      </c>
      <c r="L368" s="53" t="str">
        <f>IF(Trades!$A368="","",Trades!F368)</f>
        <v/>
      </c>
      <c r="M368" s="55" t="str">
        <f>IF(Trades!$A368="","",Trades!M368)</f>
        <v/>
      </c>
      <c r="N368" s="55" t="str">
        <f>IF(Trades!$A368="","",Trades!R368)</f>
        <v/>
      </c>
      <c r="O368" s="55" t="str">
        <f>IF(Trades!$A368="","",Trades!J368)</f>
        <v/>
      </c>
      <c r="P368" s="54" t="str">
        <f>IF(Trades!$A368="","",Trades!H368)</f>
        <v/>
      </c>
      <c r="Q368" s="52" t="str">
        <f>IF(Trades!$A368="","",Trades!P368)</f>
        <v/>
      </c>
      <c r="R368" s="56" t="str">
        <f t="shared" si="85"/>
        <v/>
      </c>
      <c r="S368" s="56" t="str">
        <f t="shared" si="86"/>
        <v/>
      </c>
      <c r="T368" s="57" t="str">
        <f>IF(OR($A368="",$B368=""),"",IF(AND(IFERROR(LOOKUP(2,1/($B$9:$B$367=$B368),$AR$9:$AR367),1),NOT(AND(OR($F368="dividend",$F368="fee"),IFERROR(LOOKUP(2,1/($B$9:$B$367=$B368),$T$9:$T367),0)&gt;0))),IFERROR(LOOKUP(2,1/($B$9:$B$367=$B368),$T$9:$T367),0)+1,IFERROR(LOOKUP(2,1/($B$9:$B$367=$B368),$T$9:$T367),0)))</f>
        <v/>
      </c>
      <c r="U368" s="58" t="str">
        <f t="shared" si="87"/>
        <v/>
      </c>
      <c r="V368" s="58" t="str">
        <f>IF($A368="","",IF(OR($B368="",$C368="",$D368="",$E368="",$F368=""),"Missing required field",IF(COUNTIFS($A$9:$A368,$A368,$B$9:$B368,$B368)&gt;1,"Duplicate event ID",IF(AND($E368&lt;&gt;IFERROR(LOOKUP(2,1/($B$9:$B$367=$B368),$E$9:$E367),0),IFERROR(LOOKUP(2,1/($B$9:$B$367=$B368),$E$9:$E367),0)&gt;$E368),"Date out of order",IF(AND(OR($F368="buy_to_close",$F368="expire",$F368="roll",$F368="assignment",$F368="called_away"),$AF368=0),"Unknown lot",IF(OR(AND($F368="assignment",$AF368&gt;0,IF($AF368&gt;0,INDEX($AG$9:$AG$367,$AF368),"")&lt;&gt;"put"),AND($F368="called_away",$AF368&gt;0,IF($AF368&gt;0,INDEX($AG$9:$AG$367,$AF368),"")&lt;&gt;"call")),"Wrong option leg",IF(OR(AND(OR($F368="sell_put",$F368="sell_call"),OR($H368&lt;=0,$I368&lt;=0,$J368&lt;0)),AND(OR($F368="buy_to_close",$F368="expire",$F368="assignment",$F368="called_away"),OR($H368&lt;=0,$J368&lt;0)),AND($F368="roll",OR($H368&lt;=0,$I368&lt;=0,$J368&lt;0,$K368&lt;0)),AND(OR($F368="buy_shares",$F368="sell_shares"),OR($L368&lt;=0,$M368&lt;0)),AND(OR($F368="dividend",$F368="fee"),$N368&lt;0)),"Invalid value",IF(AND(OR($F368="sell_shares",$F368="called_away"),$AL368&lt;IF($F368="called_away",$AE368*$D368,$L368)),"Insufficient shares (capped)",IF(AND(OR($F368="buy_to_close",$F368="expire",$F368="roll",$F368="assignment",$F368="called_away"),$AF368&gt;0,$H368&gt;IF($AF368&gt;0,MAX(0,INDEX($AI$9:$AI$367,$AF368)-SUMIFS($AE$9:$AE$367,$G$9:$G$367,$G368,$B$9:$B$367,$B368)),0)),"Close quantity capped","OK")))))))))</f>
        <v/>
      </c>
      <c r="W368" s="59" t="str">
        <f t="shared" si="88"/>
        <v/>
      </c>
      <c r="X368" s="60" t="str">
        <f t="shared" si="89"/>
        <v/>
      </c>
      <c r="Y368" s="50" t="str">
        <f t="shared" si="90"/>
        <v/>
      </c>
      <c r="Z368" s="50" t="str">
        <f t="shared" si="91"/>
        <v/>
      </c>
      <c r="AA368" s="50" t="str">
        <f t="shared" si="92"/>
        <v/>
      </c>
      <c r="AB368" s="50" t="str">
        <f t="shared" si="93"/>
        <v/>
      </c>
      <c r="AC368" s="50" t="str">
        <f>IF($A368="","",IF($F368="assignment",IF($AF368&gt;0,INDEX($AH$9:$AH$367,$AF368),0)*$AE368*$D368,IF($F368="buy_shares",$M368*$AL368,0)))</f>
        <v/>
      </c>
      <c r="AD368" s="50" t="str">
        <f>IF($A368="","",IF($F368="called_away",IF($AF368&gt;0,INDEX($AH$9:$AH$367,$AF368),0)*$AL368,IF($F368="sell_shares",$M368*$AL368,0)))</f>
        <v/>
      </c>
      <c r="AE368" s="51" t="str">
        <f>IF($A368="","",IF(OR($F368="sell_put",$F368="sell_call"),IF(AND($H368&gt;0,$I368&gt;0,$J368&gt;=0),$H368,0),IF(OR($F368="buy_to_close",$F368="expire",$F368="roll",$F368="assignment",$F368="called_away"),IF(AND($AF368&gt;0,$H368&gt;0,IF($F368="assignment",IF($AF368&gt;0,INDEX($AG$9:$AG$367,$AF368),"")="put",TRUE),IF($F368="called_away",IF($AF368&gt;0,INDEX($AG$9:$AG$367,$AF368),"")="call",TRUE)),MIN($H368,IF($AF368&gt;0,MAX(0,INDEX($AI$9:$AI$367,$AF368)-SUMIFS($AE$9:$AE$367,$G$9:$G$367,$G368,$B$9:$B$367,$B368)),0)),0),0)))</f>
        <v/>
      </c>
      <c r="AF368" t="str">
        <f>IF($A368="","",IFERROR(MATCH(LEN($B368)&amp;":"&amp;$B368&amp;$G368,$AY$9:$AY$367,0),0))</f>
        <v/>
      </c>
      <c r="AG368" t="str">
        <f>IF($A368="","",IF($F368="sell_put","put",IF($F368="sell_call","call",IF($F368="roll",IF($AF368&gt;0,IF($AF368&gt;0,INDEX($AG$9:$AG$367,$AF368),""),""),IF($AF368&gt;0,IF($AF368&gt;0,INDEX($AG$9:$AG$367,$AF368),""),"")))))</f>
        <v/>
      </c>
      <c r="AH368" t="str">
        <f>IF($A368="","",IF(OR($F368="sell_put",$F368="sell_call",$F368="roll"),$I368,IF($AF368&gt;0,IF($AF368&gt;0,INDEX($AH$9:$AH$367,$AF368),0),0)))</f>
        <v/>
      </c>
      <c r="AI368" s="51" t="str">
        <f t="shared" si="94"/>
        <v/>
      </c>
      <c r="AJ368" s="51" t="str">
        <f>IF($A368="","",IFERROR(LOOKUP(2,1/($B$9:$B$367=$B368),$AM$9:$AM367),0))</f>
        <v/>
      </c>
      <c r="AK368" t="str">
        <f>IF($A368="","",IFERROR(LOOKUP(2,1/($B$9:$B$367=$B368),$AN$9:$AN367),0))</f>
        <v/>
      </c>
      <c r="AL368" s="51" t="str">
        <f t="shared" si="95"/>
        <v/>
      </c>
      <c r="AM368" s="51" t="str">
        <f t="shared" si="96"/>
        <v/>
      </c>
      <c r="AN368" t="str">
        <f t="shared" si="97"/>
        <v/>
      </c>
      <c r="AO368" s="50" t="str">
        <f>IF($A368="","",IFERROR(LOOKUP(2,1/($B$9:$B$367=$B368),$AO$9:$AO367),0)+IF($F368="sell_put",$I368*$AE368*$D368,IF($F368="roll",IF($AG368="put",($I368-IF($AF368&gt;0,INDEX($AH$9:$AH$367,$AF368),0))*$AE368*$D368,0),IF(AND(OR($F368="buy_to_close",$F368="expire",$F368="roll",$F368="assignment",$F368="called_away"),$F368&lt;&gt;"roll",$AG368="put"),-IF($AF368&gt;0,INDEX($AH$9:$AH$367,$AF368),0)*$AE368*$D368,0))))</f>
        <v/>
      </c>
      <c r="AP368" s="51" t="str">
        <f>IF($A368="","",IFERROR(LOOKUP(2,1/($B$9:$B$367=$B368),$AP$9:$AP367),0)+IF($F368="sell_put",$AE368*$D368,IF(AND(OR($F368="buy_to_close",$F368="expire",$F368="roll",$F368="assignment",$F368="called_away"),$F368&lt;&gt;"roll",$AG368="put"),-$AE368*$D368,0)))</f>
        <v/>
      </c>
      <c r="AQ368" s="51" t="str">
        <f>IF($A368="","",IFERROR(LOOKUP(2,1/($B$9:$B$367=$B368),$AQ$9:$AQ367),0)+IF(OR($F368="sell_put",$F368="sell_call"),$AE368,0)-IF(AND(OR($F368="buy_to_close",$F368="expire",$F368="roll",$F368="assignment",$F368="called_away"),$F368&lt;&gt;"roll"),$AE368,0))</f>
        <v/>
      </c>
      <c r="AR368" t="str">
        <f t="shared" si="98"/>
        <v/>
      </c>
      <c r="AS368" s="50" t="str">
        <f t="shared" si="99"/>
        <v/>
      </c>
      <c r="AT368" s="50" t="str">
        <f>IF($A368="","",MAX(IF($T368=IFERROR(LOOKUP(2,1/($B$9:$B$367=$B368),$T$9:$T367),0),IFERROR(LOOKUP(2,1/($B$9:$B$367=$B368),$AT$9:$AT367),0),0),$AS368))</f>
        <v/>
      </c>
      <c r="AU368" t="str">
        <f t="shared" si="100"/>
        <v/>
      </c>
      <c r="AV368" s="51">
        <f>IF($AU368="",0,IF(AND(IFERROR(LOOKUP(2,1/($B$9:$B$367=$B368),$AR$9:$AR367),1),NOT(AND(OR($F368="dividend",$F368="fee"),IFERROR(LOOKUP(2,1/($B$9:$B$367=$B368),$T$9:$T367),0)&gt;0))),ROW(),0))</f>
        <v>0</v>
      </c>
      <c r="AW368">
        <f>IF($A368="",0,IF($AV368&gt;0,MAX($AW$9:$AW$367)+1,MAX($AW$9:$AW$367)))</f>
        <v>0</v>
      </c>
      <c r="AX368">
        <f>IF($AU368="",0,IF(AND($AR368,OR(NOT(IFERROR(LOOKUP(2,1/($B$9:$B$367=$B368),$AR$9:$AR367),1)),IFERROR(LOOKUP(2,1/($B$9:$B$367=$B368),$T$9:$T367),0)=0)),ROW(),0))</f>
        <v>0</v>
      </c>
      <c r="AY368" t="str">
        <f t="shared" si="101"/>
        <v/>
      </c>
    </row>
    <row r="369" spans="1:51" ht="15" x14ac:dyDescent="0.25">
      <c r="A369" s="41" t="str">
        <f>IF(Trades!$A369="","",Trades!O369)</f>
        <v/>
      </c>
      <c r="B369" s="41" t="str">
        <f>IF(Trades!$A369="","",Trades!B369)</f>
        <v/>
      </c>
      <c r="C369" s="41" t="str">
        <f>IF(Trades!$A369="","",Trades!C369)</f>
        <v/>
      </c>
      <c r="D369" s="42" t="str">
        <f>IF(Trades!$A369="","",IF(Trades!$L369&gt;0,Trades!$L369,Trades!$C$6))</f>
        <v/>
      </c>
      <c r="E369" s="43" t="str">
        <f>IF(Trades!$A369="","",Trades!A369)</f>
        <v/>
      </c>
      <c r="F369" s="41" t="str">
        <f>IF(Trades!$A369="","",IFERROR(INDEX(Trades!$V$2:$V$14,MATCH(Trades!$E369,Trades!$U$2:$U$14,0)),""))</f>
        <v/>
      </c>
      <c r="G369" s="41" t="str">
        <f>IF(Trades!$A369="","",Trades!N369)</f>
        <v/>
      </c>
      <c r="H369" s="42" t="str">
        <f>IF(Trades!$A369="","",Trades!F369)</f>
        <v/>
      </c>
      <c r="I369" s="44" t="str">
        <f>IF(Trades!$A369="","",Trades!G369)</f>
        <v/>
      </c>
      <c r="J369" s="44" t="str">
        <f>IF(Trades!$A369="","",Trades!I369)</f>
        <v/>
      </c>
      <c r="K369" s="44" t="str">
        <f>IF(Trades!$A369="","",Trades!Q369)</f>
        <v/>
      </c>
      <c r="L369" s="42" t="str">
        <f>IF(Trades!$A369="","",Trades!F369)</f>
        <v/>
      </c>
      <c r="M369" s="44" t="str">
        <f>IF(Trades!$A369="","",Trades!M369)</f>
        <v/>
      </c>
      <c r="N369" s="44" t="str">
        <f>IF(Trades!$A369="","",Trades!R369)</f>
        <v/>
      </c>
      <c r="O369" s="44" t="str">
        <f>IF(Trades!$A369="","",Trades!J369)</f>
        <v/>
      </c>
      <c r="P369" s="43" t="str">
        <f>IF(Trades!$A369="","",Trades!H369)</f>
        <v/>
      </c>
      <c r="Q369" s="41" t="str">
        <f>IF(Trades!$A369="","",Trades!P369)</f>
        <v/>
      </c>
      <c r="R369" s="45" t="str">
        <f t="shared" si="85"/>
        <v/>
      </c>
      <c r="S369" s="45" t="str">
        <f t="shared" si="86"/>
        <v/>
      </c>
      <c r="T369" s="46" t="str">
        <f>IF(OR($A369="",$B369=""),"",IF(AND(IFERROR(LOOKUP(2,1/($B$9:$B$368=$B369),$AR$9:$AR368),1),NOT(AND(OR($F369="dividend",$F369="fee"),IFERROR(LOOKUP(2,1/($B$9:$B$368=$B369),$T$9:$T368),0)&gt;0))),IFERROR(LOOKUP(2,1/($B$9:$B$368=$B369),$T$9:$T368),0)+1,IFERROR(LOOKUP(2,1/($B$9:$B$368=$B369),$T$9:$T368),0)))</f>
        <v/>
      </c>
      <c r="U369" s="47" t="str">
        <f t="shared" si="87"/>
        <v/>
      </c>
      <c r="V369" s="47" t="str">
        <f>IF($A369="","",IF(OR($B369="",$C369="",$D369="",$E369="",$F369=""),"Missing required field",IF(COUNTIFS($A$9:$A369,$A369,$B$9:$B369,$B369)&gt;1,"Duplicate event ID",IF(AND($E369&lt;&gt;IFERROR(LOOKUP(2,1/($B$9:$B$368=$B369),$E$9:$E368),0),IFERROR(LOOKUP(2,1/($B$9:$B$368=$B369),$E$9:$E368),0)&gt;$E369),"Date out of order",IF(AND(OR($F369="buy_to_close",$F369="expire",$F369="roll",$F369="assignment",$F369="called_away"),$AF369=0),"Unknown lot",IF(OR(AND($F369="assignment",$AF369&gt;0,IF($AF369&gt;0,INDEX($AG$9:$AG$368,$AF369),"")&lt;&gt;"put"),AND($F369="called_away",$AF369&gt;0,IF($AF369&gt;0,INDEX($AG$9:$AG$368,$AF369),"")&lt;&gt;"call")),"Wrong option leg",IF(OR(AND(OR($F369="sell_put",$F369="sell_call"),OR($H369&lt;=0,$I369&lt;=0,$J369&lt;0)),AND(OR($F369="buy_to_close",$F369="expire",$F369="assignment",$F369="called_away"),OR($H369&lt;=0,$J369&lt;0)),AND($F369="roll",OR($H369&lt;=0,$I369&lt;=0,$J369&lt;0,$K369&lt;0)),AND(OR($F369="buy_shares",$F369="sell_shares"),OR($L369&lt;=0,$M369&lt;0)),AND(OR($F369="dividend",$F369="fee"),$N369&lt;0)),"Invalid value",IF(AND(OR($F369="sell_shares",$F369="called_away"),$AL369&lt;IF($F369="called_away",$AE369*$D369,$L369)),"Insufficient shares (capped)",IF(AND(OR($F369="buy_to_close",$F369="expire",$F369="roll",$F369="assignment",$F369="called_away"),$AF369&gt;0,$H369&gt;IF($AF369&gt;0,MAX(0,INDEX($AI$9:$AI$368,$AF369)-SUMIFS($AE$9:$AE$368,$G$9:$G$368,$G369,$B$9:$B$368,$B369)),0)),"Close quantity capped","OK")))))))))</f>
        <v/>
      </c>
      <c r="W369" s="48" t="str">
        <f t="shared" si="88"/>
        <v/>
      </c>
      <c r="X369" s="49" t="str">
        <f t="shared" si="89"/>
        <v/>
      </c>
      <c r="Y369" s="50" t="str">
        <f t="shared" si="90"/>
        <v/>
      </c>
      <c r="Z369" s="50" t="str">
        <f t="shared" si="91"/>
        <v/>
      </c>
      <c r="AA369" s="50" t="str">
        <f t="shared" si="92"/>
        <v/>
      </c>
      <c r="AB369" s="50" t="str">
        <f t="shared" si="93"/>
        <v/>
      </c>
      <c r="AC369" s="50" t="str">
        <f>IF($A369="","",IF($F369="assignment",IF($AF369&gt;0,INDEX($AH$9:$AH$368,$AF369),0)*$AE369*$D369,IF($F369="buy_shares",$M369*$AL369,0)))</f>
        <v/>
      </c>
      <c r="AD369" s="50" t="str">
        <f>IF($A369="","",IF($F369="called_away",IF($AF369&gt;0,INDEX($AH$9:$AH$368,$AF369),0)*$AL369,IF($F369="sell_shares",$M369*$AL369,0)))</f>
        <v/>
      </c>
      <c r="AE369" s="51" t="str">
        <f>IF($A369="","",IF(OR($F369="sell_put",$F369="sell_call"),IF(AND($H369&gt;0,$I369&gt;0,$J369&gt;=0),$H369,0),IF(OR($F369="buy_to_close",$F369="expire",$F369="roll",$F369="assignment",$F369="called_away"),IF(AND($AF369&gt;0,$H369&gt;0,IF($F369="assignment",IF($AF369&gt;0,INDEX($AG$9:$AG$368,$AF369),"")="put",TRUE),IF($F369="called_away",IF($AF369&gt;0,INDEX($AG$9:$AG$368,$AF369),"")="call",TRUE)),MIN($H369,IF($AF369&gt;0,MAX(0,INDEX($AI$9:$AI$368,$AF369)-SUMIFS($AE$9:$AE$368,$G$9:$G$368,$G369,$B$9:$B$368,$B369)),0)),0),0)))</f>
        <v/>
      </c>
      <c r="AF369" t="str">
        <f>IF($A369="","",IFERROR(MATCH(LEN($B369)&amp;":"&amp;$B369&amp;$G369,$AY$9:$AY$368,0),0))</f>
        <v/>
      </c>
      <c r="AG369" t="str">
        <f>IF($A369="","",IF($F369="sell_put","put",IF($F369="sell_call","call",IF($F369="roll",IF($AF369&gt;0,IF($AF369&gt;0,INDEX($AG$9:$AG$368,$AF369),""),""),IF($AF369&gt;0,IF($AF369&gt;0,INDEX($AG$9:$AG$368,$AF369),""),"")))))</f>
        <v/>
      </c>
      <c r="AH369" t="str">
        <f>IF($A369="","",IF(OR($F369="sell_put",$F369="sell_call",$F369="roll"),$I369,IF($AF369&gt;0,IF($AF369&gt;0,INDEX($AH$9:$AH$368,$AF369),0),0)))</f>
        <v/>
      </c>
      <c r="AI369" s="51" t="str">
        <f t="shared" si="94"/>
        <v/>
      </c>
      <c r="AJ369" s="51" t="str">
        <f>IF($A369="","",IFERROR(LOOKUP(2,1/($B$9:$B$368=$B369),$AM$9:$AM368),0))</f>
        <v/>
      </c>
      <c r="AK369" t="str">
        <f>IF($A369="","",IFERROR(LOOKUP(2,1/($B$9:$B$368=$B369),$AN$9:$AN368),0))</f>
        <v/>
      </c>
      <c r="AL369" s="51" t="str">
        <f t="shared" si="95"/>
        <v/>
      </c>
      <c r="AM369" s="51" t="str">
        <f t="shared" si="96"/>
        <v/>
      </c>
      <c r="AN369" t="str">
        <f t="shared" si="97"/>
        <v/>
      </c>
      <c r="AO369" s="50" t="str">
        <f>IF($A369="","",IFERROR(LOOKUP(2,1/($B$9:$B$368=$B369),$AO$9:$AO368),0)+IF($F369="sell_put",$I369*$AE369*$D369,IF($F369="roll",IF($AG369="put",($I369-IF($AF369&gt;0,INDEX($AH$9:$AH$368,$AF369),0))*$AE369*$D369,0),IF(AND(OR($F369="buy_to_close",$F369="expire",$F369="roll",$F369="assignment",$F369="called_away"),$F369&lt;&gt;"roll",$AG369="put"),-IF($AF369&gt;0,INDEX($AH$9:$AH$368,$AF369),0)*$AE369*$D369,0))))</f>
        <v/>
      </c>
      <c r="AP369" s="51" t="str">
        <f>IF($A369="","",IFERROR(LOOKUP(2,1/($B$9:$B$368=$B369),$AP$9:$AP368),0)+IF($F369="sell_put",$AE369*$D369,IF(AND(OR($F369="buy_to_close",$F369="expire",$F369="roll",$F369="assignment",$F369="called_away"),$F369&lt;&gt;"roll",$AG369="put"),-$AE369*$D369,0)))</f>
        <v/>
      </c>
      <c r="AQ369" s="51" t="str">
        <f>IF($A369="","",IFERROR(LOOKUP(2,1/($B$9:$B$368=$B369),$AQ$9:$AQ368),0)+IF(OR($F369="sell_put",$F369="sell_call"),$AE369,0)-IF(AND(OR($F369="buy_to_close",$F369="expire",$F369="roll",$F369="assignment",$F369="called_away"),$F369&lt;&gt;"roll"),$AE369,0))</f>
        <v/>
      </c>
      <c r="AR369" t="str">
        <f t="shared" si="98"/>
        <v/>
      </c>
      <c r="AS369" s="50" t="str">
        <f t="shared" si="99"/>
        <v/>
      </c>
      <c r="AT369" s="50" t="str">
        <f>IF($A369="","",MAX(IF($T369=IFERROR(LOOKUP(2,1/($B$9:$B$368=$B369),$T$9:$T368),0),IFERROR(LOOKUP(2,1/($B$9:$B$368=$B369),$AT$9:$AT368),0),0),$AS369))</f>
        <v/>
      </c>
      <c r="AU369" t="str">
        <f t="shared" si="100"/>
        <v/>
      </c>
      <c r="AV369" s="51">
        <f>IF($AU369="",0,IF(AND(IFERROR(LOOKUP(2,1/($B$9:$B$368=$B369),$AR$9:$AR368),1),NOT(AND(OR($F369="dividend",$F369="fee"),IFERROR(LOOKUP(2,1/($B$9:$B$368=$B369),$T$9:$T368),0)&gt;0))),ROW(),0))</f>
        <v>0</v>
      </c>
      <c r="AW369">
        <f>IF($A369="",0,IF($AV369&gt;0,MAX($AW$9:$AW$368)+1,MAX($AW$9:$AW$368)))</f>
        <v>0</v>
      </c>
      <c r="AX369">
        <f>IF($AU369="",0,IF(AND($AR369,OR(NOT(IFERROR(LOOKUP(2,1/($B$9:$B$368=$B369),$AR$9:$AR368),1)),IFERROR(LOOKUP(2,1/($B$9:$B$368=$B369),$T$9:$T368),0)=0)),ROW(),0))</f>
        <v>0</v>
      </c>
      <c r="AY369" t="str">
        <f t="shared" si="101"/>
        <v/>
      </c>
    </row>
    <row r="370" spans="1:51" ht="15" x14ac:dyDescent="0.25">
      <c r="A370" s="52" t="str">
        <f>IF(Trades!$A370="","",Trades!O370)</f>
        <v/>
      </c>
      <c r="B370" s="52" t="str">
        <f>IF(Trades!$A370="","",Trades!B370)</f>
        <v/>
      </c>
      <c r="C370" s="52" t="str">
        <f>IF(Trades!$A370="","",Trades!C370)</f>
        <v/>
      </c>
      <c r="D370" s="53" t="str">
        <f>IF(Trades!$A370="","",IF(Trades!$L370&gt;0,Trades!$L370,Trades!$C$6))</f>
        <v/>
      </c>
      <c r="E370" s="54" t="str">
        <f>IF(Trades!$A370="","",Trades!A370)</f>
        <v/>
      </c>
      <c r="F370" s="52" t="str">
        <f>IF(Trades!$A370="","",IFERROR(INDEX(Trades!$V$2:$V$14,MATCH(Trades!$E370,Trades!$U$2:$U$14,0)),""))</f>
        <v/>
      </c>
      <c r="G370" s="52" t="str">
        <f>IF(Trades!$A370="","",Trades!N370)</f>
        <v/>
      </c>
      <c r="H370" s="53" t="str">
        <f>IF(Trades!$A370="","",Trades!F370)</f>
        <v/>
      </c>
      <c r="I370" s="55" t="str">
        <f>IF(Trades!$A370="","",Trades!G370)</f>
        <v/>
      </c>
      <c r="J370" s="55" t="str">
        <f>IF(Trades!$A370="","",Trades!I370)</f>
        <v/>
      </c>
      <c r="K370" s="55" t="str">
        <f>IF(Trades!$A370="","",Trades!Q370)</f>
        <v/>
      </c>
      <c r="L370" s="53" t="str">
        <f>IF(Trades!$A370="","",Trades!F370)</f>
        <v/>
      </c>
      <c r="M370" s="55" t="str">
        <f>IF(Trades!$A370="","",Trades!M370)</f>
        <v/>
      </c>
      <c r="N370" s="55" t="str">
        <f>IF(Trades!$A370="","",Trades!R370)</f>
        <v/>
      </c>
      <c r="O370" s="55" t="str">
        <f>IF(Trades!$A370="","",Trades!J370)</f>
        <v/>
      </c>
      <c r="P370" s="54" t="str">
        <f>IF(Trades!$A370="","",Trades!H370)</f>
        <v/>
      </c>
      <c r="Q370" s="52" t="str">
        <f>IF(Trades!$A370="","",Trades!P370)</f>
        <v/>
      </c>
      <c r="R370" s="56" t="str">
        <f t="shared" si="85"/>
        <v/>
      </c>
      <c r="S370" s="56" t="str">
        <f t="shared" si="86"/>
        <v/>
      </c>
      <c r="T370" s="57" t="str">
        <f>IF(OR($A370="",$B370=""),"",IF(AND(IFERROR(LOOKUP(2,1/($B$9:$B$369=$B370),$AR$9:$AR369),1),NOT(AND(OR($F370="dividend",$F370="fee"),IFERROR(LOOKUP(2,1/($B$9:$B$369=$B370),$T$9:$T369),0)&gt;0))),IFERROR(LOOKUP(2,1/($B$9:$B$369=$B370),$T$9:$T369),0)+1,IFERROR(LOOKUP(2,1/($B$9:$B$369=$B370),$T$9:$T369),0)))</f>
        <v/>
      </c>
      <c r="U370" s="58" t="str">
        <f t="shared" si="87"/>
        <v/>
      </c>
      <c r="V370" s="58" t="str">
        <f>IF($A370="","",IF(OR($B370="",$C370="",$D370="",$E370="",$F370=""),"Missing required field",IF(COUNTIFS($A$9:$A370,$A370,$B$9:$B370,$B370)&gt;1,"Duplicate event ID",IF(AND($E370&lt;&gt;IFERROR(LOOKUP(2,1/($B$9:$B$369=$B370),$E$9:$E369),0),IFERROR(LOOKUP(2,1/($B$9:$B$369=$B370),$E$9:$E369),0)&gt;$E370),"Date out of order",IF(AND(OR($F370="buy_to_close",$F370="expire",$F370="roll",$F370="assignment",$F370="called_away"),$AF370=0),"Unknown lot",IF(OR(AND($F370="assignment",$AF370&gt;0,IF($AF370&gt;0,INDEX($AG$9:$AG$369,$AF370),"")&lt;&gt;"put"),AND($F370="called_away",$AF370&gt;0,IF($AF370&gt;0,INDEX($AG$9:$AG$369,$AF370),"")&lt;&gt;"call")),"Wrong option leg",IF(OR(AND(OR($F370="sell_put",$F370="sell_call"),OR($H370&lt;=0,$I370&lt;=0,$J370&lt;0)),AND(OR($F370="buy_to_close",$F370="expire",$F370="assignment",$F370="called_away"),OR($H370&lt;=0,$J370&lt;0)),AND($F370="roll",OR($H370&lt;=0,$I370&lt;=0,$J370&lt;0,$K370&lt;0)),AND(OR($F370="buy_shares",$F370="sell_shares"),OR($L370&lt;=0,$M370&lt;0)),AND(OR($F370="dividend",$F370="fee"),$N370&lt;0)),"Invalid value",IF(AND(OR($F370="sell_shares",$F370="called_away"),$AL370&lt;IF($F370="called_away",$AE370*$D370,$L370)),"Insufficient shares (capped)",IF(AND(OR($F370="buy_to_close",$F370="expire",$F370="roll",$F370="assignment",$F370="called_away"),$AF370&gt;0,$H370&gt;IF($AF370&gt;0,MAX(0,INDEX($AI$9:$AI$369,$AF370)-SUMIFS($AE$9:$AE$369,$G$9:$G$369,$G370,$B$9:$B$369,$B370)),0)),"Close quantity capped","OK")))))))))</f>
        <v/>
      </c>
      <c r="W370" s="59" t="str">
        <f t="shared" si="88"/>
        <v/>
      </c>
      <c r="X370" s="60" t="str">
        <f t="shared" si="89"/>
        <v/>
      </c>
      <c r="Y370" s="50" t="str">
        <f t="shared" si="90"/>
        <v/>
      </c>
      <c r="Z370" s="50" t="str">
        <f t="shared" si="91"/>
        <v/>
      </c>
      <c r="AA370" s="50" t="str">
        <f t="shared" si="92"/>
        <v/>
      </c>
      <c r="AB370" s="50" t="str">
        <f t="shared" si="93"/>
        <v/>
      </c>
      <c r="AC370" s="50" t="str">
        <f>IF($A370="","",IF($F370="assignment",IF($AF370&gt;0,INDEX($AH$9:$AH$369,$AF370),0)*$AE370*$D370,IF($F370="buy_shares",$M370*$AL370,0)))</f>
        <v/>
      </c>
      <c r="AD370" s="50" t="str">
        <f>IF($A370="","",IF($F370="called_away",IF($AF370&gt;0,INDEX($AH$9:$AH$369,$AF370),0)*$AL370,IF($F370="sell_shares",$M370*$AL370,0)))</f>
        <v/>
      </c>
      <c r="AE370" s="51" t="str">
        <f>IF($A370="","",IF(OR($F370="sell_put",$F370="sell_call"),IF(AND($H370&gt;0,$I370&gt;0,$J370&gt;=0),$H370,0),IF(OR($F370="buy_to_close",$F370="expire",$F370="roll",$F370="assignment",$F370="called_away"),IF(AND($AF370&gt;0,$H370&gt;0,IF($F370="assignment",IF($AF370&gt;0,INDEX($AG$9:$AG$369,$AF370),"")="put",TRUE),IF($F370="called_away",IF($AF370&gt;0,INDEX($AG$9:$AG$369,$AF370),"")="call",TRUE)),MIN($H370,IF($AF370&gt;0,MAX(0,INDEX($AI$9:$AI$369,$AF370)-SUMIFS($AE$9:$AE$369,$G$9:$G$369,$G370,$B$9:$B$369,$B370)),0)),0),0)))</f>
        <v/>
      </c>
      <c r="AF370" t="str">
        <f>IF($A370="","",IFERROR(MATCH(LEN($B370)&amp;":"&amp;$B370&amp;$G370,$AY$9:$AY$369,0),0))</f>
        <v/>
      </c>
      <c r="AG370" t="str">
        <f>IF($A370="","",IF($F370="sell_put","put",IF($F370="sell_call","call",IF($F370="roll",IF($AF370&gt;0,IF($AF370&gt;0,INDEX($AG$9:$AG$369,$AF370),""),""),IF($AF370&gt;0,IF($AF370&gt;0,INDEX($AG$9:$AG$369,$AF370),""),"")))))</f>
        <v/>
      </c>
      <c r="AH370" t="str">
        <f>IF($A370="","",IF(OR($F370="sell_put",$F370="sell_call",$F370="roll"),$I370,IF($AF370&gt;0,IF($AF370&gt;0,INDEX($AH$9:$AH$369,$AF370),0),0)))</f>
        <v/>
      </c>
      <c r="AI370" s="51" t="str">
        <f t="shared" si="94"/>
        <v/>
      </c>
      <c r="AJ370" s="51" t="str">
        <f>IF($A370="","",IFERROR(LOOKUP(2,1/($B$9:$B$369=$B370),$AM$9:$AM369),0))</f>
        <v/>
      </c>
      <c r="AK370" t="str">
        <f>IF($A370="","",IFERROR(LOOKUP(2,1/($B$9:$B$369=$B370),$AN$9:$AN369),0))</f>
        <v/>
      </c>
      <c r="AL370" s="51" t="str">
        <f t="shared" si="95"/>
        <v/>
      </c>
      <c r="AM370" s="51" t="str">
        <f t="shared" si="96"/>
        <v/>
      </c>
      <c r="AN370" t="str">
        <f t="shared" si="97"/>
        <v/>
      </c>
      <c r="AO370" s="50" t="str">
        <f>IF($A370="","",IFERROR(LOOKUP(2,1/($B$9:$B$369=$B370),$AO$9:$AO369),0)+IF($F370="sell_put",$I370*$AE370*$D370,IF($F370="roll",IF($AG370="put",($I370-IF($AF370&gt;0,INDEX($AH$9:$AH$369,$AF370),0))*$AE370*$D370,0),IF(AND(OR($F370="buy_to_close",$F370="expire",$F370="roll",$F370="assignment",$F370="called_away"),$F370&lt;&gt;"roll",$AG370="put"),-IF($AF370&gt;0,INDEX($AH$9:$AH$369,$AF370),0)*$AE370*$D370,0))))</f>
        <v/>
      </c>
      <c r="AP370" s="51" t="str">
        <f>IF($A370="","",IFERROR(LOOKUP(2,1/($B$9:$B$369=$B370),$AP$9:$AP369),0)+IF($F370="sell_put",$AE370*$D370,IF(AND(OR($F370="buy_to_close",$F370="expire",$F370="roll",$F370="assignment",$F370="called_away"),$F370&lt;&gt;"roll",$AG370="put"),-$AE370*$D370,0)))</f>
        <v/>
      </c>
      <c r="AQ370" s="51" t="str">
        <f>IF($A370="","",IFERROR(LOOKUP(2,1/($B$9:$B$369=$B370),$AQ$9:$AQ369),0)+IF(OR($F370="sell_put",$F370="sell_call"),$AE370,0)-IF(AND(OR($F370="buy_to_close",$F370="expire",$F370="roll",$F370="assignment",$F370="called_away"),$F370&lt;&gt;"roll"),$AE370,0))</f>
        <v/>
      </c>
      <c r="AR370" t="str">
        <f t="shared" si="98"/>
        <v/>
      </c>
      <c r="AS370" s="50" t="str">
        <f t="shared" si="99"/>
        <v/>
      </c>
      <c r="AT370" s="50" t="str">
        <f>IF($A370="","",MAX(IF($T370=IFERROR(LOOKUP(2,1/($B$9:$B$369=$B370),$T$9:$T369),0),IFERROR(LOOKUP(2,1/($B$9:$B$369=$B370),$AT$9:$AT369),0),0),$AS370))</f>
        <v/>
      </c>
      <c r="AU370" t="str">
        <f t="shared" si="100"/>
        <v/>
      </c>
      <c r="AV370" s="51">
        <f>IF($AU370="",0,IF(AND(IFERROR(LOOKUP(2,1/($B$9:$B$369=$B370),$AR$9:$AR369),1),NOT(AND(OR($F370="dividend",$F370="fee"),IFERROR(LOOKUP(2,1/($B$9:$B$369=$B370),$T$9:$T369),0)&gt;0))),ROW(),0))</f>
        <v>0</v>
      </c>
      <c r="AW370">
        <f>IF($A370="",0,IF($AV370&gt;0,MAX($AW$9:$AW$369)+1,MAX($AW$9:$AW$369)))</f>
        <v>0</v>
      </c>
      <c r="AX370">
        <f>IF($AU370="",0,IF(AND($AR370,OR(NOT(IFERROR(LOOKUP(2,1/($B$9:$B$369=$B370),$AR$9:$AR369),1)),IFERROR(LOOKUP(2,1/($B$9:$B$369=$B370),$T$9:$T369),0)=0)),ROW(),0))</f>
        <v>0</v>
      </c>
      <c r="AY370" t="str">
        <f t="shared" si="101"/>
        <v/>
      </c>
    </row>
    <row r="371" spans="1:51" ht="15" x14ac:dyDescent="0.25">
      <c r="A371" s="41" t="str">
        <f>IF(Trades!$A371="","",Trades!O371)</f>
        <v/>
      </c>
      <c r="B371" s="41" t="str">
        <f>IF(Trades!$A371="","",Trades!B371)</f>
        <v/>
      </c>
      <c r="C371" s="41" t="str">
        <f>IF(Trades!$A371="","",Trades!C371)</f>
        <v/>
      </c>
      <c r="D371" s="42" t="str">
        <f>IF(Trades!$A371="","",IF(Trades!$L371&gt;0,Trades!$L371,Trades!$C$6))</f>
        <v/>
      </c>
      <c r="E371" s="43" t="str">
        <f>IF(Trades!$A371="","",Trades!A371)</f>
        <v/>
      </c>
      <c r="F371" s="41" t="str">
        <f>IF(Trades!$A371="","",IFERROR(INDEX(Trades!$V$2:$V$14,MATCH(Trades!$E371,Trades!$U$2:$U$14,0)),""))</f>
        <v/>
      </c>
      <c r="G371" s="41" t="str">
        <f>IF(Trades!$A371="","",Trades!N371)</f>
        <v/>
      </c>
      <c r="H371" s="42" t="str">
        <f>IF(Trades!$A371="","",Trades!F371)</f>
        <v/>
      </c>
      <c r="I371" s="44" t="str">
        <f>IF(Trades!$A371="","",Trades!G371)</f>
        <v/>
      </c>
      <c r="J371" s="44" t="str">
        <f>IF(Trades!$A371="","",Trades!I371)</f>
        <v/>
      </c>
      <c r="K371" s="44" t="str">
        <f>IF(Trades!$A371="","",Trades!Q371)</f>
        <v/>
      </c>
      <c r="L371" s="42" t="str">
        <f>IF(Trades!$A371="","",Trades!F371)</f>
        <v/>
      </c>
      <c r="M371" s="44" t="str">
        <f>IF(Trades!$A371="","",Trades!M371)</f>
        <v/>
      </c>
      <c r="N371" s="44" t="str">
        <f>IF(Trades!$A371="","",Trades!R371)</f>
        <v/>
      </c>
      <c r="O371" s="44" t="str">
        <f>IF(Trades!$A371="","",Trades!J371)</f>
        <v/>
      </c>
      <c r="P371" s="43" t="str">
        <f>IF(Trades!$A371="","",Trades!H371)</f>
        <v/>
      </c>
      <c r="Q371" s="41" t="str">
        <f>IF(Trades!$A371="","",Trades!P371)</f>
        <v/>
      </c>
      <c r="R371" s="45" t="str">
        <f t="shared" si="85"/>
        <v/>
      </c>
      <c r="S371" s="45" t="str">
        <f t="shared" si="86"/>
        <v/>
      </c>
      <c r="T371" s="46" t="str">
        <f>IF(OR($A371="",$B371=""),"",IF(AND(IFERROR(LOOKUP(2,1/($B$9:$B$370=$B371),$AR$9:$AR370),1),NOT(AND(OR($F371="dividend",$F371="fee"),IFERROR(LOOKUP(2,1/($B$9:$B$370=$B371),$T$9:$T370),0)&gt;0))),IFERROR(LOOKUP(2,1/($B$9:$B$370=$B371),$T$9:$T370),0)+1,IFERROR(LOOKUP(2,1/($B$9:$B$370=$B371),$T$9:$T370),0)))</f>
        <v/>
      </c>
      <c r="U371" s="47" t="str">
        <f t="shared" si="87"/>
        <v/>
      </c>
      <c r="V371" s="47" t="str">
        <f>IF($A371="","",IF(OR($B371="",$C371="",$D371="",$E371="",$F371=""),"Missing required field",IF(COUNTIFS($A$9:$A371,$A371,$B$9:$B371,$B371)&gt;1,"Duplicate event ID",IF(AND($E371&lt;&gt;IFERROR(LOOKUP(2,1/($B$9:$B$370=$B371),$E$9:$E370),0),IFERROR(LOOKUP(2,1/($B$9:$B$370=$B371),$E$9:$E370),0)&gt;$E371),"Date out of order",IF(AND(OR($F371="buy_to_close",$F371="expire",$F371="roll",$F371="assignment",$F371="called_away"),$AF371=0),"Unknown lot",IF(OR(AND($F371="assignment",$AF371&gt;0,IF($AF371&gt;0,INDEX($AG$9:$AG$370,$AF371),"")&lt;&gt;"put"),AND($F371="called_away",$AF371&gt;0,IF($AF371&gt;0,INDEX($AG$9:$AG$370,$AF371),"")&lt;&gt;"call")),"Wrong option leg",IF(OR(AND(OR($F371="sell_put",$F371="sell_call"),OR($H371&lt;=0,$I371&lt;=0,$J371&lt;0)),AND(OR($F371="buy_to_close",$F371="expire",$F371="assignment",$F371="called_away"),OR($H371&lt;=0,$J371&lt;0)),AND($F371="roll",OR($H371&lt;=0,$I371&lt;=0,$J371&lt;0,$K371&lt;0)),AND(OR($F371="buy_shares",$F371="sell_shares"),OR($L371&lt;=0,$M371&lt;0)),AND(OR($F371="dividend",$F371="fee"),$N371&lt;0)),"Invalid value",IF(AND(OR($F371="sell_shares",$F371="called_away"),$AL371&lt;IF($F371="called_away",$AE371*$D371,$L371)),"Insufficient shares (capped)",IF(AND(OR($F371="buy_to_close",$F371="expire",$F371="roll",$F371="assignment",$F371="called_away"),$AF371&gt;0,$H371&gt;IF($AF371&gt;0,MAX(0,INDEX($AI$9:$AI$370,$AF371)-SUMIFS($AE$9:$AE$370,$G$9:$G$370,$G371,$B$9:$B$370,$B371)),0)),"Close quantity capped","OK")))))))))</f>
        <v/>
      </c>
      <c r="W371" s="48" t="str">
        <f t="shared" si="88"/>
        <v/>
      </c>
      <c r="X371" s="49" t="str">
        <f t="shared" si="89"/>
        <v/>
      </c>
      <c r="Y371" s="50" t="str">
        <f t="shared" si="90"/>
        <v/>
      </c>
      <c r="Z371" s="50" t="str">
        <f t="shared" si="91"/>
        <v/>
      </c>
      <c r="AA371" s="50" t="str">
        <f t="shared" si="92"/>
        <v/>
      </c>
      <c r="AB371" s="50" t="str">
        <f t="shared" si="93"/>
        <v/>
      </c>
      <c r="AC371" s="50" t="str">
        <f>IF($A371="","",IF($F371="assignment",IF($AF371&gt;0,INDEX($AH$9:$AH$370,$AF371),0)*$AE371*$D371,IF($F371="buy_shares",$M371*$AL371,0)))</f>
        <v/>
      </c>
      <c r="AD371" s="50" t="str">
        <f>IF($A371="","",IF($F371="called_away",IF($AF371&gt;0,INDEX($AH$9:$AH$370,$AF371),0)*$AL371,IF($F371="sell_shares",$M371*$AL371,0)))</f>
        <v/>
      </c>
      <c r="AE371" s="51" t="str">
        <f>IF($A371="","",IF(OR($F371="sell_put",$F371="sell_call"),IF(AND($H371&gt;0,$I371&gt;0,$J371&gt;=0),$H371,0),IF(OR($F371="buy_to_close",$F371="expire",$F371="roll",$F371="assignment",$F371="called_away"),IF(AND($AF371&gt;0,$H371&gt;0,IF($F371="assignment",IF($AF371&gt;0,INDEX($AG$9:$AG$370,$AF371),"")="put",TRUE),IF($F371="called_away",IF($AF371&gt;0,INDEX($AG$9:$AG$370,$AF371),"")="call",TRUE)),MIN($H371,IF($AF371&gt;0,MAX(0,INDEX($AI$9:$AI$370,$AF371)-SUMIFS($AE$9:$AE$370,$G$9:$G$370,$G371,$B$9:$B$370,$B371)),0)),0),0)))</f>
        <v/>
      </c>
      <c r="AF371" t="str">
        <f>IF($A371="","",IFERROR(MATCH(LEN($B371)&amp;":"&amp;$B371&amp;$G371,$AY$9:$AY$370,0),0))</f>
        <v/>
      </c>
      <c r="AG371" t="str">
        <f>IF($A371="","",IF($F371="sell_put","put",IF($F371="sell_call","call",IF($F371="roll",IF($AF371&gt;0,IF($AF371&gt;0,INDEX($AG$9:$AG$370,$AF371),""),""),IF($AF371&gt;0,IF($AF371&gt;0,INDEX($AG$9:$AG$370,$AF371),""),"")))))</f>
        <v/>
      </c>
      <c r="AH371" t="str">
        <f>IF($A371="","",IF(OR($F371="sell_put",$F371="sell_call",$F371="roll"),$I371,IF($AF371&gt;0,IF($AF371&gt;0,INDEX($AH$9:$AH$370,$AF371),0),0)))</f>
        <v/>
      </c>
      <c r="AI371" s="51" t="str">
        <f t="shared" si="94"/>
        <v/>
      </c>
      <c r="AJ371" s="51" t="str">
        <f>IF($A371="","",IFERROR(LOOKUP(2,1/($B$9:$B$370=$B371),$AM$9:$AM370),0))</f>
        <v/>
      </c>
      <c r="AK371" t="str">
        <f>IF($A371="","",IFERROR(LOOKUP(2,1/($B$9:$B$370=$B371),$AN$9:$AN370),0))</f>
        <v/>
      </c>
      <c r="AL371" s="51" t="str">
        <f t="shared" si="95"/>
        <v/>
      </c>
      <c r="AM371" s="51" t="str">
        <f t="shared" si="96"/>
        <v/>
      </c>
      <c r="AN371" t="str">
        <f t="shared" si="97"/>
        <v/>
      </c>
      <c r="AO371" s="50" t="str">
        <f>IF($A371="","",IFERROR(LOOKUP(2,1/($B$9:$B$370=$B371),$AO$9:$AO370),0)+IF($F371="sell_put",$I371*$AE371*$D371,IF($F371="roll",IF($AG371="put",($I371-IF($AF371&gt;0,INDEX($AH$9:$AH$370,$AF371),0))*$AE371*$D371,0),IF(AND(OR($F371="buy_to_close",$F371="expire",$F371="roll",$F371="assignment",$F371="called_away"),$F371&lt;&gt;"roll",$AG371="put"),-IF($AF371&gt;0,INDEX($AH$9:$AH$370,$AF371),0)*$AE371*$D371,0))))</f>
        <v/>
      </c>
      <c r="AP371" s="51" t="str">
        <f>IF($A371="","",IFERROR(LOOKUP(2,1/($B$9:$B$370=$B371),$AP$9:$AP370),0)+IF($F371="sell_put",$AE371*$D371,IF(AND(OR($F371="buy_to_close",$F371="expire",$F371="roll",$F371="assignment",$F371="called_away"),$F371&lt;&gt;"roll",$AG371="put"),-$AE371*$D371,0)))</f>
        <v/>
      </c>
      <c r="AQ371" s="51" t="str">
        <f>IF($A371="","",IFERROR(LOOKUP(2,1/($B$9:$B$370=$B371),$AQ$9:$AQ370),0)+IF(OR($F371="sell_put",$F371="sell_call"),$AE371,0)-IF(AND(OR($F371="buy_to_close",$F371="expire",$F371="roll",$F371="assignment",$F371="called_away"),$F371&lt;&gt;"roll"),$AE371,0))</f>
        <v/>
      </c>
      <c r="AR371" t="str">
        <f t="shared" si="98"/>
        <v/>
      </c>
      <c r="AS371" s="50" t="str">
        <f t="shared" si="99"/>
        <v/>
      </c>
      <c r="AT371" s="50" t="str">
        <f>IF($A371="","",MAX(IF($T371=IFERROR(LOOKUP(2,1/($B$9:$B$370=$B371),$T$9:$T370),0),IFERROR(LOOKUP(2,1/($B$9:$B$370=$B371),$AT$9:$AT370),0),0),$AS371))</f>
        <v/>
      </c>
      <c r="AU371" t="str">
        <f t="shared" si="100"/>
        <v/>
      </c>
      <c r="AV371" s="51">
        <f>IF($AU371="",0,IF(AND(IFERROR(LOOKUP(2,1/($B$9:$B$370=$B371),$AR$9:$AR370),1),NOT(AND(OR($F371="dividend",$F371="fee"),IFERROR(LOOKUP(2,1/($B$9:$B$370=$B371),$T$9:$T370),0)&gt;0))),ROW(),0))</f>
        <v>0</v>
      </c>
      <c r="AW371">
        <f>IF($A371="",0,IF($AV371&gt;0,MAX($AW$9:$AW$370)+1,MAX($AW$9:$AW$370)))</f>
        <v>0</v>
      </c>
      <c r="AX371">
        <f>IF($AU371="",0,IF(AND($AR371,OR(NOT(IFERROR(LOOKUP(2,1/($B$9:$B$370=$B371),$AR$9:$AR370),1)),IFERROR(LOOKUP(2,1/($B$9:$B$370=$B371),$T$9:$T370),0)=0)),ROW(),0))</f>
        <v>0</v>
      </c>
      <c r="AY371" t="str">
        <f t="shared" si="101"/>
        <v/>
      </c>
    </row>
    <row r="372" spans="1:51" ht="15" x14ac:dyDescent="0.25">
      <c r="A372" s="52" t="str">
        <f>IF(Trades!$A372="","",Trades!O372)</f>
        <v/>
      </c>
      <c r="B372" s="52" t="str">
        <f>IF(Trades!$A372="","",Trades!B372)</f>
        <v/>
      </c>
      <c r="C372" s="52" t="str">
        <f>IF(Trades!$A372="","",Trades!C372)</f>
        <v/>
      </c>
      <c r="D372" s="53" t="str">
        <f>IF(Trades!$A372="","",IF(Trades!$L372&gt;0,Trades!$L372,Trades!$C$6))</f>
        <v/>
      </c>
      <c r="E372" s="54" t="str">
        <f>IF(Trades!$A372="","",Trades!A372)</f>
        <v/>
      </c>
      <c r="F372" s="52" t="str">
        <f>IF(Trades!$A372="","",IFERROR(INDEX(Trades!$V$2:$V$14,MATCH(Trades!$E372,Trades!$U$2:$U$14,0)),""))</f>
        <v/>
      </c>
      <c r="G372" s="52" t="str">
        <f>IF(Trades!$A372="","",Trades!N372)</f>
        <v/>
      </c>
      <c r="H372" s="53" t="str">
        <f>IF(Trades!$A372="","",Trades!F372)</f>
        <v/>
      </c>
      <c r="I372" s="55" t="str">
        <f>IF(Trades!$A372="","",Trades!G372)</f>
        <v/>
      </c>
      <c r="J372" s="55" t="str">
        <f>IF(Trades!$A372="","",Trades!I372)</f>
        <v/>
      </c>
      <c r="K372" s="55" t="str">
        <f>IF(Trades!$A372="","",Trades!Q372)</f>
        <v/>
      </c>
      <c r="L372" s="53" t="str">
        <f>IF(Trades!$A372="","",Trades!F372)</f>
        <v/>
      </c>
      <c r="M372" s="55" t="str">
        <f>IF(Trades!$A372="","",Trades!M372)</f>
        <v/>
      </c>
      <c r="N372" s="55" t="str">
        <f>IF(Trades!$A372="","",Trades!R372)</f>
        <v/>
      </c>
      <c r="O372" s="55" t="str">
        <f>IF(Trades!$A372="","",Trades!J372)</f>
        <v/>
      </c>
      <c r="P372" s="54" t="str">
        <f>IF(Trades!$A372="","",Trades!H372)</f>
        <v/>
      </c>
      <c r="Q372" s="52" t="str">
        <f>IF(Trades!$A372="","",Trades!P372)</f>
        <v/>
      </c>
      <c r="R372" s="56" t="str">
        <f t="shared" si="85"/>
        <v/>
      </c>
      <c r="S372" s="56" t="str">
        <f t="shared" si="86"/>
        <v/>
      </c>
      <c r="T372" s="57" t="str">
        <f>IF(OR($A372="",$B372=""),"",IF(AND(IFERROR(LOOKUP(2,1/($B$9:$B$371=$B372),$AR$9:$AR371),1),NOT(AND(OR($F372="dividend",$F372="fee"),IFERROR(LOOKUP(2,1/($B$9:$B$371=$B372),$T$9:$T371),0)&gt;0))),IFERROR(LOOKUP(2,1/($B$9:$B$371=$B372),$T$9:$T371),0)+1,IFERROR(LOOKUP(2,1/($B$9:$B$371=$B372),$T$9:$T371),0)))</f>
        <v/>
      </c>
      <c r="U372" s="58" t="str">
        <f t="shared" si="87"/>
        <v/>
      </c>
      <c r="V372" s="58" t="str">
        <f>IF($A372="","",IF(OR($B372="",$C372="",$D372="",$E372="",$F372=""),"Missing required field",IF(COUNTIFS($A$9:$A372,$A372,$B$9:$B372,$B372)&gt;1,"Duplicate event ID",IF(AND($E372&lt;&gt;IFERROR(LOOKUP(2,1/($B$9:$B$371=$B372),$E$9:$E371),0),IFERROR(LOOKUP(2,1/($B$9:$B$371=$B372),$E$9:$E371),0)&gt;$E372),"Date out of order",IF(AND(OR($F372="buy_to_close",$F372="expire",$F372="roll",$F372="assignment",$F372="called_away"),$AF372=0),"Unknown lot",IF(OR(AND($F372="assignment",$AF372&gt;0,IF($AF372&gt;0,INDEX($AG$9:$AG$371,$AF372),"")&lt;&gt;"put"),AND($F372="called_away",$AF372&gt;0,IF($AF372&gt;0,INDEX($AG$9:$AG$371,$AF372),"")&lt;&gt;"call")),"Wrong option leg",IF(OR(AND(OR($F372="sell_put",$F372="sell_call"),OR($H372&lt;=0,$I372&lt;=0,$J372&lt;0)),AND(OR($F372="buy_to_close",$F372="expire",$F372="assignment",$F372="called_away"),OR($H372&lt;=0,$J372&lt;0)),AND($F372="roll",OR($H372&lt;=0,$I372&lt;=0,$J372&lt;0,$K372&lt;0)),AND(OR($F372="buy_shares",$F372="sell_shares"),OR($L372&lt;=0,$M372&lt;0)),AND(OR($F372="dividend",$F372="fee"),$N372&lt;0)),"Invalid value",IF(AND(OR($F372="sell_shares",$F372="called_away"),$AL372&lt;IF($F372="called_away",$AE372*$D372,$L372)),"Insufficient shares (capped)",IF(AND(OR($F372="buy_to_close",$F372="expire",$F372="roll",$F372="assignment",$F372="called_away"),$AF372&gt;0,$H372&gt;IF($AF372&gt;0,MAX(0,INDEX($AI$9:$AI$371,$AF372)-SUMIFS($AE$9:$AE$371,$G$9:$G$371,$G372,$B$9:$B$371,$B372)),0)),"Close quantity capped","OK")))))))))</f>
        <v/>
      </c>
      <c r="W372" s="59" t="str">
        <f t="shared" si="88"/>
        <v/>
      </c>
      <c r="X372" s="60" t="str">
        <f t="shared" si="89"/>
        <v/>
      </c>
      <c r="Y372" s="50" t="str">
        <f t="shared" si="90"/>
        <v/>
      </c>
      <c r="Z372" s="50" t="str">
        <f t="shared" si="91"/>
        <v/>
      </c>
      <c r="AA372" s="50" t="str">
        <f t="shared" si="92"/>
        <v/>
      </c>
      <c r="AB372" s="50" t="str">
        <f t="shared" si="93"/>
        <v/>
      </c>
      <c r="AC372" s="50" t="str">
        <f>IF($A372="","",IF($F372="assignment",IF($AF372&gt;0,INDEX($AH$9:$AH$371,$AF372),0)*$AE372*$D372,IF($F372="buy_shares",$M372*$AL372,0)))</f>
        <v/>
      </c>
      <c r="AD372" s="50" t="str">
        <f>IF($A372="","",IF($F372="called_away",IF($AF372&gt;0,INDEX($AH$9:$AH$371,$AF372),0)*$AL372,IF($F372="sell_shares",$M372*$AL372,0)))</f>
        <v/>
      </c>
      <c r="AE372" s="51" t="str">
        <f>IF($A372="","",IF(OR($F372="sell_put",$F372="sell_call"),IF(AND($H372&gt;0,$I372&gt;0,$J372&gt;=0),$H372,0),IF(OR($F372="buy_to_close",$F372="expire",$F372="roll",$F372="assignment",$F372="called_away"),IF(AND($AF372&gt;0,$H372&gt;0,IF($F372="assignment",IF($AF372&gt;0,INDEX($AG$9:$AG$371,$AF372),"")="put",TRUE),IF($F372="called_away",IF($AF372&gt;0,INDEX($AG$9:$AG$371,$AF372),"")="call",TRUE)),MIN($H372,IF($AF372&gt;0,MAX(0,INDEX($AI$9:$AI$371,$AF372)-SUMIFS($AE$9:$AE$371,$G$9:$G$371,$G372,$B$9:$B$371,$B372)),0)),0),0)))</f>
        <v/>
      </c>
      <c r="AF372" t="str">
        <f>IF($A372="","",IFERROR(MATCH(LEN($B372)&amp;":"&amp;$B372&amp;$G372,$AY$9:$AY$371,0),0))</f>
        <v/>
      </c>
      <c r="AG372" t="str">
        <f>IF($A372="","",IF($F372="sell_put","put",IF($F372="sell_call","call",IF($F372="roll",IF($AF372&gt;0,IF($AF372&gt;0,INDEX($AG$9:$AG$371,$AF372),""),""),IF($AF372&gt;0,IF($AF372&gt;0,INDEX($AG$9:$AG$371,$AF372),""),"")))))</f>
        <v/>
      </c>
      <c r="AH372" t="str">
        <f>IF($A372="","",IF(OR($F372="sell_put",$F372="sell_call",$F372="roll"),$I372,IF($AF372&gt;0,IF($AF372&gt;0,INDEX($AH$9:$AH$371,$AF372),0),0)))</f>
        <v/>
      </c>
      <c r="AI372" s="51" t="str">
        <f t="shared" si="94"/>
        <v/>
      </c>
      <c r="AJ372" s="51" t="str">
        <f>IF($A372="","",IFERROR(LOOKUP(2,1/($B$9:$B$371=$B372),$AM$9:$AM371),0))</f>
        <v/>
      </c>
      <c r="AK372" t="str">
        <f>IF($A372="","",IFERROR(LOOKUP(2,1/($B$9:$B$371=$B372),$AN$9:$AN371),0))</f>
        <v/>
      </c>
      <c r="AL372" s="51" t="str">
        <f t="shared" si="95"/>
        <v/>
      </c>
      <c r="AM372" s="51" t="str">
        <f t="shared" si="96"/>
        <v/>
      </c>
      <c r="AN372" t="str">
        <f t="shared" si="97"/>
        <v/>
      </c>
      <c r="AO372" s="50" t="str">
        <f>IF($A372="","",IFERROR(LOOKUP(2,1/($B$9:$B$371=$B372),$AO$9:$AO371),0)+IF($F372="sell_put",$I372*$AE372*$D372,IF($F372="roll",IF($AG372="put",($I372-IF($AF372&gt;0,INDEX($AH$9:$AH$371,$AF372),0))*$AE372*$D372,0),IF(AND(OR($F372="buy_to_close",$F372="expire",$F372="roll",$F372="assignment",$F372="called_away"),$F372&lt;&gt;"roll",$AG372="put"),-IF($AF372&gt;0,INDEX($AH$9:$AH$371,$AF372),0)*$AE372*$D372,0))))</f>
        <v/>
      </c>
      <c r="AP372" s="51" t="str">
        <f>IF($A372="","",IFERROR(LOOKUP(2,1/($B$9:$B$371=$B372),$AP$9:$AP371),0)+IF($F372="sell_put",$AE372*$D372,IF(AND(OR($F372="buy_to_close",$F372="expire",$F372="roll",$F372="assignment",$F372="called_away"),$F372&lt;&gt;"roll",$AG372="put"),-$AE372*$D372,0)))</f>
        <v/>
      </c>
      <c r="AQ372" s="51" t="str">
        <f>IF($A372="","",IFERROR(LOOKUP(2,1/($B$9:$B$371=$B372),$AQ$9:$AQ371),0)+IF(OR($F372="sell_put",$F372="sell_call"),$AE372,0)-IF(AND(OR($F372="buy_to_close",$F372="expire",$F372="roll",$F372="assignment",$F372="called_away"),$F372&lt;&gt;"roll"),$AE372,0))</f>
        <v/>
      </c>
      <c r="AR372" t="str">
        <f t="shared" si="98"/>
        <v/>
      </c>
      <c r="AS372" s="50" t="str">
        <f t="shared" si="99"/>
        <v/>
      </c>
      <c r="AT372" s="50" t="str">
        <f>IF($A372="","",MAX(IF($T372=IFERROR(LOOKUP(2,1/($B$9:$B$371=$B372),$T$9:$T371),0),IFERROR(LOOKUP(2,1/($B$9:$B$371=$B372),$AT$9:$AT371),0),0),$AS372))</f>
        <v/>
      </c>
      <c r="AU372" t="str">
        <f t="shared" si="100"/>
        <v/>
      </c>
      <c r="AV372" s="51">
        <f>IF($AU372="",0,IF(AND(IFERROR(LOOKUP(2,1/($B$9:$B$371=$B372),$AR$9:$AR371),1),NOT(AND(OR($F372="dividend",$F372="fee"),IFERROR(LOOKUP(2,1/($B$9:$B$371=$B372),$T$9:$T371),0)&gt;0))),ROW(),0))</f>
        <v>0</v>
      </c>
      <c r="AW372">
        <f>IF($A372="",0,IF($AV372&gt;0,MAX($AW$9:$AW$371)+1,MAX($AW$9:$AW$371)))</f>
        <v>0</v>
      </c>
      <c r="AX372">
        <f>IF($AU372="",0,IF(AND($AR372,OR(NOT(IFERROR(LOOKUP(2,1/($B$9:$B$371=$B372),$AR$9:$AR371),1)),IFERROR(LOOKUP(2,1/($B$9:$B$371=$B372),$T$9:$T371),0)=0)),ROW(),0))</f>
        <v>0</v>
      </c>
      <c r="AY372" t="str">
        <f t="shared" si="101"/>
        <v/>
      </c>
    </row>
    <row r="373" spans="1:51" ht="15" x14ac:dyDescent="0.25">
      <c r="A373" s="41" t="str">
        <f>IF(Trades!$A373="","",Trades!O373)</f>
        <v/>
      </c>
      <c r="B373" s="41" t="str">
        <f>IF(Trades!$A373="","",Trades!B373)</f>
        <v/>
      </c>
      <c r="C373" s="41" t="str">
        <f>IF(Trades!$A373="","",Trades!C373)</f>
        <v/>
      </c>
      <c r="D373" s="42" t="str">
        <f>IF(Trades!$A373="","",IF(Trades!$L373&gt;0,Trades!$L373,Trades!$C$6))</f>
        <v/>
      </c>
      <c r="E373" s="43" t="str">
        <f>IF(Trades!$A373="","",Trades!A373)</f>
        <v/>
      </c>
      <c r="F373" s="41" t="str">
        <f>IF(Trades!$A373="","",IFERROR(INDEX(Trades!$V$2:$V$14,MATCH(Trades!$E373,Trades!$U$2:$U$14,0)),""))</f>
        <v/>
      </c>
      <c r="G373" s="41" t="str">
        <f>IF(Trades!$A373="","",Trades!N373)</f>
        <v/>
      </c>
      <c r="H373" s="42" t="str">
        <f>IF(Trades!$A373="","",Trades!F373)</f>
        <v/>
      </c>
      <c r="I373" s="44" t="str">
        <f>IF(Trades!$A373="","",Trades!G373)</f>
        <v/>
      </c>
      <c r="J373" s="44" t="str">
        <f>IF(Trades!$A373="","",Trades!I373)</f>
        <v/>
      </c>
      <c r="K373" s="44" t="str">
        <f>IF(Trades!$A373="","",Trades!Q373)</f>
        <v/>
      </c>
      <c r="L373" s="42" t="str">
        <f>IF(Trades!$A373="","",Trades!F373)</f>
        <v/>
      </c>
      <c r="M373" s="44" t="str">
        <f>IF(Trades!$A373="","",Trades!M373)</f>
        <v/>
      </c>
      <c r="N373" s="44" t="str">
        <f>IF(Trades!$A373="","",Trades!R373)</f>
        <v/>
      </c>
      <c r="O373" s="44" t="str">
        <f>IF(Trades!$A373="","",Trades!J373)</f>
        <v/>
      </c>
      <c r="P373" s="43" t="str">
        <f>IF(Trades!$A373="","",Trades!H373)</f>
        <v/>
      </c>
      <c r="Q373" s="41" t="str">
        <f>IF(Trades!$A373="","",Trades!P373)</f>
        <v/>
      </c>
      <c r="R373" s="45" t="str">
        <f t="shared" si="85"/>
        <v/>
      </c>
      <c r="S373" s="45" t="str">
        <f t="shared" si="86"/>
        <v/>
      </c>
      <c r="T373" s="46" t="str">
        <f>IF(OR($A373="",$B373=""),"",IF(AND(IFERROR(LOOKUP(2,1/($B$9:$B$372=$B373),$AR$9:$AR372),1),NOT(AND(OR($F373="dividend",$F373="fee"),IFERROR(LOOKUP(2,1/($B$9:$B$372=$B373),$T$9:$T372),0)&gt;0))),IFERROR(LOOKUP(2,1/($B$9:$B$372=$B373),$T$9:$T372),0)+1,IFERROR(LOOKUP(2,1/($B$9:$B$372=$B373),$T$9:$T372),0)))</f>
        <v/>
      </c>
      <c r="U373" s="47" t="str">
        <f t="shared" si="87"/>
        <v/>
      </c>
      <c r="V373" s="47" t="str">
        <f>IF($A373="","",IF(OR($B373="",$C373="",$D373="",$E373="",$F373=""),"Missing required field",IF(COUNTIFS($A$9:$A373,$A373,$B$9:$B373,$B373)&gt;1,"Duplicate event ID",IF(AND($E373&lt;&gt;IFERROR(LOOKUP(2,1/($B$9:$B$372=$B373),$E$9:$E372),0),IFERROR(LOOKUP(2,1/($B$9:$B$372=$B373),$E$9:$E372),0)&gt;$E373),"Date out of order",IF(AND(OR($F373="buy_to_close",$F373="expire",$F373="roll",$F373="assignment",$F373="called_away"),$AF373=0),"Unknown lot",IF(OR(AND($F373="assignment",$AF373&gt;0,IF($AF373&gt;0,INDEX($AG$9:$AG$372,$AF373),"")&lt;&gt;"put"),AND($F373="called_away",$AF373&gt;0,IF($AF373&gt;0,INDEX($AG$9:$AG$372,$AF373),"")&lt;&gt;"call")),"Wrong option leg",IF(OR(AND(OR($F373="sell_put",$F373="sell_call"),OR($H373&lt;=0,$I373&lt;=0,$J373&lt;0)),AND(OR($F373="buy_to_close",$F373="expire",$F373="assignment",$F373="called_away"),OR($H373&lt;=0,$J373&lt;0)),AND($F373="roll",OR($H373&lt;=0,$I373&lt;=0,$J373&lt;0,$K373&lt;0)),AND(OR($F373="buy_shares",$F373="sell_shares"),OR($L373&lt;=0,$M373&lt;0)),AND(OR($F373="dividend",$F373="fee"),$N373&lt;0)),"Invalid value",IF(AND(OR($F373="sell_shares",$F373="called_away"),$AL373&lt;IF($F373="called_away",$AE373*$D373,$L373)),"Insufficient shares (capped)",IF(AND(OR($F373="buy_to_close",$F373="expire",$F373="roll",$F373="assignment",$F373="called_away"),$AF373&gt;0,$H373&gt;IF($AF373&gt;0,MAX(0,INDEX($AI$9:$AI$372,$AF373)-SUMIFS($AE$9:$AE$372,$G$9:$G$372,$G373,$B$9:$B$372,$B373)),0)),"Close quantity capped","OK")))))))))</f>
        <v/>
      </c>
      <c r="W373" s="48" t="str">
        <f t="shared" si="88"/>
        <v/>
      </c>
      <c r="X373" s="49" t="str">
        <f t="shared" si="89"/>
        <v/>
      </c>
      <c r="Y373" s="50" t="str">
        <f t="shared" si="90"/>
        <v/>
      </c>
      <c r="Z373" s="50" t="str">
        <f t="shared" si="91"/>
        <v/>
      </c>
      <c r="AA373" s="50" t="str">
        <f t="shared" si="92"/>
        <v/>
      </c>
      <c r="AB373" s="50" t="str">
        <f t="shared" si="93"/>
        <v/>
      </c>
      <c r="AC373" s="50" t="str">
        <f>IF($A373="","",IF($F373="assignment",IF($AF373&gt;0,INDEX($AH$9:$AH$372,$AF373),0)*$AE373*$D373,IF($F373="buy_shares",$M373*$AL373,0)))</f>
        <v/>
      </c>
      <c r="AD373" s="50" t="str">
        <f>IF($A373="","",IF($F373="called_away",IF($AF373&gt;0,INDEX($AH$9:$AH$372,$AF373),0)*$AL373,IF($F373="sell_shares",$M373*$AL373,0)))</f>
        <v/>
      </c>
      <c r="AE373" s="51" t="str">
        <f>IF($A373="","",IF(OR($F373="sell_put",$F373="sell_call"),IF(AND($H373&gt;0,$I373&gt;0,$J373&gt;=0),$H373,0),IF(OR($F373="buy_to_close",$F373="expire",$F373="roll",$F373="assignment",$F373="called_away"),IF(AND($AF373&gt;0,$H373&gt;0,IF($F373="assignment",IF($AF373&gt;0,INDEX($AG$9:$AG$372,$AF373),"")="put",TRUE),IF($F373="called_away",IF($AF373&gt;0,INDEX($AG$9:$AG$372,$AF373),"")="call",TRUE)),MIN($H373,IF($AF373&gt;0,MAX(0,INDEX($AI$9:$AI$372,$AF373)-SUMIFS($AE$9:$AE$372,$G$9:$G$372,$G373,$B$9:$B$372,$B373)),0)),0),0)))</f>
        <v/>
      </c>
      <c r="AF373" t="str">
        <f>IF($A373="","",IFERROR(MATCH(LEN($B373)&amp;":"&amp;$B373&amp;$G373,$AY$9:$AY$372,0),0))</f>
        <v/>
      </c>
      <c r="AG373" t="str">
        <f>IF($A373="","",IF($F373="sell_put","put",IF($F373="sell_call","call",IF($F373="roll",IF($AF373&gt;0,IF($AF373&gt;0,INDEX($AG$9:$AG$372,$AF373),""),""),IF($AF373&gt;0,IF($AF373&gt;0,INDEX($AG$9:$AG$372,$AF373),""),"")))))</f>
        <v/>
      </c>
      <c r="AH373" t="str">
        <f>IF($A373="","",IF(OR($F373="sell_put",$F373="sell_call",$F373="roll"),$I373,IF($AF373&gt;0,IF($AF373&gt;0,INDEX($AH$9:$AH$372,$AF373),0),0)))</f>
        <v/>
      </c>
      <c r="AI373" s="51" t="str">
        <f t="shared" si="94"/>
        <v/>
      </c>
      <c r="AJ373" s="51" t="str">
        <f>IF($A373="","",IFERROR(LOOKUP(2,1/($B$9:$B$372=$B373),$AM$9:$AM372),0))</f>
        <v/>
      </c>
      <c r="AK373" t="str">
        <f>IF($A373="","",IFERROR(LOOKUP(2,1/($B$9:$B$372=$B373),$AN$9:$AN372),0))</f>
        <v/>
      </c>
      <c r="AL373" s="51" t="str">
        <f t="shared" si="95"/>
        <v/>
      </c>
      <c r="AM373" s="51" t="str">
        <f t="shared" si="96"/>
        <v/>
      </c>
      <c r="AN373" t="str">
        <f t="shared" si="97"/>
        <v/>
      </c>
      <c r="AO373" s="50" t="str">
        <f>IF($A373="","",IFERROR(LOOKUP(2,1/($B$9:$B$372=$B373),$AO$9:$AO372),0)+IF($F373="sell_put",$I373*$AE373*$D373,IF($F373="roll",IF($AG373="put",($I373-IF($AF373&gt;0,INDEX($AH$9:$AH$372,$AF373),0))*$AE373*$D373,0),IF(AND(OR($F373="buy_to_close",$F373="expire",$F373="roll",$F373="assignment",$F373="called_away"),$F373&lt;&gt;"roll",$AG373="put"),-IF($AF373&gt;0,INDEX($AH$9:$AH$372,$AF373),0)*$AE373*$D373,0))))</f>
        <v/>
      </c>
      <c r="AP373" s="51" t="str">
        <f>IF($A373="","",IFERROR(LOOKUP(2,1/($B$9:$B$372=$B373),$AP$9:$AP372),0)+IF($F373="sell_put",$AE373*$D373,IF(AND(OR($F373="buy_to_close",$F373="expire",$F373="roll",$F373="assignment",$F373="called_away"),$F373&lt;&gt;"roll",$AG373="put"),-$AE373*$D373,0)))</f>
        <v/>
      </c>
      <c r="AQ373" s="51" t="str">
        <f>IF($A373="","",IFERROR(LOOKUP(2,1/($B$9:$B$372=$B373),$AQ$9:$AQ372),0)+IF(OR($F373="sell_put",$F373="sell_call"),$AE373,0)-IF(AND(OR($F373="buy_to_close",$F373="expire",$F373="roll",$F373="assignment",$F373="called_away"),$F373&lt;&gt;"roll"),$AE373,0))</f>
        <v/>
      </c>
      <c r="AR373" t="str">
        <f t="shared" si="98"/>
        <v/>
      </c>
      <c r="AS373" s="50" t="str">
        <f t="shared" si="99"/>
        <v/>
      </c>
      <c r="AT373" s="50" t="str">
        <f>IF($A373="","",MAX(IF($T373=IFERROR(LOOKUP(2,1/($B$9:$B$372=$B373),$T$9:$T372),0),IFERROR(LOOKUP(2,1/($B$9:$B$372=$B373),$AT$9:$AT372),0),0),$AS373))</f>
        <v/>
      </c>
      <c r="AU373" t="str">
        <f t="shared" si="100"/>
        <v/>
      </c>
      <c r="AV373" s="51">
        <f>IF($AU373="",0,IF(AND(IFERROR(LOOKUP(2,1/($B$9:$B$372=$B373),$AR$9:$AR372),1),NOT(AND(OR($F373="dividend",$F373="fee"),IFERROR(LOOKUP(2,1/($B$9:$B$372=$B373),$T$9:$T372),0)&gt;0))),ROW(),0))</f>
        <v>0</v>
      </c>
      <c r="AW373">
        <f>IF($A373="",0,IF($AV373&gt;0,MAX($AW$9:$AW$372)+1,MAX($AW$9:$AW$372)))</f>
        <v>0</v>
      </c>
      <c r="AX373">
        <f>IF($AU373="",0,IF(AND($AR373,OR(NOT(IFERROR(LOOKUP(2,1/($B$9:$B$372=$B373),$AR$9:$AR372),1)),IFERROR(LOOKUP(2,1/($B$9:$B$372=$B373),$T$9:$T372),0)=0)),ROW(),0))</f>
        <v>0</v>
      </c>
      <c r="AY373" t="str">
        <f t="shared" si="101"/>
        <v/>
      </c>
    </row>
    <row r="374" spans="1:51" ht="15" x14ac:dyDescent="0.25">
      <c r="A374" s="52" t="str">
        <f>IF(Trades!$A374="","",Trades!O374)</f>
        <v/>
      </c>
      <c r="B374" s="52" t="str">
        <f>IF(Trades!$A374="","",Trades!B374)</f>
        <v/>
      </c>
      <c r="C374" s="52" t="str">
        <f>IF(Trades!$A374="","",Trades!C374)</f>
        <v/>
      </c>
      <c r="D374" s="53" t="str">
        <f>IF(Trades!$A374="","",IF(Trades!$L374&gt;0,Trades!$L374,Trades!$C$6))</f>
        <v/>
      </c>
      <c r="E374" s="54" t="str">
        <f>IF(Trades!$A374="","",Trades!A374)</f>
        <v/>
      </c>
      <c r="F374" s="52" t="str">
        <f>IF(Trades!$A374="","",IFERROR(INDEX(Trades!$V$2:$V$14,MATCH(Trades!$E374,Trades!$U$2:$U$14,0)),""))</f>
        <v/>
      </c>
      <c r="G374" s="52" t="str">
        <f>IF(Trades!$A374="","",Trades!N374)</f>
        <v/>
      </c>
      <c r="H374" s="53" t="str">
        <f>IF(Trades!$A374="","",Trades!F374)</f>
        <v/>
      </c>
      <c r="I374" s="55" t="str">
        <f>IF(Trades!$A374="","",Trades!G374)</f>
        <v/>
      </c>
      <c r="J374" s="55" t="str">
        <f>IF(Trades!$A374="","",Trades!I374)</f>
        <v/>
      </c>
      <c r="K374" s="55" t="str">
        <f>IF(Trades!$A374="","",Trades!Q374)</f>
        <v/>
      </c>
      <c r="L374" s="53" t="str">
        <f>IF(Trades!$A374="","",Trades!F374)</f>
        <v/>
      </c>
      <c r="M374" s="55" t="str">
        <f>IF(Trades!$A374="","",Trades!M374)</f>
        <v/>
      </c>
      <c r="N374" s="55" t="str">
        <f>IF(Trades!$A374="","",Trades!R374)</f>
        <v/>
      </c>
      <c r="O374" s="55" t="str">
        <f>IF(Trades!$A374="","",Trades!J374)</f>
        <v/>
      </c>
      <c r="P374" s="54" t="str">
        <f>IF(Trades!$A374="","",Trades!H374)</f>
        <v/>
      </c>
      <c r="Q374" s="52" t="str">
        <f>IF(Trades!$A374="","",Trades!P374)</f>
        <v/>
      </c>
      <c r="R374" s="56" t="str">
        <f t="shared" si="85"/>
        <v/>
      </c>
      <c r="S374" s="56" t="str">
        <f t="shared" si="86"/>
        <v/>
      </c>
      <c r="T374" s="57" t="str">
        <f>IF(OR($A374="",$B374=""),"",IF(AND(IFERROR(LOOKUP(2,1/($B$9:$B$373=$B374),$AR$9:$AR373),1),NOT(AND(OR($F374="dividend",$F374="fee"),IFERROR(LOOKUP(2,1/($B$9:$B$373=$B374),$T$9:$T373),0)&gt;0))),IFERROR(LOOKUP(2,1/($B$9:$B$373=$B374),$T$9:$T373),0)+1,IFERROR(LOOKUP(2,1/($B$9:$B$373=$B374),$T$9:$T373),0)))</f>
        <v/>
      </c>
      <c r="U374" s="58" t="str">
        <f t="shared" si="87"/>
        <v/>
      </c>
      <c r="V374" s="58" t="str">
        <f>IF($A374="","",IF(OR($B374="",$C374="",$D374="",$E374="",$F374=""),"Missing required field",IF(COUNTIFS($A$9:$A374,$A374,$B$9:$B374,$B374)&gt;1,"Duplicate event ID",IF(AND($E374&lt;&gt;IFERROR(LOOKUP(2,1/($B$9:$B$373=$B374),$E$9:$E373),0),IFERROR(LOOKUP(2,1/($B$9:$B$373=$B374),$E$9:$E373),0)&gt;$E374),"Date out of order",IF(AND(OR($F374="buy_to_close",$F374="expire",$F374="roll",$F374="assignment",$F374="called_away"),$AF374=0),"Unknown lot",IF(OR(AND($F374="assignment",$AF374&gt;0,IF($AF374&gt;0,INDEX($AG$9:$AG$373,$AF374),"")&lt;&gt;"put"),AND($F374="called_away",$AF374&gt;0,IF($AF374&gt;0,INDEX($AG$9:$AG$373,$AF374),"")&lt;&gt;"call")),"Wrong option leg",IF(OR(AND(OR($F374="sell_put",$F374="sell_call"),OR($H374&lt;=0,$I374&lt;=0,$J374&lt;0)),AND(OR($F374="buy_to_close",$F374="expire",$F374="assignment",$F374="called_away"),OR($H374&lt;=0,$J374&lt;0)),AND($F374="roll",OR($H374&lt;=0,$I374&lt;=0,$J374&lt;0,$K374&lt;0)),AND(OR($F374="buy_shares",$F374="sell_shares"),OR($L374&lt;=0,$M374&lt;0)),AND(OR($F374="dividend",$F374="fee"),$N374&lt;0)),"Invalid value",IF(AND(OR($F374="sell_shares",$F374="called_away"),$AL374&lt;IF($F374="called_away",$AE374*$D374,$L374)),"Insufficient shares (capped)",IF(AND(OR($F374="buy_to_close",$F374="expire",$F374="roll",$F374="assignment",$F374="called_away"),$AF374&gt;0,$H374&gt;IF($AF374&gt;0,MAX(0,INDEX($AI$9:$AI$373,$AF374)-SUMIFS($AE$9:$AE$373,$G$9:$G$373,$G374,$B$9:$B$373,$B374)),0)),"Close quantity capped","OK")))))))))</f>
        <v/>
      </c>
      <c r="W374" s="59" t="str">
        <f t="shared" si="88"/>
        <v/>
      </c>
      <c r="X374" s="60" t="str">
        <f t="shared" si="89"/>
        <v/>
      </c>
      <c r="Y374" s="50" t="str">
        <f t="shared" si="90"/>
        <v/>
      </c>
      <c r="Z374" s="50" t="str">
        <f t="shared" si="91"/>
        <v/>
      </c>
      <c r="AA374" s="50" t="str">
        <f t="shared" si="92"/>
        <v/>
      </c>
      <c r="AB374" s="50" t="str">
        <f t="shared" si="93"/>
        <v/>
      </c>
      <c r="AC374" s="50" t="str">
        <f>IF($A374="","",IF($F374="assignment",IF($AF374&gt;0,INDEX($AH$9:$AH$373,$AF374),0)*$AE374*$D374,IF($F374="buy_shares",$M374*$AL374,0)))</f>
        <v/>
      </c>
      <c r="AD374" s="50" t="str">
        <f>IF($A374="","",IF($F374="called_away",IF($AF374&gt;0,INDEX($AH$9:$AH$373,$AF374),0)*$AL374,IF($F374="sell_shares",$M374*$AL374,0)))</f>
        <v/>
      </c>
      <c r="AE374" s="51" t="str">
        <f>IF($A374="","",IF(OR($F374="sell_put",$F374="sell_call"),IF(AND($H374&gt;0,$I374&gt;0,$J374&gt;=0),$H374,0),IF(OR($F374="buy_to_close",$F374="expire",$F374="roll",$F374="assignment",$F374="called_away"),IF(AND($AF374&gt;0,$H374&gt;0,IF($F374="assignment",IF($AF374&gt;0,INDEX($AG$9:$AG$373,$AF374),"")="put",TRUE),IF($F374="called_away",IF($AF374&gt;0,INDEX($AG$9:$AG$373,$AF374),"")="call",TRUE)),MIN($H374,IF($AF374&gt;0,MAX(0,INDEX($AI$9:$AI$373,$AF374)-SUMIFS($AE$9:$AE$373,$G$9:$G$373,$G374,$B$9:$B$373,$B374)),0)),0),0)))</f>
        <v/>
      </c>
      <c r="AF374" t="str">
        <f>IF($A374="","",IFERROR(MATCH(LEN($B374)&amp;":"&amp;$B374&amp;$G374,$AY$9:$AY$373,0),0))</f>
        <v/>
      </c>
      <c r="AG374" t="str">
        <f>IF($A374="","",IF($F374="sell_put","put",IF($F374="sell_call","call",IF($F374="roll",IF($AF374&gt;0,IF($AF374&gt;0,INDEX($AG$9:$AG$373,$AF374),""),""),IF($AF374&gt;0,IF($AF374&gt;0,INDEX($AG$9:$AG$373,$AF374),""),"")))))</f>
        <v/>
      </c>
      <c r="AH374" t="str">
        <f>IF($A374="","",IF(OR($F374="sell_put",$F374="sell_call",$F374="roll"),$I374,IF($AF374&gt;0,IF($AF374&gt;0,INDEX($AH$9:$AH$373,$AF374),0),0)))</f>
        <v/>
      </c>
      <c r="AI374" s="51" t="str">
        <f t="shared" si="94"/>
        <v/>
      </c>
      <c r="AJ374" s="51" t="str">
        <f>IF($A374="","",IFERROR(LOOKUP(2,1/($B$9:$B$373=$B374),$AM$9:$AM373),0))</f>
        <v/>
      </c>
      <c r="AK374" t="str">
        <f>IF($A374="","",IFERROR(LOOKUP(2,1/($B$9:$B$373=$B374),$AN$9:$AN373),0))</f>
        <v/>
      </c>
      <c r="AL374" s="51" t="str">
        <f t="shared" si="95"/>
        <v/>
      </c>
      <c r="AM374" s="51" t="str">
        <f t="shared" si="96"/>
        <v/>
      </c>
      <c r="AN374" t="str">
        <f t="shared" si="97"/>
        <v/>
      </c>
      <c r="AO374" s="50" t="str">
        <f>IF($A374="","",IFERROR(LOOKUP(2,1/($B$9:$B$373=$B374),$AO$9:$AO373),0)+IF($F374="sell_put",$I374*$AE374*$D374,IF($F374="roll",IF($AG374="put",($I374-IF($AF374&gt;0,INDEX($AH$9:$AH$373,$AF374),0))*$AE374*$D374,0),IF(AND(OR($F374="buy_to_close",$F374="expire",$F374="roll",$F374="assignment",$F374="called_away"),$F374&lt;&gt;"roll",$AG374="put"),-IF($AF374&gt;0,INDEX($AH$9:$AH$373,$AF374),0)*$AE374*$D374,0))))</f>
        <v/>
      </c>
      <c r="AP374" s="51" t="str">
        <f>IF($A374="","",IFERROR(LOOKUP(2,1/($B$9:$B$373=$B374),$AP$9:$AP373),0)+IF($F374="sell_put",$AE374*$D374,IF(AND(OR($F374="buy_to_close",$F374="expire",$F374="roll",$F374="assignment",$F374="called_away"),$F374&lt;&gt;"roll",$AG374="put"),-$AE374*$D374,0)))</f>
        <v/>
      </c>
      <c r="AQ374" s="51" t="str">
        <f>IF($A374="","",IFERROR(LOOKUP(2,1/($B$9:$B$373=$B374),$AQ$9:$AQ373),0)+IF(OR($F374="sell_put",$F374="sell_call"),$AE374,0)-IF(AND(OR($F374="buy_to_close",$F374="expire",$F374="roll",$F374="assignment",$F374="called_away"),$F374&lt;&gt;"roll"),$AE374,0))</f>
        <v/>
      </c>
      <c r="AR374" t="str">
        <f t="shared" si="98"/>
        <v/>
      </c>
      <c r="AS374" s="50" t="str">
        <f t="shared" si="99"/>
        <v/>
      </c>
      <c r="AT374" s="50" t="str">
        <f>IF($A374="","",MAX(IF($T374=IFERROR(LOOKUP(2,1/($B$9:$B$373=$B374),$T$9:$T373),0),IFERROR(LOOKUP(2,1/($B$9:$B$373=$B374),$AT$9:$AT373),0),0),$AS374))</f>
        <v/>
      </c>
      <c r="AU374" t="str">
        <f t="shared" si="100"/>
        <v/>
      </c>
      <c r="AV374" s="51">
        <f>IF($AU374="",0,IF(AND(IFERROR(LOOKUP(2,1/($B$9:$B$373=$B374),$AR$9:$AR373),1),NOT(AND(OR($F374="dividend",$F374="fee"),IFERROR(LOOKUP(2,1/($B$9:$B$373=$B374),$T$9:$T373),0)&gt;0))),ROW(),0))</f>
        <v>0</v>
      </c>
      <c r="AW374">
        <f>IF($A374="",0,IF($AV374&gt;0,MAX($AW$9:$AW$373)+1,MAX($AW$9:$AW$373)))</f>
        <v>0</v>
      </c>
      <c r="AX374">
        <f>IF($AU374="",0,IF(AND($AR374,OR(NOT(IFERROR(LOOKUP(2,1/($B$9:$B$373=$B374),$AR$9:$AR373),1)),IFERROR(LOOKUP(2,1/($B$9:$B$373=$B374),$T$9:$T373),0)=0)),ROW(),0))</f>
        <v>0</v>
      </c>
      <c r="AY374" t="str">
        <f t="shared" si="101"/>
        <v/>
      </c>
    </row>
    <row r="375" spans="1:51" ht="15" x14ac:dyDescent="0.25">
      <c r="A375" s="41" t="str">
        <f>IF(Trades!$A375="","",Trades!O375)</f>
        <v/>
      </c>
      <c r="B375" s="41" t="str">
        <f>IF(Trades!$A375="","",Trades!B375)</f>
        <v/>
      </c>
      <c r="C375" s="41" t="str">
        <f>IF(Trades!$A375="","",Trades!C375)</f>
        <v/>
      </c>
      <c r="D375" s="42" t="str">
        <f>IF(Trades!$A375="","",IF(Trades!$L375&gt;0,Trades!$L375,Trades!$C$6))</f>
        <v/>
      </c>
      <c r="E375" s="43" t="str">
        <f>IF(Trades!$A375="","",Trades!A375)</f>
        <v/>
      </c>
      <c r="F375" s="41" t="str">
        <f>IF(Trades!$A375="","",IFERROR(INDEX(Trades!$V$2:$V$14,MATCH(Trades!$E375,Trades!$U$2:$U$14,0)),""))</f>
        <v/>
      </c>
      <c r="G375" s="41" t="str">
        <f>IF(Trades!$A375="","",Trades!N375)</f>
        <v/>
      </c>
      <c r="H375" s="42" t="str">
        <f>IF(Trades!$A375="","",Trades!F375)</f>
        <v/>
      </c>
      <c r="I375" s="44" t="str">
        <f>IF(Trades!$A375="","",Trades!G375)</f>
        <v/>
      </c>
      <c r="J375" s="44" t="str">
        <f>IF(Trades!$A375="","",Trades!I375)</f>
        <v/>
      </c>
      <c r="K375" s="44" t="str">
        <f>IF(Trades!$A375="","",Trades!Q375)</f>
        <v/>
      </c>
      <c r="L375" s="42" t="str">
        <f>IF(Trades!$A375="","",Trades!F375)</f>
        <v/>
      </c>
      <c r="M375" s="44" t="str">
        <f>IF(Trades!$A375="","",Trades!M375)</f>
        <v/>
      </c>
      <c r="N375" s="44" t="str">
        <f>IF(Trades!$A375="","",Trades!R375)</f>
        <v/>
      </c>
      <c r="O375" s="44" t="str">
        <f>IF(Trades!$A375="","",Trades!J375)</f>
        <v/>
      </c>
      <c r="P375" s="43" t="str">
        <f>IF(Trades!$A375="","",Trades!H375)</f>
        <v/>
      </c>
      <c r="Q375" s="41" t="str">
        <f>IF(Trades!$A375="","",Trades!P375)</f>
        <v/>
      </c>
      <c r="R375" s="45" t="str">
        <f t="shared" si="85"/>
        <v/>
      </c>
      <c r="S375" s="45" t="str">
        <f t="shared" si="86"/>
        <v/>
      </c>
      <c r="T375" s="46" t="str">
        <f>IF(OR($A375="",$B375=""),"",IF(AND(IFERROR(LOOKUP(2,1/($B$9:$B$374=$B375),$AR$9:$AR374),1),NOT(AND(OR($F375="dividend",$F375="fee"),IFERROR(LOOKUP(2,1/($B$9:$B$374=$B375),$T$9:$T374),0)&gt;0))),IFERROR(LOOKUP(2,1/($B$9:$B$374=$B375),$T$9:$T374),0)+1,IFERROR(LOOKUP(2,1/($B$9:$B$374=$B375),$T$9:$T374),0)))</f>
        <v/>
      </c>
      <c r="U375" s="47" t="str">
        <f t="shared" si="87"/>
        <v/>
      </c>
      <c r="V375" s="47" t="str">
        <f>IF($A375="","",IF(OR($B375="",$C375="",$D375="",$E375="",$F375=""),"Missing required field",IF(COUNTIFS($A$9:$A375,$A375,$B$9:$B375,$B375)&gt;1,"Duplicate event ID",IF(AND($E375&lt;&gt;IFERROR(LOOKUP(2,1/($B$9:$B$374=$B375),$E$9:$E374),0),IFERROR(LOOKUP(2,1/($B$9:$B$374=$B375),$E$9:$E374),0)&gt;$E375),"Date out of order",IF(AND(OR($F375="buy_to_close",$F375="expire",$F375="roll",$F375="assignment",$F375="called_away"),$AF375=0),"Unknown lot",IF(OR(AND($F375="assignment",$AF375&gt;0,IF($AF375&gt;0,INDEX($AG$9:$AG$374,$AF375),"")&lt;&gt;"put"),AND($F375="called_away",$AF375&gt;0,IF($AF375&gt;0,INDEX($AG$9:$AG$374,$AF375),"")&lt;&gt;"call")),"Wrong option leg",IF(OR(AND(OR($F375="sell_put",$F375="sell_call"),OR($H375&lt;=0,$I375&lt;=0,$J375&lt;0)),AND(OR($F375="buy_to_close",$F375="expire",$F375="assignment",$F375="called_away"),OR($H375&lt;=0,$J375&lt;0)),AND($F375="roll",OR($H375&lt;=0,$I375&lt;=0,$J375&lt;0,$K375&lt;0)),AND(OR($F375="buy_shares",$F375="sell_shares"),OR($L375&lt;=0,$M375&lt;0)),AND(OR($F375="dividend",$F375="fee"),$N375&lt;0)),"Invalid value",IF(AND(OR($F375="sell_shares",$F375="called_away"),$AL375&lt;IF($F375="called_away",$AE375*$D375,$L375)),"Insufficient shares (capped)",IF(AND(OR($F375="buy_to_close",$F375="expire",$F375="roll",$F375="assignment",$F375="called_away"),$AF375&gt;0,$H375&gt;IF($AF375&gt;0,MAX(0,INDEX($AI$9:$AI$374,$AF375)-SUMIFS($AE$9:$AE$374,$G$9:$G$374,$G375,$B$9:$B$374,$B375)),0)),"Close quantity capped","OK")))))))))</f>
        <v/>
      </c>
      <c r="W375" s="48" t="str">
        <f t="shared" si="88"/>
        <v/>
      </c>
      <c r="X375" s="49" t="str">
        <f t="shared" si="89"/>
        <v/>
      </c>
      <c r="Y375" s="50" t="str">
        <f t="shared" si="90"/>
        <v/>
      </c>
      <c r="Z375" s="50" t="str">
        <f t="shared" si="91"/>
        <v/>
      </c>
      <c r="AA375" s="50" t="str">
        <f t="shared" si="92"/>
        <v/>
      </c>
      <c r="AB375" s="50" t="str">
        <f t="shared" si="93"/>
        <v/>
      </c>
      <c r="AC375" s="50" t="str">
        <f>IF($A375="","",IF($F375="assignment",IF($AF375&gt;0,INDEX($AH$9:$AH$374,$AF375),0)*$AE375*$D375,IF($F375="buy_shares",$M375*$AL375,0)))</f>
        <v/>
      </c>
      <c r="AD375" s="50" t="str">
        <f>IF($A375="","",IF($F375="called_away",IF($AF375&gt;0,INDEX($AH$9:$AH$374,$AF375),0)*$AL375,IF($F375="sell_shares",$M375*$AL375,0)))</f>
        <v/>
      </c>
      <c r="AE375" s="51" t="str">
        <f>IF($A375="","",IF(OR($F375="sell_put",$F375="sell_call"),IF(AND($H375&gt;0,$I375&gt;0,$J375&gt;=0),$H375,0),IF(OR($F375="buy_to_close",$F375="expire",$F375="roll",$F375="assignment",$F375="called_away"),IF(AND($AF375&gt;0,$H375&gt;0,IF($F375="assignment",IF($AF375&gt;0,INDEX($AG$9:$AG$374,$AF375),"")="put",TRUE),IF($F375="called_away",IF($AF375&gt;0,INDEX($AG$9:$AG$374,$AF375),"")="call",TRUE)),MIN($H375,IF($AF375&gt;0,MAX(0,INDEX($AI$9:$AI$374,$AF375)-SUMIFS($AE$9:$AE$374,$G$9:$G$374,$G375,$B$9:$B$374,$B375)),0)),0),0)))</f>
        <v/>
      </c>
      <c r="AF375" t="str">
        <f>IF($A375="","",IFERROR(MATCH(LEN($B375)&amp;":"&amp;$B375&amp;$G375,$AY$9:$AY$374,0),0))</f>
        <v/>
      </c>
      <c r="AG375" t="str">
        <f>IF($A375="","",IF($F375="sell_put","put",IF($F375="sell_call","call",IF($F375="roll",IF($AF375&gt;0,IF($AF375&gt;0,INDEX($AG$9:$AG$374,$AF375),""),""),IF($AF375&gt;0,IF($AF375&gt;0,INDEX($AG$9:$AG$374,$AF375),""),"")))))</f>
        <v/>
      </c>
      <c r="AH375" t="str">
        <f>IF($A375="","",IF(OR($F375="sell_put",$F375="sell_call",$F375="roll"),$I375,IF($AF375&gt;0,IF($AF375&gt;0,INDEX($AH$9:$AH$374,$AF375),0),0)))</f>
        <v/>
      </c>
      <c r="AI375" s="51" t="str">
        <f t="shared" si="94"/>
        <v/>
      </c>
      <c r="AJ375" s="51" t="str">
        <f>IF($A375="","",IFERROR(LOOKUP(2,1/($B$9:$B$374=$B375),$AM$9:$AM374),0))</f>
        <v/>
      </c>
      <c r="AK375" t="str">
        <f>IF($A375="","",IFERROR(LOOKUP(2,1/($B$9:$B$374=$B375),$AN$9:$AN374),0))</f>
        <v/>
      </c>
      <c r="AL375" s="51" t="str">
        <f t="shared" si="95"/>
        <v/>
      </c>
      <c r="AM375" s="51" t="str">
        <f t="shared" si="96"/>
        <v/>
      </c>
      <c r="AN375" t="str">
        <f t="shared" si="97"/>
        <v/>
      </c>
      <c r="AO375" s="50" t="str">
        <f>IF($A375="","",IFERROR(LOOKUP(2,1/($B$9:$B$374=$B375),$AO$9:$AO374),0)+IF($F375="sell_put",$I375*$AE375*$D375,IF($F375="roll",IF($AG375="put",($I375-IF($AF375&gt;0,INDEX($AH$9:$AH$374,$AF375),0))*$AE375*$D375,0),IF(AND(OR($F375="buy_to_close",$F375="expire",$F375="roll",$F375="assignment",$F375="called_away"),$F375&lt;&gt;"roll",$AG375="put"),-IF($AF375&gt;0,INDEX($AH$9:$AH$374,$AF375),0)*$AE375*$D375,0))))</f>
        <v/>
      </c>
      <c r="AP375" s="51" t="str">
        <f>IF($A375="","",IFERROR(LOOKUP(2,1/($B$9:$B$374=$B375),$AP$9:$AP374),0)+IF($F375="sell_put",$AE375*$D375,IF(AND(OR($F375="buy_to_close",$F375="expire",$F375="roll",$F375="assignment",$F375="called_away"),$F375&lt;&gt;"roll",$AG375="put"),-$AE375*$D375,0)))</f>
        <v/>
      </c>
      <c r="AQ375" s="51" t="str">
        <f>IF($A375="","",IFERROR(LOOKUP(2,1/($B$9:$B$374=$B375),$AQ$9:$AQ374),0)+IF(OR($F375="sell_put",$F375="sell_call"),$AE375,0)-IF(AND(OR($F375="buy_to_close",$F375="expire",$F375="roll",$F375="assignment",$F375="called_away"),$F375&lt;&gt;"roll"),$AE375,0))</f>
        <v/>
      </c>
      <c r="AR375" t="str">
        <f t="shared" si="98"/>
        <v/>
      </c>
      <c r="AS375" s="50" t="str">
        <f t="shared" si="99"/>
        <v/>
      </c>
      <c r="AT375" s="50" t="str">
        <f>IF($A375="","",MAX(IF($T375=IFERROR(LOOKUP(2,1/($B$9:$B$374=$B375),$T$9:$T374),0),IFERROR(LOOKUP(2,1/($B$9:$B$374=$B375),$AT$9:$AT374),0),0),$AS375))</f>
        <v/>
      </c>
      <c r="AU375" t="str">
        <f t="shared" si="100"/>
        <v/>
      </c>
      <c r="AV375" s="51">
        <f>IF($AU375="",0,IF(AND(IFERROR(LOOKUP(2,1/($B$9:$B$374=$B375),$AR$9:$AR374),1),NOT(AND(OR($F375="dividend",$F375="fee"),IFERROR(LOOKUP(2,1/($B$9:$B$374=$B375),$T$9:$T374),0)&gt;0))),ROW(),0))</f>
        <v>0</v>
      </c>
      <c r="AW375">
        <f>IF($A375="",0,IF($AV375&gt;0,MAX($AW$9:$AW$374)+1,MAX($AW$9:$AW$374)))</f>
        <v>0</v>
      </c>
      <c r="AX375">
        <f>IF($AU375="",0,IF(AND($AR375,OR(NOT(IFERROR(LOOKUP(2,1/($B$9:$B$374=$B375),$AR$9:$AR374),1)),IFERROR(LOOKUP(2,1/($B$9:$B$374=$B375),$T$9:$T374),0)=0)),ROW(),0))</f>
        <v>0</v>
      </c>
      <c r="AY375" t="str">
        <f t="shared" si="101"/>
        <v/>
      </c>
    </row>
    <row r="376" spans="1:51" ht="15" x14ac:dyDescent="0.25">
      <c r="A376" s="52" t="str">
        <f>IF(Trades!$A376="","",Trades!O376)</f>
        <v/>
      </c>
      <c r="B376" s="52" t="str">
        <f>IF(Trades!$A376="","",Trades!B376)</f>
        <v/>
      </c>
      <c r="C376" s="52" t="str">
        <f>IF(Trades!$A376="","",Trades!C376)</f>
        <v/>
      </c>
      <c r="D376" s="53" t="str">
        <f>IF(Trades!$A376="","",IF(Trades!$L376&gt;0,Trades!$L376,Trades!$C$6))</f>
        <v/>
      </c>
      <c r="E376" s="54" t="str">
        <f>IF(Trades!$A376="","",Trades!A376)</f>
        <v/>
      </c>
      <c r="F376" s="52" t="str">
        <f>IF(Trades!$A376="","",IFERROR(INDEX(Trades!$V$2:$V$14,MATCH(Trades!$E376,Trades!$U$2:$U$14,0)),""))</f>
        <v/>
      </c>
      <c r="G376" s="52" t="str">
        <f>IF(Trades!$A376="","",Trades!N376)</f>
        <v/>
      </c>
      <c r="H376" s="53" t="str">
        <f>IF(Trades!$A376="","",Trades!F376)</f>
        <v/>
      </c>
      <c r="I376" s="55" t="str">
        <f>IF(Trades!$A376="","",Trades!G376)</f>
        <v/>
      </c>
      <c r="J376" s="55" t="str">
        <f>IF(Trades!$A376="","",Trades!I376)</f>
        <v/>
      </c>
      <c r="K376" s="55" t="str">
        <f>IF(Trades!$A376="","",Trades!Q376)</f>
        <v/>
      </c>
      <c r="L376" s="53" t="str">
        <f>IF(Trades!$A376="","",Trades!F376)</f>
        <v/>
      </c>
      <c r="M376" s="55" t="str">
        <f>IF(Trades!$A376="","",Trades!M376)</f>
        <v/>
      </c>
      <c r="N376" s="55" t="str">
        <f>IF(Trades!$A376="","",Trades!R376)</f>
        <v/>
      </c>
      <c r="O376" s="55" t="str">
        <f>IF(Trades!$A376="","",Trades!J376)</f>
        <v/>
      </c>
      <c r="P376" s="54" t="str">
        <f>IF(Trades!$A376="","",Trades!H376)</f>
        <v/>
      </c>
      <c r="Q376" s="52" t="str">
        <f>IF(Trades!$A376="","",Trades!P376)</f>
        <v/>
      </c>
      <c r="R376" s="56" t="str">
        <f t="shared" si="85"/>
        <v/>
      </c>
      <c r="S376" s="56" t="str">
        <f t="shared" si="86"/>
        <v/>
      </c>
      <c r="T376" s="57" t="str">
        <f>IF(OR($A376="",$B376=""),"",IF(AND(IFERROR(LOOKUP(2,1/($B$9:$B$375=$B376),$AR$9:$AR375),1),NOT(AND(OR($F376="dividend",$F376="fee"),IFERROR(LOOKUP(2,1/($B$9:$B$375=$B376),$T$9:$T375),0)&gt;0))),IFERROR(LOOKUP(2,1/($B$9:$B$375=$B376),$T$9:$T375),0)+1,IFERROR(LOOKUP(2,1/($B$9:$B$375=$B376),$T$9:$T375),0)))</f>
        <v/>
      </c>
      <c r="U376" s="58" t="str">
        <f t="shared" si="87"/>
        <v/>
      </c>
      <c r="V376" s="58" t="str">
        <f>IF($A376="","",IF(OR($B376="",$C376="",$D376="",$E376="",$F376=""),"Missing required field",IF(COUNTIFS($A$9:$A376,$A376,$B$9:$B376,$B376)&gt;1,"Duplicate event ID",IF(AND($E376&lt;&gt;IFERROR(LOOKUP(2,1/($B$9:$B$375=$B376),$E$9:$E375),0),IFERROR(LOOKUP(2,1/($B$9:$B$375=$B376),$E$9:$E375),0)&gt;$E376),"Date out of order",IF(AND(OR($F376="buy_to_close",$F376="expire",$F376="roll",$F376="assignment",$F376="called_away"),$AF376=0),"Unknown lot",IF(OR(AND($F376="assignment",$AF376&gt;0,IF($AF376&gt;0,INDEX($AG$9:$AG$375,$AF376),"")&lt;&gt;"put"),AND($F376="called_away",$AF376&gt;0,IF($AF376&gt;0,INDEX($AG$9:$AG$375,$AF376),"")&lt;&gt;"call")),"Wrong option leg",IF(OR(AND(OR($F376="sell_put",$F376="sell_call"),OR($H376&lt;=0,$I376&lt;=0,$J376&lt;0)),AND(OR($F376="buy_to_close",$F376="expire",$F376="assignment",$F376="called_away"),OR($H376&lt;=0,$J376&lt;0)),AND($F376="roll",OR($H376&lt;=0,$I376&lt;=0,$J376&lt;0,$K376&lt;0)),AND(OR($F376="buy_shares",$F376="sell_shares"),OR($L376&lt;=0,$M376&lt;0)),AND(OR($F376="dividend",$F376="fee"),$N376&lt;0)),"Invalid value",IF(AND(OR($F376="sell_shares",$F376="called_away"),$AL376&lt;IF($F376="called_away",$AE376*$D376,$L376)),"Insufficient shares (capped)",IF(AND(OR($F376="buy_to_close",$F376="expire",$F376="roll",$F376="assignment",$F376="called_away"),$AF376&gt;0,$H376&gt;IF($AF376&gt;0,MAX(0,INDEX($AI$9:$AI$375,$AF376)-SUMIFS($AE$9:$AE$375,$G$9:$G$375,$G376,$B$9:$B$375,$B376)),0)),"Close quantity capped","OK")))))))))</f>
        <v/>
      </c>
      <c r="W376" s="59" t="str">
        <f t="shared" si="88"/>
        <v/>
      </c>
      <c r="X376" s="60" t="str">
        <f t="shared" si="89"/>
        <v/>
      </c>
      <c r="Y376" s="50" t="str">
        <f t="shared" si="90"/>
        <v/>
      </c>
      <c r="Z376" s="50" t="str">
        <f t="shared" si="91"/>
        <v/>
      </c>
      <c r="AA376" s="50" t="str">
        <f t="shared" si="92"/>
        <v/>
      </c>
      <c r="AB376" s="50" t="str">
        <f t="shared" si="93"/>
        <v/>
      </c>
      <c r="AC376" s="50" t="str">
        <f>IF($A376="","",IF($F376="assignment",IF($AF376&gt;0,INDEX($AH$9:$AH$375,$AF376),0)*$AE376*$D376,IF($F376="buy_shares",$M376*$AL376,0)))</f>
        <v/>
      </c>
      <c r="AD376" s="50" t="str">
        <f>IF($A376="","",IF($F376="called_away",IF($AF376&gt;0,INDEX($AH$9:$AH$375,$AF376),0)*$AL376,IF($F376="sell_shares",$M376*$AL376,0)))</f>
        <v/>
      </c>
      <c r="AE376" s="51" t="str">
        <f>IF($A376="","",IF(OR($F376="sell_put",$F376="sell_call"),IF(AND($H376&gt;0,$I376&gt;0,$J376&gt;=0),$H376,0),IF(OR($F376="buy_to_close",$F376="expire",$F376="roll",$F376="assignment",$F376="called_away"),IF(AND($AF376&gt;0,$H376&gt;0,IF($F376="assignment",IF($AF376&gt;0,INDEX($AG$9:$AG$375,$AF376),"")="put",TRUE),IF($F376="called_away",IF($AF376&gt;0,INDEX($AG$9:$AG$375,$AF376),"")="call",TRUE)),MIN($H376,IF($AF376&gt;0,MAX(0,INDEX($AI$9:$AI$375,$AF376)-SUMIFS($AE$9:$AE$375,$G$9:$G$375,$G376,$B$9:$B$375,$B376)),0)),0),0)))</f>
        <v/>
      </c>
      <c r="AF376" t="str">
        <f>IF($A376="","",IFERROR(MATCH(LEN($B376)&amp;":"&amp;$B376&amp;$G376,$AY$9:$AY$375,0),0))</f>
        <v/>
      </c>
      <c r="AG376" t="str">
        <f>IF($A376="","",IF($F376="sell_put","put",IF($F376="sell_call","call",IF($F376="roll",IF($AF376&gt;0,IF($AF376&gt;0,INDEX($AG$9:$AG$375,$AF376),""),""),IF($AF376&gt;0,IF($AF376&gt;0,INDEX($AG$9:$AG$375,$AF376),""),"")))))</f>
        <v/>
      </c>
      <c r="AH376" t="str">
        <f>IF($A376="","",IF(OR($F376="sell_put",$F376="sell_call",$F376="roll"),$I376,IF($AF376&gt;0,IF($AF376&gt;0,INDEX($AH$9:$AH$375,$AF376),0),0)))</f>
        <v/>
      </c>
      <c r="AI376" s="51" t="str">
        <f t="shared" si="94"/>
        <v/>
      </c>
      <c r="AJ376" s="51" t="str">
        <f>IF($A376="","",IFERROR(LOOKUP(2,1/($B$9:$B$375=$B376),$AM$9:$AM375),0))</f>
        <v/>
      </c>
      <c r="AK376" t="str">
        <f>IF($A376="","",IFERROR(LOOKUP(2,1/($B$9:$B$375=$B376),$AN$9:$AN375),0))</f>
        <v/>
      </c>
      <c r="AL376" s="51" t="str">
        <f t="shared" si="95"/>
        <v/>
      </c>
      <c r="AM376" s="51" t="str">
        <f t="shared" si="96"/>
        <v/>
      </c>
      <c r="AN376" t="str">
        <f t="shared" si="97"/>
        <v/>
      </c>
      <c r="AO376" s="50" t="str">
        <f>IF($A376="","",IFERROR(LOOKUP(2,1/($B$9:$B$375=$B376),$AO$9:$AO375),0)+IF($F376="sell_put",$I376*$AE376*$D376,IF($F376="roll",IF($AG376="put",($I376-IF($AF376&gt;0,INDEX($AH$9:$AH$375,$AF376),0))*$AE376*$D376,0),IF(AND(OR($F376="buy_to_close",$F376="expire",$F376="roll",$F376="assignment",$F376="called_away"),$F376&lt;&gt;"roll",$AG376="put"),-IF($AF376&gt;0,INDEX($AH$9:$AH$375,$AF376),0)*$AE376*$D376,0))))</f>
        <v/>
      </c>
      <c r="AP376" s="51" t="str">
        <f>IF($A376="","",IFERROR(LOOKUP(2,1/($B$9:$B$375=$B376),$AP$9:$AP375),0)+IF($F376="sell_put",$AE376*$D376,IF(AND(OR($F376="buy_to_close",$F376="expire",$F376="roll",$F376="assignment",$F376="called_away"),$F376&lt;&gt;"roll",$AG376="put"),-$AE376*$D376,0)))</f>
        <v/>
      </c>
      <c r="AQ376" s="51" t="str">
        <f>IF($A376="","",IFERROR(LOOKUP(2,1/($B$9:$B$375=$B376),$AQ$9:$AQ375),0)+IF(OR($F376="sell_put",$F376="sell_call"),$AE376,0)-IF(AND(OR($F376="buy_to_close",$F376="expire",$F376="roll",$F376="assignment",$F376="called_away"),$F376&lt;&gt;"roll"),$AE376,0))</f>
        <v/>
      </c>
      <c r="AR376" t="str">
        <f t="shared" si="98"/>
        <v/>
      </c>
      <c r="AS376" s="50" t="str">
        <f t="shared" si="99"/>
        <v/>
      </c>
      <c r="AT376" s="50" t="str">
        <f>IF($A376="","",MAX(IF($T376=IFERROR(LOOKUP(2,1/($B$9:$B$375=$B376),$T$9:$T375),0),IFERROR(LOOKUP(2,1/($B$9:$B$375=$B376),$AT$9:$AT375),0),0),$AS376))</f>
        <v/>
      </c>
      <c r="AU376" t="str">
        <f t="shared" si="100"/>
        <v/>
      </c>
      <c r="AV376" s="51">
        <f>IF($AU376="",0,IF(AND(IFERROR(LOOKUP(2,1/($B$9:$B$375=$B376),$AR$9:$AR375),1),NOT(AND(OR($F376="dividend",$F376="fee"),IFERROR(LOOKUP(2,1/($B$9:$B$375=$B376),$T$9:$T375),0)&gt;0))),ROW(),0))</f>
        <v>0</v>
      </c>
      <c r="AW376">
        <f>IF($A376="",0,IF($AV376&gt;0,MAX($AW$9:$AW$375)+1,MAX($AW$9:$AW$375)))</f>
        <v>0</v>
      </c>
      <c r="AX376">
        <f>IF($AU376="",0,IF(AND($AR376,OR(NOT(IFERROR(LOOKUP(2,1/($B$9:$B$375=$B376),$AR$9:$AR375),1)),IFERROR(LOOKUP(2,1/($B$9:$B$375=$B376),$T$9:$T375),0)=0)),ROW(),0))</f>
        <v>0</v>
      </c>
      <c r="AY376" t="str">
        <f t="shared" si="101"/>
        <v/>
      </c>
    </row>
    <row r="377" spans="1:51" ht="15" x14ac:dyDescent="0.25">
      <c r="A377" s="41" t="str">
        <f>IF(Trades!$A377="","",Trades!O377)</f>
        <v/>
      </c>
      <c r="B377" s="41" t="str">
        <f>IF(Trades!$A377="","",Trades!B377)</f>
        <v/>
      </c>
      <c r="C377" s="41" t="str">
        <f>IF(Trades!$A377="","",Trades!C377)</f>
        <v/>
      </c>
      <c r="D377" s="42" t="str">
        <f>IF(Trades!$A377="","",IF(Trades!$L377&gt;0,Trades!$L377,Trades!$C$6))</f>
        <v/>
      </c>
      <c r="E377" s="43" t="str">
        <f>IF(Trades!$A377="","",Trades!A377)</f>
        <v/>
      </c>
      <c r="F377" s="41" t="str">
        <f>IF(Trades!$A377="","",IFERROR(INDEX(Trades!$V$2:$V$14,MATCH(Trades!$E377,Trades!$U$2:$U$14,0)),""))</f>
        <v/>
      </c>
      <c r="G377" s="41" t="str">
        <f>IF(Trades!$A377="","",Trades!N377)</f>
        <v/>
      </c>
      <c r="H377" s="42" t="str">
        <f>IF(Trades!$A377="","",Trades!F377)</f>
        <v/>
      </c>
      <c r="I377" s="44" t="str">
        <f>IF(Trades!$A377="","",Trades!G377)</f>
        <v/>
      </c>
      <c r="J377" s="44" t="str">
        <f>IF(Trades!$A377="","",Trades!I377)</f>
        <v/>
      </c>
      <c r="K377" s="44" t="str">
        <f>IF(Trades!$A377="","",Trades!Q377)</f>
        <v/>
      </c>
      <c r="L377" s="42" t="str">
        <f>IF(Trades!$A377="","",Trades!F377)</f>
        <v/>
      </c>
      <c r="M377" s="44" t="str">
        <f>IF(Trades!$A377="","",Trades!M377)</f>
        <v/>
      </c>
      <c r="N377" s="44" t="str">
        <f>IF(Trades!$A377="","",Trades!R377)</f>
        <v/>
      </c>
      <c r="O377" s="44" t="str">
        <f>IF(Trades!$A377="","",Trades!J377)</f>
        <v/>
      </c>
      <c r="P377" s="43" t="str">
        <f>IF(Trades!$A377="","",Trades!H377)</f>
        <v/>
      </c>
      <c r="Q377" s="41" t="str">
        <f>IF(Trades!$A377="","",Trades!P377)</f>
        <v/>
      </c>
      <c r="R377" s="45" t="str">
        <f t="shared" si="85"/>
        <v/>
      </c>
      <c r="S377" s="45" t="str">
        <f t="shared" si="86"/>
        <v/>
      </c>
      <c r="T377" s="46" t="str">
        <f>IF(OR($A377="",$B377=""),"",IF(AND(IFERROR(LOOKUP(2,1/($B$9:$B$376=$B377),$AR$9:$AR376),1),NOT(AND(OR($F377="dividend",$F377="fee"),IFERROR(LOOKUP(2,1/($B$9:$B$376=$B377),$T$9:$T376),0)&gt;0))),IFERROR(LOOKUP(2,1/($B$9:$B$376=$B377),$T$9:$T376),0)+1,IFERROR(LOOKUP(2,1/($B$9:$B$376=$B377),$T$9:$T376),0)))</f>
        <v/>
      </c>
      <c r="U377" s="47" t="str">
        <f t="shared" si="87"/>
        <v/>
      </c>
      <c r="V377" s="47" t="str">
        <f>IF($A377="","",IF(OR($B377="",$C377="",$D377="",$E377="",$F377=""),"Missing required field",IF(COUNTIFS($A$9:$A377,$A377,$B$9:$B377,$B377)&gt;1,"Duplicate event ID",IF(AND($E377&lt;&gt;IFERROR(LOOKUP(2,1/($B$9:$B$376=$B377),$E$9:$E376),0),IFERROR(LOOKUP(2,1/($B$9:$B$376=$B377),$E$9:$E376),0)&gt;$E377),"Date out of order",IF(AND(OR($F377="buy_to_close",$F377="expire",$F377="roll",$F377="assignment",$F377="called_away"),$AF377=0),"Unknown lot",IF(OR(AND($F377="assignment",$AF377&gt;0,IF($AF377&gt;0,INDEX($AG$9:$AG$376,$AF377),"")&lt;&gt;"put"),AND($F377="called_away",$AF377&gt;0,IF($AF377&gt;0,INDEX($AG$9:$AG$376,$AF377),"")&lt;&gt;"call")),"Wrong option leg",IF(OR(AND(OR($F377="sell_put",$F377="sell_call"),OR($H377&lt;=0,$I377&lt;=0,$J377&lt;0)),AND(OR($F377="buy_to_close",$F377="expire",$F377="assignment",$F377="called_away"),OR($H377&lt;=0,$J377&lt;0)),AND($F377="roll",OR($H377&lt;=0,$I377&lt;=0,$J377&lt;0,$K377&lt;0)),AND(OR($F377="buy_shares",$F377="sell_shares"),OR($L377&lt;=0,$M377&lt;0)),AND(OR($F377="dividend",$F377="fee"),$N377&lt;0)),"Invalid value",IF(AND(OR($F377="sell_shares",$F377="called_away"),$AL377&lt;IF($F377="called_away",$AE377*$D377,$L377)),"Insufficient shares (capped)",IF(AND(OR($F377="buy_to_close",$F377="expire",$F377="roll",$F377="assignment",$F377="called_away"),$AF377&gt;0,$H377&gt;IF($AF377&gt;0,MAX(0,INDEX($AI$9:$AI$376,$AF377)-SUMIFS($AE$9:$AE$376,$G$9:$G$376,$G377,$B$9:$B$376,$B377)),0)),"Close quantity capped","OK")))))))))</f>
        <v/>
      </c>
      <c r="W377" s="48" t="str">
        <f t="shared" si="88"/>
        <v/>
      </c>
      <c r="X377" s="49" t="str">
        <f t="shared" si="89"/>
        <v/>
      </c>
      <c r="Y377" s="50" t="str">
        <f t="shared" si="90"/>
        <v/>
      </c>
      <c r="Z377" s="50" t="str">
        <f t="shared" si="91"/>
        <v/>
      </c>
      <c r="AA377" s="50" t="str">
        <f t="shared" si="92"/>
        <v/>
      </c>
      <c r="AB377" s="50" t="str">
        <f t="shared" si="93"/>
        <v/>
      </c>
      <c r="AC377" s="50" t="str">
        <f>IF($A377="","",IF($F377="assignment",IF($AF377&gt;0,INDEX($AH$9:$AH$376,$AF377),0)*$AE377*$D377,IF($F377="buy_shares",$M377*$AL377,0)))</f>
        <v/>
      </c>
      <c r="AD377" s="50" t="str">
        <f>IF($A377="","",IF($F377="called_away",IF($AF377&gt;0,INDEX($AH$9:$AH$376,$AF377),0)*$AL377,IF($F377="sell_shares",$M377*$AL377,0)))</f>
        <v/>
      </c>
      <c r="AE377" s="51" t="str">
        <f>IF($A377="","",IF(OR($F377="sell_put",$F377="sell_call"),IF(AND($H377&gt;0,$I377&gt;0,$J377&gt;=0),$H377,0),IF(OR($F377="buy_to_close",$F377="expire",$F377="roll",$F377="assignment",$F377="called_away"),IF(AND($AF377&gt;0,$H377&gt;0,IF($F377="assignment",IF($AF377&gt;0,INDEX($AG$9:$AG$376,$AF377),"")="put",TRUE),IF($F377="called_away",IF($AF377&gt;0,INDEX($AG$9:$AG$376,$AF377),"")="call",TRUE)),MIN($H377,IF($AF377&gt;0,MAX(0,INDEX($AI$9:$AI$376,$AF377)-SUMIFS($AE$9:$AE$376,$G$9:$G$376,$G377,$B$9:$B$376,$B377)),0)),0),0)))</f>
        <v/>
      </c>
      <c r="AF377" t="str">
        <f>IF($A377="","",IFERROR(MATCH(LEN($B377)&amp;":"&amp;$B377&amp;$G377,$AY$9:$AY$376,0),0))</f>
        <v/>
      </c>
      <c r="AG377" t="str">
        <f>IF($A377="","",IF($F377="sell_put","put",IF($F377="sell_call","call",IF($F377="roll",IF($AF377&gt;0,IF($AF377&gt;0,INDEX($AG$9:$AG$376,$AF377),""),""),IF($AF377&gt;0,IF($AF377&gt;0,INDEX($AG$9:$AG$376,$AF377),""),"")))))</f>
        <v/>
      </c>
      <c r="AH377" t="str">
        <f>IF($A377="","",IF(OR($F377="sell_put",$F377="sell_call",$F377="roll"),$I377,IF($AF377&gt;0,IF($AF377&gt;0,INDEX($AH$9:$AH$376,$AF377),0),0)))</f>
        <v/>
      </c>
      <c r="AI377" s="51" t="str">
        <f t="shared" si="94"/>
        <v/>
      </c>
      <c r="AJ377" s="51" t="str">
        <f>IF($A377="","",IFERROR(LOOKUP(2,1/($B$9:$B$376=$B377),$AM$9:$AM376),0))</f>
        <v/>
      </c>
      <c r="AK377" t="str">
        <f>IF($A377="","",IFERROR(LOOKUP(2,1/($B$9:$B$376=$B377),$AN$9:$AN376),0))</f>
        <v/>
      </c>
      <c r="AL377" s="51" t="str">
        <f t="shared" si="95"/>
        <v/>
      </c>
      <c r="AM377" s="51" t="str">
        <f t="shared" si="96"/>
        <v/>
      </c>
      <c r="AN377" t="str">
        <f t="shared" si="97"/>
        <v/>
      </c>
      <c r="AO377" s="50" t="str">
        <f>IF($A377="","",IFERROR(LOOKUP(2,1/($B$9:$B$376=$B377),$AO$9:$AO376),0)+IF($F377="sell_put",$I377*$AE377*$D377,IF($F377="roll",IF($AG377="put",($I377-IF($AF377&gt;0,INDEX($AH$9:$AH$376,$AF377),0))*$AE377*$D377,0),IF(AND(OR($F377="buy_to_close",$F377="expire",$F377="roll",$F377="assignment",$F377="called_away"),$F377&lt;&gt;"roll",$AG377="put"),-IF($AF377&gt;0,INDEX($AH$9:$AH$376,$AF377),0)*$AE377*$D377,0))))</f>
        <v/>
      </c>
      <c r="AP377" s="51" t="str">
        <f>IF($A377="","",IFERROR(LOOKUP(2,1/($B$9:$B$376=$B377),$AP$9:$AP376),0)+IF($F377="sell_put",$AE377*$D377,IF(AND(OR($F377="buy_to_close",$F377="expire",$F377="roll",$F377="assignment",$F377="called_away"),$F377&lt;&gt;"roll",$AG377="put"),-$AE377*$D377,0)))</f>
        <v/>
      </c>
      <c r="AQ377" s="51" t="str">
        <f>IF($A377="","",IFERROR(LOOKUP(2,1/($B$9:$B$376=$B377),$AQ$9:$AQ376),0)+IF(OR($F377="sell_put",$F377="sell_call"),$AE377,0)-IF(AND(OR($F377="buy_to_close",$F377="expire",$F377="roll",$F377="assignment",$F377="called_away"),$F377&lt;&gt;"roll"),$AE377,0))</f>
        <v/>
      </c>
      <c r="AR377" t="str">
        <f t="shared" si="98"/>
        <v/>
      </c>
      <c r="AS377" s="50" t="str">
        <f t="shared" si="99"/>
        <v/>
      </c>
      <c r="AT377" s="50" t="str">
        <f>IF($A377="","",MAX(IF($T377=IFERROR(LOOKUP(2,1/($B$9:$B$376=$B377),$T$9:$T376),0),IFERROR(LOOKUP(2,1/($B$9:$B$376=$B377),$AT$9:$AT376),0),0),$AS377))</f>
        <v/>
      </c>
      <c r="AU377" t="str">
        <f t="shared" si="100"/>
        <v/>
      </c>
      <c r="AV377" s="51">
        <f>IF($AU377="",0,IF(AND(IFERROR(LOOKUP(2,1/($B$9:$B$376=$B377),$AR$9:$AR376),1),NOT(AND(OR($F377="dividend",$F377="fee"),IFERROR(LOOKUP(2,1/($B$9:$B$376=$B377),$T$9:$T376),0)&gt;0))),ROW(),0))</f>
        <v>0</v>
      </c>
      <c r="AW377">
        <f>IF($A377="",0,IF($AV377&gt;0,MAX($AW$9:$AW$376)+1,MAX($AW$9:$AW$376)))</f>
        <v>0</v>
      </c>
      <c r="AX377">
        <f>IF($AU377="",0,IF(AND($AR377,OR(NOT(IFERROR(LOOKUP(2,1/($B$9:$B$376=$B377),$AR$9:$AR376),1)),IFERROR(LOOKUP(2,1/($B$9:$B$376=$B377),$T$9:$T376),0)=0)),ROW(),0))</f>
        <v>0</v>
      </c>
      <c r="AY377" t="str">
        <f t="shared" si="101"/>
        <v/>
      </c>
    </row>
    <row r="378" spans="1:51" ht="15" x14ac:dyDescent="0.25">
      <c r="A378" s="52" t="str">
        <f>IF(Trades!$A378="","",Trades!O378)</f>
        <v/>
      </c>
      <c r="B378" s="52" t="str">
        <f>IF(Trades!$A378="","",Trades!B378)</f>
        <v/>
      </c>
      <c r="C378" s="52" t="str">
        <f>IF(Trades!$A378="","",Trades!C378)</f>
        <v/>
      </c>
      <c r="D378" s="53" t="str">
        <f>IF(Trades!$A378="","",IF(Trades!$L378&gt;0,Trades!$L378,Trades!$C$6))</f>
        <v/>
      </c>
      <c r="E378" s="54" t="str">
        <f>IF(Trades!$A378="","",Trades!A378)</f>
        <v/>
      </c>
      <c r="F378" s="52" t="str">
        <f>IF(Trades!$A378="","",IFERROR(INDEX(Trades!$V$2:$V$14,MATCH(Trades!$E378,Trades!$U$2:$U$14,0)),""))</f>
        <v/>
      </c>
      <c r="G378" s="52" t="str">
        <f>IF(Trades!$A378="","",Trades!N378)</f>
        <v/>
      </c>
      <c r="H378" s="53" t="str">
        <f>IF(Trades!$A378="","",Trades!F378)</f>
        <v/>
      </c>
      <c r="I378" s="55" t="str">
        <f>IF(Trades!$A378="","",Trades!G378)</f>
        <v/>
      </c>
      <c r="J378" s="55" t="str">
        <f>IF(Trades!$A378="","",Trades!I378)</f>
        <v/>
      </c>
      <c r="K378" s="55" t="str">
        <f>IF(Trades!$A378="","",Trades!Q378)</f>
        <v/>
      </c>
      <c r="L378" s="53" t="str">
        <f>IF(Trades!$A378="","",Trades!F378)</f>
        <v/>
      </c>
      <c r="M378" s="55" t="str">
        <f>IF(Trades!$A378="","",Trades!M378)</f>
        <v/>
      </c>
      <c r="N378" s="55" t="str">
        <f>IF(Trades!$A378="","",Trades!R378)</f>
        <v/>
      </c>
      <c r="O378" s="55" t="str">
        <f>IF(Trades!$A378="","",Trades!J378)</f>
        <v/>
      </c>
      <c r="P378" s="54" t="str">
        <f>IF(Trades!$A378="","",Trades!H378)</f>
        <v/>
      </c>
      <c r="Q378" s="52" t="str">
        <f>IF(Trades!$A378="","",Trades!P378)</f>
        <v/>
      </c>
      <c r="R378" s="56" t="str">
        <f t="shared" si="85"/>
        <v/>
      </c>
      <c r="S378" s="56" t="str">
        <f t="shared" si="86"/>
        <v/>
      </c>
      <c r="T378" s="57" t="str">
        <f>IF(OR($A378="",$B378=""),"",IF(AND(IFERROR(LOOKUP(2,1/($B$9:$B$377=$B378),$AR$9:$AR377),1),NOT(AND(OR($F378="dividend",$F378="fee"),IFERROR(LOOKUP(2,1/($B$9:$B$377=$B378),$T$9:$T377),0)&gt;0))),IFERROR(LOOKUP(2,1/($B$9:$B$377=$B378),$T$9:$T377),0)+1,IFERROR(LOOKUP(2,1/($B$9:$B$377=$B378),$T$9:$T377),0)))</f>
        <v/>
      </c>
      <c r="U378" s="58" t="str">
        <f t="shared" si="87"/>
        <v/>
      </c>
      <c r="V378" s="58" t="str">
        <f>IF($A378="","",IF(OR($B378="",$C378="",$D378="",$E378="",$F378=""),"Missing required field",IF(COUNTIFS($A$9:$A378,$A378,$B$9:$B378,$B378)&gt;1,"Duplicate event ID",IF(AND($E378&lt;&gt;IFERROR(LOOKUP(2,1/($B$9:$B$377=$B378),$E$9:$E377),0),IFERROR(LOOKUP(2,1/($B$9:$B$377=$B378),$E$9:$E377),0)&gt;$E378),"Date out of order",IF(AND(OR($F378="buy_to_close",$F378="expire",$F378="roll",$F378="assignment",$F378="called_away"),$AF378=0),"Unknown lot",IF(OR(AND($F378="assignment",$AF378&gt;0,IF($AF378&gt;0,INDEX($AG$9:$AG$377,$AF378),"")&lt;&gt;"put"),AND($F378="called_away",$AF378&gt;0,IF($AF378&gt;0,INDEX($AG$9:$AG$377,$AF378),"")&lt;&gt;"call")),"Wrong option leg",IF(OR(AND(OR($F378="sell_put",$F378="sell_call"),OR($H378&lt;=0,$I378&lt;=0,$J378&lt;0)),AND(OR($F378="buy_to_close",$F378="expire",$F378="assignment",$F378="called_away"),OR($H378&lt;=0,$J378&lt;0)),AND($F378="roll",OR($H378&lt;=0,$I378&lt;=0,$J378&lt;0,$K378&lt;0)),AND(OR($F378="buy_shares",$F378="sell_shares"),OR($L378&lt;=0,$M378&lt;0)),AND(OR($F378="dividend",$F378="fee"),$N378&lt;0)),"Invalid value",IF(AND(OR($F378="sell_shares",$F378="called_away"),$AL378&lt;IF($F378="called_away",$AE378*$D378,$L378)),"Insufficient shares (capped)",IF(AND(OR($F378="buy_to_close",$F378="expire",$F378="roll",$F378="assignment",$F378="called_away"),$AF378&gt;0,$H378&gt;IF($AF378&gt;0,MAX(0,INDEX($AI$9:$AI$377,$AF378)-SUMIFS($AE$9:$AE$377,$G$9:$G$377,$G378,$B$9:$B$377,$B378)),0)),"Close quantity capped","OK")))))))))</f>
        <v/>
      </c>
      <c r="W378" s="59" t="str">
        <f t="shared" si="88"/>
        <v/>
      </c>
      <c r="X378" s="60" t="str">
        <f t="shared" si="89"/>
        <v/>
      </c>
      <c r="Y378" s="50" t="str">
        <f t="shared" si="90"/>
        <v/>
      </c>
      <c r="Z378" s="50" t="str">
        <f t="shared" si="91"/>
        <v/>
      </c>
      <c r="AA378" s="50" t="str">
        <f t="shared" si="92"/>
        <v/>
      </c>
      <c r="AB378" s="50" t="str">
        <f t="shared" si="93"/>
        <v/>
      </c>
      <c r="AC378" s="50" t="str">
        <f>IF($A378="","",IF($F378="assignment",IF($AF378&gt;0,INDEX($AH$9:$AH$377,$AF378),0)*$AE378*$D378,IF($F378="buy_shares",$M378*$AL378,0)))</f>
        <v/>
      </c>
      <c r="AD378" s="50" t="str">
        <f>IF($A378="","",IF($F378="called_away",IF($AF378&gt;0,INDEX($AH$9:$AH$377,$AF378),0)*$AL378,IF($F378="sell_shares",$M378*$AL378,0)))</f>
        <v/>
      </c>
      <c r="AE378" s="51" t="str">
        <f>IF($A378="","",IF(OR($F378="sell_put",$F378="sell_call"),IF(AND($H378&gt;0,$I378&gt;0,$J378&gt;=0),$H378,0),IF(OR($F378="buy_to_close",$F378="expire",$F378="roll",$F378="assignment",$F378="called_away"),IF(AND($AF378&gt;0,$H378&gt;0,IF($F378="assignment",IF($AF378&gt;0,INDEX($AG$9:$AG$377,$AF378),"")="put",TRUE),IF($F378="called_away",IF($AF378&gt;0,INDEX($AG$9:$AG$377,$AF378),"")="call",TRUE)),MIN($H378,IF($AF378&gt;0,MAX(0,INDEX($AI$9:$AI$377,$AF378)-SUMIFS($AE$9:$AE$377,$G$9:$G$377,$G378,$B$9:$B$377,$B378)),0)),0),0)))</f>
        <v/>
      </c>
      <c r="AF378" t="str">
        <f>IF($A378="","",IFERROR(MATCH(LEN($B378)&amp;":"&amp;$B378&amp;$G378,$AY$9:$AY$377,0),0))</f>
        <v/>
      </c>
      <c r="AG378" t="str">
        <f>IF($A378="","",IF($F378="sell_put","put",IF($F378="sell_call","call",IF($F378="roll",IF($AF378&gt;0,IF($AF378&gt;0,INDEX($AG$9:$AG$377,$AF378),""),""),IF($AF378&gt;0,IF($AF378&gt;0,INDEX($AG$9:$AG$377,$AF378),""),"")))))</f>
        <v/>
      </c>
      <c r="AH378" t="str">
        <f>IF($A378="","",IF(OR($F378="sell_put",$F378="sell_call",$F378="roll"),$I378,IF($AF378&gt;0,IF($AF378&gt;0,INDEX($AH$9:$AH$377,$AF378),0),0)))</f>
        <v/>
      </c>
      <c r="AI378" s="51" t="str">
        <f t="shared" si="94"/>
        <v/>
      </c>
      <c r="AJ378" s="51" t="str">
        <f>IF($A378="","",IFERROR(LOOKUP(2,1/($B$9:$B$377=$B378),$AM$9:$AM377),0))</f>
        <v/>
      </c>
      <c r="AK378" t="str">
        <f>IF($A378="","",IFERROR(LOOKUP(2,1/($B$9:$B$377=$B378),$AN$9:$AN377),0))</f>
        <v/>
      </c>
      <c r="AL378" s="51" t="str">
        <f t="shared" si="95"/>
        <v/>
      </c>
      <c r="AM378" s="51" t="str">
        <f t="shared" si="96"/>
        <v/>
      </c>
      <c r="AN378" t="str">
        <f t="shared" si="97"/>
        <v/>
      </c>
      <c r="AO378" s="50" t="str">
        <f>IF($A378="","",IFERROR(LOOKUP(2,1/($B$9:$B$377=$B378),$AO$9:$AO377),0)+IF($F378="sell_put",$I378*$AE378*$D378,IF($F378="roll",IF($AG378="put",($I378-IF($AF378&gt;0,INDEX($AH$9:$AH$377,$AF378),0))*$AE378*$D378,0),IF(AND(OR($F378="buy_to_close",$F378="expire",$F378="roll",$F378="assignment",$F378="called_away"),$F378&lt;&gt;"roll",$AG378="put"),-IF($AF378&gt;0,INDEX($AH$9:$AH$377,$AF378),0)*$AE378*$D378,0))))</f>
        <v/>
      </c>
      <c r="AP378" s="51" t="str">
        <f>IF($A378="","",IFERROR(LOOKUP(2,1/($B$9:$B$377=$B378),$AP$9:$AP377),0)+IF($F378="sell_put",$AE378*$D378,IF(AND(OR($F378="buy_to_close",$F378="expire",$F378="roll",$F378="assignment",$F378="called_away"),$F378&lt;&gt;"roll",$AG378="put"),-$AE378*$D378,0)))</f>
        <v/>
      </c>
      <c r="AQ378" s="51" t="str">
        <f>IF($A378="","",IFERROR(LOOKUP(2,1/($B$9:$B$377=$B378),$AQ$9:$AQ377),0)+IF(OR($F378="sell_put",$F378="sell_call"),$AE378,0)-IF(AND(OR($F378="buy_to_close",$F378="expire",$F378="roll",$F378="assignment",$F378="called_away"),$F378&lt;&gt;"roll"),$AE378,0))</f>
        <v/>
      </c>
      <c r="AR378" t="str">
        <f t="shared" si="98"/>
        <v/>
      </c>
      <c r="AS378" s="50" t="str">
        <f t="shared" si="99"/>
        <v/>
      </c>
      <c r="AT378" s="50" t="str">
        <f>IF($A378="","",MAX(IF($T378=IFERROR(LOOKUP(2,1/($B$9:$B$377=$B378),$T$9:$T377),0),IFERROR(LOOKUP(2,1/($B$9:$B$377=$B378),$AT$9:$AT377),0),0),$AS378))</f>
        <v/>
      </c>
      <c r="AU378" t="str">
        <f t="shared" si="100"/>
        <v/>
      </c>
      <c r="AV378" s="51">
        <f>IF($AU378="",0,IF(AND(IFERROR(LOOKUP(2,1/($B$9:$B$377=$B378),$AR$9:$AR377),1),NOT(AND(OR($F378="dividend",$F378="fee"),IFERROR(LOOKUP(2,1/($B$9:$B$377=$B378),$T$9:$T377),0)&gt;0))),ROW(),0))</f>
        <v>0</v>
      </c>
      <c r="AW378">
        <f>IF($A378="",0,IF($AV378&gt;0,MAX($AW$9:$AW$377)+1,MAX($AW$9:$AW$377)))</f>
        <v>0</v>
      </c>
      <c r="AX378">
        <f>IF($AU378="",0,IF(AND($AR378,OR(NOT(IFERROR(LOOKUP(2,1/($B$9:$B$377=$B378),$AR$9:$AR377),1)),IFERROR(LOOKUP(2,1/($B$9:$B$377=$B378),$T$9:$T377),0)=0)),ROW(),0))</f>
        <v>0</v>
      </c>
      <c r="AY378" t="str">
        <f t="shared" si="101"/>
        <v/>
      </c>
    </row>
    <row r="379" spans="1:51" ht="15" x14ac:dyDescent="0.25">
      <c r="A379" s="41" t="str">
        <f>IF(Trades!$A379="","",Trades!O379)</f>
        <v/>
      </c>
      <c r="B379" s="41" t="str">
        <f>IF(Trades!$A379="","",Trades!B379)</f>
        <v/>
      </c>
      <c r="C379" s="41" t="str">
        <f>IF(Trades!$A379="","",Trades!C379)</f>
        <v/>
      </c>
      <c r="D379" s="42" t="str">
        <f>IF(Trades!$A379="","",IF(Trades!$L379&gt;0,Trades!$L379,Trades!$C$6))</f>
        <v/>
      </c>
      <c r="E379" s="43" t="str">
        <f>IF(Trades!$A379="","",Trades!A379)</f>
        <v/>
      </c>
      <c r="F379" s="41" t="str">
        <f>IF(Trades!$A379="","",IFERROR(INDEX(Trades!$V$2:$V$14,MATCH(Trades!$E379,Trades!$U$2:$U$14,0)),""))</f>
        <v/>
      </c>
      <c r="G379" s="41" t="str">
        <f>IF(Trades!$A379="","",Trades!N379)</f>
        <v/>
      </c>
      <c r="H379" s="42" t="str">
        <f>IF(Trades!$A379="","",Trades!F379)</f>
        <v/>
      </c>
      <c r="I379" s="44" t="str">
        <f>IF(Trades!$A379="","",Trades!G379)</f>
        <v/>
      </c>
      <c r="J379" s="44" t="str">
        <f>IF(Trades!$A379="","",Trades!I379)</f>
        <v/>
      </c>
      <c r="K379" s="44" t="str">
        <f>IF(Trades!$A379="","",Trades!Q379)</f>
        <v/>
      </c>
      <c r="L379" s="42" t="str">
        <f>IF(Trades!$A379="","",Trades!F379)</f>
        <v/>
      </c>
      <c r="M379" s="44" t="str">
        <f>IF(Trades!$A379="","",Trades!M379)</f>
        <v/>
      </c>
      <c r="N379" s="44" t="str">
        <f>IF(Trades!$A379="","",Trades!R379)</f>
        <v/>
      </c>
      <c r="O379" s="44" t="str">
        <f>IF(Trades!$A379="","",Trades!J379)</f>
        <v/>
      </c>
      <c r="P379" s="43" t="str">
        <f>IF(Trades!$A379="","",Trades!H379)</f>
        <v/>
      </c>
      <c r="Q379" s="41" t="str">
        <f>IF(Trades!$A379="","",Trades!P379)</f>
        <v/>
      </c>
      <c r="R379" s="45" t="str">
        <f t="shared" si="85"/>
        <v/>
      </c>
      <c r="S379" s="45" t="str">
        <f t="shared" si="86"/>
        <v/>
      </c>
      <c r="T379" s="46" t="str">
        <f>IF(OR($A379="",$B379=""),"",IF(AND(IFERROR(LOOKUP(2,1/($B$9:$B$378=$B379),$AR$9:$AR378),1),NOT(AND(OR($F379="dividend",$F379="fee"),IFERROR(LOOKUP(2,1/($B$9:$B$378=$B379),$T$9:$T378),0)&gt;0))),IFERROR(LOOKUP(2,1/($B$9:$B$378=$B379),$T$9:$T378),0)+1,IFERROR(LOOKUP(2,1/($B$9:$B$378=$B379),$T$9:$T378),0)))</f>
        <v/>
      </c>
      <c r="U379" s="47" t="str">
        <f t="shared" si="87"/>
        <v/>
      </c>
      <c r="V379" s="47" t="str">
        <f>IF($A379="","",IF(OR($B379="",$C379="",$D379="",$E379="",$F379=""),"Missing required field",IF(COUNTIFS($A$9:$A379,$A379,$B$9:$B379,$B379)&gt;1,"Duplicate event ID",IF(AND($E379&lt;&gt;IFERROR(LOOKUP(2,1/($B$9:$B$378=$B379),$E$9:$E378),0),IFERROR(LOOKUP(2,1/($B$9:$B$378=$B379),$E$9:$E378),0)&gt;$E379),"Date out of order",IF(AND(OR($F379="buy_to_close",$F379="expire",$F379="roll",$F379="assignment",$F379="called_away"),$AF379=0),"Unknown lot",IF(OR(AND($F379="assignment",$AF379&gt;0,IF($AF379&gt;0,INDEX($AG$9:$AG$378,$AF379),"")&lt;&gt;"put"),AND($F379="called_away",$AF379&gt;0,IF($AF379&gt;0,INDEX($AG$9:$AG$378,$AF379),"")&lt;&gt;"call")),"Wrong option leg",IF(OR(AND(OR($F379="sell_put",$F379="sell_call"),OR($H379&lt;=0,$I379&lt;=0,$J379&lt;0)),AND(OR($F379="buy_to_close",$F379="expire",$F379="assignment",$F379="called_away"),OR($H379&lt;=0,$J379&lt;0)),AND($F379="roll",OR($H379&lt;=0,$I379&lt;=0,$J379&lt;0,$K379&lt;0)),AND(OR($F379="buy_shares",$F379="sell_shares"),OR($L379&lt;=0,$M379&lt;0)),AND(OR($F379="dividend",$F379="fee"),$N379&lt;0)),"Invalid value",IF(AND(OR($F379="sell_shares",$F379="called_away"),$AL379&lt;IF($F379="called_away",$AE379*$D379,$L379)),"Insufficient shares (capped)",IF(AND(OR($F379="buy_to_close",$F379="expire",$F379="roll",$F379="assignment",$F379="called_away"),$AF379&gt;0,$H379&gt;IF($AF379&gt;0,MAX(0,INDEX($AI$9:$AI$378,$AF379)-SUMIFS($AE$9:$AE$378,$G$9:$G$378,$G379,$B$9:$B$378,$B379)),0)),"Close quantity capped","OK")))))))))</f>
        <v/>
      </c>
      <c r="W379" s="48" t="str">
        <f t="shared" si="88"/>
        <v/>
      </c>
      <c r="X379" s="49" t="str">
        <f t="shared" si="89"/>
        <v/>
      </c>
      <c r="Y379" s="50" t="str">
        <f t="shared" si="90"/>
        <v/>
      </c>
      <c r="Z379" s="50" t="str">
        <f t="shared" si="91"/>
        <v/>
      </c>
      <c r="AA379" s="50" t="str">
        <f t="shared" si="92"/>
        <v/>
      </c>
      <c r="AB379" s="50" t="str">
        <f t="shared" si="93"/>
        <v/>
      </c>
      <c r="AC379" s="50" t="str">
        <f>IF($A379="","",IF($F379="assignment",IF($AF379&gt;0,INDEX($AH$9:$AH$378,$AF379),0)*$AE379*$D379,IF($F379="buy_shares",$M379*$AL379,0)))</f>
        <v/>
      </c>
      <c r="AD379" s="50" t="str">
        <f>IF($A379="","",IF($F379="called_away",IF($AF379&gt;0,INDEX($AH$9:$AH$378,$AF379),0)*$AL379,IF($F379="sell_shares",$M379*$AL379,0)))</f>
        <v/>
      </c>
      <c r="AE379" s="51" t="str">
        <f>IF($A379="","",IF(OR($F379="sell_put",$F379="sell_call"),IF(AND($H379&gt;0,$I379&gt;0,$J379&gt;=0),$H379,0),IF(OR($F379="buy_to_close",$F379="expire",$F379="roll",$F379="assignment",$F379="called_away"),IF(AND($AF379&gt;0,$H379&gt;0,IF($F379="assignment",IF($AF379&gt;0,INDEX($AG$9:$AG$378,$AF379),"")="put",TRUE),IF($F379="called_away",IF($AF379&gt;0,INDEX($AG$9:$AG$378,$AF379),"")="call",TRUE)),MIN($H379,IF($AF379&gt;0,MAX(0,INDEX($AI$9:$AI$378,$AF379)-SUMIFS($AE$9:$AE$378,$G$9:$G$378,$G379,$B$9:$B$378,$B379)),0)),0),0)))</f>
        <v/>
      </c>
      <c r="AF379" t="str">
        <f>IF($A379="","",IFERROR(MATCH(LEN($B379)&amp;":"&amp;$B379&amp;$G379,$AY$9:$AY$378,0),0))</f>
        <v/>
      </c>
      <c r="AG379" t="str">
        <f>IF($A379="","",IF($F379="sell_put","put",IF($F379="sell_call","call",IF($F379="roll",IF($AF379&gt;0,IF($AF379&gt;0,INDEX($AG$9:$AG$378,$AF379),""),""),IF($AF379&gt;0,IF($AF379&gt;0,INDEX($AG$9:$AG$378,$AF379),""),"")))))</f>
        <v/>
      </c>
      <c r="AH379" t="str">
        <f>IF($A379="","",IF(OR($F379="sell_put",$F379="sell_call",$F379="roll"),$I379,IF($AF379&gt;0,IF($AF379&gt;0,INDEX($AH$9:$AH$378,$AF379),0),0)))</f>
        <v/>
      </c>
      <c r="AI379" s="51" t="str">
        <f t="shared" si="94"/>
        <v/>
      </c>
      <c r="AJ379" s="51" t="str">
        <f>IF($A379="","",IFERROR(LOOKUP(2,1/($B$9:$B$378=$B379),$AM$9:$AM378),0))</f>
        <v/>
      </c>
      <c r="AK379" t="str">
        <f>IF($A379="","",IFERROR(LOOKUP(2,1/($B$9:$B$378=$B379),$AN$9:$AN378),0))</f>
        <v/>
      </c>
      <c r="AL379" s="51" t="str">
        <f t="shared" si="95"/>
        <v/>
      </c>
      <c r="AM379" s="51" t="str">
        <f t="shared" si="96"/>
        <v/>
      </c>
      <c r="AN379" t="str">
        <f t="shared" si="97"/>
        <v/>
      </c>
      <c r="AO379" s="50" t="str">
        <f>IF($A379="","",IFERROR(LOOKUP(2,1/($B$9:$B$378=$B379),$AO$9:$AO378),0)+IF($F379="sell_put",$I379*$AE379*$D379,IF($F379="roll",IF($AG379="put",($I379-IF($AF379&gt;0,INDEX($AH$9:$AH$378,$AF379),0))*$AE379*$D379,0),IF(AND(OR($F379="buy_to_close",$F379="expire",$F379="roll",$F379="assignment",$F379="called_away"),$F379&lt;&gt;"roll",$AG379="put"),-IF($AF379&gt;0,INDEX($AH$9:$AH$378,$AF379),0)*$AE379*$D379,0))))</f>
        <v/>
      </c>
      <c r="AP379" s="51" t="str">
        <f>IF($A379="","",IFERROR(LOOKUP(2,1/($B$9:$B$378=$B379),$AP$9:$AP378),0)+IF($F379="sell_put",$AE379*$D379,IF(AND(OR($F379="buy_to_close",$F379="expire",$F379="roll",$F379="assignment",$F379="called_away"),$F379&lt;&gt;"roll",$AG379="put"),-$AE379*$D379,0)))</f>
        <v/>
      </c>
      <c r="AQ379" s="51" t="str">
        <f>IF($A379="","",IFERROR(LOOKUP(2,1/($B$9:$B$378=$B379),$AQ$9:$AQ378),0)+IF(OR($F379="sell_put",$F379="sell_call"),$AE379,0)-IF(AND(OR($F379="buy_to_close",$F379="expire",$F379="roll",$F379="assignment",$F379="called_away"),$F379&lt;&gt;"roll"),$AE379,0))</f>
        <v/>
      </c>
      <c r="AR379" t="str">
        <f t="shared" si="98"/>
        <v/>
      </c>
      <c r="AS379" s="50" t="str">
        <f t="shared" si="99"/>
        <v/>
      </c>
      <c r="AT379" s="50" t="str">
        <f>IF($A379="","",MAX(IF($T379=IFERROR(LOOKUP(2,1/($B$9:$B$378=$B379),$T$9:$T378),0),IFERROR(LOOKUP(2,1/($B$9:$B$378=$B379),$AT$9:$AT378),0),0),$AS379))</f>
        <v/>
      </c>
      <c r="AU379" t="str">
        <f t="shared" si="100"/>
        <v/>
      </c>
      <c r="AV379" s="51">
        <f>IF($AU379="",0,IF(AND(IFERROR(LOOKUP(2,1/($B$9:$B$378=$B379),$AR$9:$AR378),1),NOT(AND(OR($F379="dividend",$F379="fee"),IFERROR(LOOKUP(2,1/($B$9:$B$378=$B379),$T$9:$T378),0)&gt;0))),ROW(),0))</f>
        <v>0</v>
      </c>
      <c r="AW379">
        <f>IF($A379="",0,IF($AV379&gt;0,MAX($AW$9:$AW$378)+1,MAX($AW$9:$AW$378)))</f>
        <v>0</v>
      </c>
      <c r="AX379">
        <f>IF($AU379="",0,IF(AND($AR379,OR(NOT(IFERROR(LOOKUP(2,1/($B$9:$B$378=$B379),$AR$9:$AR378),1)),IFERROR(LOOKUP(2,1/($B$9:$B$378=$B379),$T$9:$T378),0)=0)),ROW(),0))</f>
        <v>0</v>
      </c>
      <c r="AY379" t="str">
        <f t="shared" si="101"/>
        <v/>
      </c>
    </row>
    <row r="380" spans="1:51" ht="15" x14ac:dyDescent="0.25">
      <c r="A380" s="52" t="str">
        <f>IF(Trades!$A380="","",Trades!O380)</f>
        <v/>
      </c>
      <c r="B380" s="52" t="str">
        <f>IF(Trades!$A380="","",Trades!B380)</f>
        <v/>
      </c>
      <c r="C380" s="52" t="str">
        <f>IF(Trades!$A380="","",Trades!C380)</f>
        <v/>
      </c>
      <c r="D380" s="53" t="str">
        <f>IF(Trades!$A380="","",IF(Trades!$L380&gt;0,Trades!$L380,Trades!$C$6))</f>
        <v/>
      </c>
      <c r="E380" s="54" t="str">
        <f>IF(Trades!$A380="","",Trades!A380)</f>
        <v/>
      </c>
      <c r="F380" s="52" t="str">
        <f>IF(Trades!$A380="","",IFERROR(INDEX(Trades!$V$2:$V$14,MATCH(Trades!$E380,Trades!$U$2:$U$14,0)),""))</f>
        <v/>
      </c>
      <c r="G380" s="52" t="str">
        <f>IF(Trades!$A380="","",Trades!N380)</f>
        <v/>
      </c>
      <c r="H380" s="53" t="str">
        <f>IF(Trades!$A380="","",Trades!F380)</f>
        <v/>
      </c>
      <c r="I380" s="55" t="str">
        <f>IF(Trades!$A380="","",Trades!G380)</f>
        <v/>
      </c>
      <c r="J380" s="55" t="str">
        <f>IF(Trades!$A380="","",Trades!I380)</f>
        <v/>
      </c>
      <c r="K380" s="55" t="str">
        <f>IF(Trades!$A380="","",Trades!Q380)</f>
        <v/>
      </c>
      <c r="L380" s="53" t="str">
        <f>IF(Trades!$A380="","",Trades!F380)</f>
        <v/>
      </c>
      <c r="M380" s="55" t="str">
        <f>IF(Trades!$A380="","",Trades!M380)</f>
        <v/>
      </c>
      <c r="N380" s="55" t="str">
        <f>IF(Trades!$A380="","",Trades!R380)</f>
        <v/>
      </c>
      <c r="O380" s="55" t="str">
        <f>IF(Trades!$A380="","",Trades!J380)</f>
        <v/>
      </c>
      <c r="P380" s="54" t="str">
        <f>IF(Trades!$A380="","",Trades!H380)</f>
        <v/>
      </c>
      <c r="Q380" s="52" t="str">
        <f>IF(Trades!$A380="","",Trades!P380)</f>
        <v/>
      </c>
      <c r="R380" s="56" t="str">
        <f t="shared" si="85"/>
        <v/>
      </c>
      <c r="S380" s="56" t="str">
        <f t="shared" si="86"/>
        <v/>
      </c>
      <c r="T380" s="57" t="str">
        <f>IF(OR($A380="",$B380=""),"",IF(AND(IFERROR(LOOKUP(2,1/($B$9:$B$379=$B380),$AR$9:$AR379),1),NOT(AND(OR($F380="dividend",$F380="fee"),IFERROR(LOOKUP(2,1/($B$9:$B$379=$B380),$T$9:$T379),0)&gt;0))),IFERROR(LOOKUP(2,1/($B$9:$B$379=$B380),$T$9:$T379),0)+1,IFERROR(LOOKUP(2,1/($B$9:$B$379=$B380),$T$9:$T379),0)))</f>
        <v/>
      </c>
      <c r="U380" s="58" t="str">
        <f t="shared" si="87"/>
        <v/>
      </c>
      <c r="V380" s="58" t="str">
        <f>IF($A380="","",IF(OR($B380="",$C380="",$D380="",$E380="",$F380=""),"Missing required field",IF(COUNTIFS($A$9:$A380,$A380,$B$9:$B380,$B380)&gt;1,"Duplicate event ID",IF(AND($E380&lt;&gt;IFERROR(LOOKUP(2,1/($B$9:$B$379=$B380),$E$9:$E379),0),IFERROR(LOOKUP(2,1/($B$9:$B$379=$B380),$E$9:$E379),0)&gt;$E380),"Date out of order",IF(AND(OR($F380="buy_to_close",$F380="expire",$F380="roll",$F380="assignment",$F380="called_away"),$AF380=0),"Unknown lot",IF(OR(AND($F380="assignment",$AF380&gt;0,IF($AF380&gt;0,INDEX($AG$9:$AG$379,$AF380),"")&lt;&gt;"put"),AND($F380="called_away",$AF380&gt;0,IF($AF380&gt;0,INDEX($AG$9:$AG$379,$AF380),"")&lt;&gt;"call")),"Wrong option leg",IF(OR(AND(OR($F380="sell_put",$F380="sell_call"),OR($H380&lt;=0,$I380&lt;=0,$J380&lt;0)),AND(OR($F380="buy_to_close",$F380="expire",$F380="assignment",$F380="called_away"),OR($H380&lt;=0,$J380&lt;0)),AND($F380="roll",OR($H380&lt;=0,$I380&lt;=0,$J380&lt;0,$K380&lt;0)),AND(OR($F380="buy_shares",$F380="sell_shares"),OR($L380&lt;=0,$M380&lt;0)),AND(OR($F380="dividend",$F380="fee"),$N380&lt;0)),"Invalid value",IF(AND(OR($F380="sell_shares",$F380="called_away"),$AL380&lt;IF($F380="called_away",$AE380*$D380,$L380)),"Insufficient shares (capped)",IF(AND(OR($F380="buy_to_close",$F380="expire",$F380="roll",$F380="assignment",$F380="called_away"),$AF380&gt;0,$H380&gt;IF($AF380&gt;0,MAX(0,INDEX($AI$9:$AI$379,$AF380)-SUMIFS($AE$9:$AE$379,$G$9:$G$379,$G380,$B$9:$B$379,$B380)),0)),"Close quantity capped","OK")))))))))</f>
        <v/>
      </c>
      <c r="W380" s="59" t="str">
        <f t="shared" si="88"/>
        <v/>
      </c>
      <c r="X380" s="60" t="str">
        <f t="shared" si="89"/>
        <v/>
      </c>
      <c r="Y380" s="50" t="str">
        <f t="shared" si="90"/>
        <v/>
      </c>
      <c r="Z380" s="50" t="str">
        <f t="shared" si="91"/>
        <v/>
      </c>
      <c r="AA380" s="50" t="str">
        <f t="shared" si="92"/>
        <v/>
      </c>
      <c r="AB380" s="50" t="str">
        <f t="shared" si="93"/>
        <v/>
      </c>
      <c r="AC380" s="50" t="str">
        <f>IF($A380="","",IF($F380="assignment",IF($AF380&gt;0,INDEX($AH$9:$AH$379,$AF380),0)*$AE380*$D380,IF($F380="buy_shares",$M380*$AL380,0)))</f>
        <v/>
      </c>
      <c r="AD380" s="50" t="str">
        <f>IF($A380="","",IF($F380="called_away",IF($AF380&gt;0,INDEX($AH$9:$AH$379,$AF380),0)*$AL380,IF($F380="sell_shares",$M380*$AL380,0)))</f>
        <v/>
      </c>
      <c r="AE380" s="51" t="str">
        <f>IF($A380="","",IF(OR($F380="sell_put",$F380="sell_call"),IF(AND($H380&gt;0,$I380&gt;0,$J380&gt;=0),$H380,0),IF(OR($F380="buy_to_close",$F380="expire",$F380="roll",$F380="assignment",$F380="called_away"),IF(AND($AF380&gt;0,$H380&gt;0,IF($F380="assignment",IF($AF380&gt;0,INDEX($AG$9:$AG$379,$AF380),"")="put",TRUE),IF($F380="called_away",IF($AF380&gt;0,INDEX($AG$9:$AG$379,$AF380),"")="call",TRUE)),MIN($H380,IF($AF380&gt;0,MAX(0,INDEX($AI$9:$AI$379,$AF380)-SUMIFS($AE$9:$AE$379,$G$9:$G$379,$G380,$B$9:$B$379,$B380)),0)),0),0)))</f>
        <v/>
      </c>
      <c r="AF380" t="str">
        <f>IF($A380="","",IFERROR(MATCH(LEN($B380)&amp;":"&amp;$B380&amp;$G380,$AY$9:$AY$379,0),0))</f>
        <v/>
      </c>
      <c r="AG380" t="str">
        <f>IF($A380="","",IF($F380="sell_put","put",IF($F380="sell_call","call",IF($F380="roll",IF($AF380&gt;0,IF($AF380&gt;0,INDEX($AG$9:$AG$379,$AF380),""),""),IF($AF380&gt;0,IF($AF380&gt;0,INDEX($AG$9:$AG$379,$AF380),""),"")))))</f>
        <v/>
      </c>
      <c r="AH380" t="str">
        <f>IF($A380="","",IF(OR($F380="sell_put",$F380="sell_call",$F380="roll"),$I380,IF($AF380&gt;0,IF($AF380&gt;0,INDEX($AH$9:$AH$379,$AF380),0),0)))</f>
        <v/>
      </c>
      <c r="AI380" s="51" t="str">
        <f t="shared" si="94"/>
        <v/>
      </c>
      <c r="AJ380" s="51" t="str">
        <f>IF($A380="","",IFERROR(LOOKUP(2,1/($B$9:$B$379=$B380),$AM$9:$AM379),0))</f>
        <v/>
      </c>
      <c r="AK380" t="str">
        <f>IF($A380="","",IFERROR(LOOKUP(2,1/($B$9:$B$379=$B380),$AN$9:$AN379),0))</f>
        <v/>
      </c>
      <c r="AL380" s="51" t="str">
        <f t="shared" si="95"/>
        <v/>
      </c>
      <c r="AM380" s="51" t="str">
        <f t="shared" si="96"/>
        <v/>
      </c>
      <c r="AN380" t="str">
        <f t="shared" si="97"/>
        <v/>
      </c>
      <c r="AO380" s="50" t="str">
        <f>IF($A380="","",IFERROR(LOOKUP(2,1/($B$9:$B$379=$B380),$AO$9:$AO379),0)+IF($F380="sell_put",$I380*$AE380*$D380,IF($F380="roll",IF($AG380="put",($I380-IF($AF380&gt;0,INDEX($AH$9:$AH$379,$AF380),0))*$AE380*$D380,0),IF(AND(OR($F380="buy_to_close",$F380="expire",$F380="roll",$F380="assignment",$F380="called_away"),$F380&lt;&gt;"roll",$AG380="put"),-IF($AF380&gt;0,INDEX($AH$9:$AH$379,$AF380),0)*$AE380*$D380,0))))</f>
        <v/>
      </c>
      <c r="AP380" s="51" t="str">
        <f>IF($A380="","",IFERROR(LOOKUP(2,1/($B$9:$B$379=$B380),$AP$9:$AP379),0)+IF($F380="sell_put",$AE380*$D380,IF(AND(OR($F380="buy_to_close",$F380="expire",$F380="roll",$F380="assignment",$F380="called_away"),$F380&lt;&gt;"roll",$AG380="put"),-$AE380*$D380,0)))</f>
        <v/>
      </c>
      <c r="AQ380" s="51" t="str">
        <f>IF($A380="","",IFERROR(LOOKUP(2,1/($B$9:$B$379=$B380),$AQ$9:$AQ379),0)+IF(OR($F380="sell_put",$F380="sell_call"),$AE380,0)-IF(AND(OR($F380="buy_to_close",$F380="expire",$F380="roll",$F380="assignment",$F380="called_away"),$F380&lt;&gt;"roll"),$AE380,0))</f>
        <v/>
      </c>
      <c r="AR380" t="str">
        <f t="shared" si="98"/>
        <v/>
      </c>
      <c r="AS380" s="50" t="str">
        <f t="shared" si="99"/>
        <v/>
      </c>
      <c r="AT380" s="50" t="str">
        <f>IF($A380="","",MAX(IF($T380=IFERROR(LOOKUP(2,1/($B$9:$B$379=$B380),$T$9:$T379),0),IFERROR(LOOKUP(2,1/($B$9:$B$379=$B380),$AT$9:$AT379),0),0),$AS380))</f>
        <v/>
      </c>
      <c r="AU380" t="str">
        <f t="shared" si="100"/>
        <v/>
      </c>
      <c r="AV380" s="51">
        <f>IF($AU380="",0,IF(AND(IFERROR(LOOKUP(2,1/($B$9:$B$379=$B380),$AR$9:$AR379),1),NOT(AND(OR($F380="dividend",$F380="fee"),IFERROR(LOOKUP(2,1/($B$9:$B$379=$B380),$T$9:$T379),0)&gt;0))),ROW(),0))</f>
        <v>0</v>
      </c>
      <c r="AW380">
        <f>IF($A380="",0,IF($AV380&gt;0,MAX($AW$9:$AW$379)+1,MAX($AW$9:$AW$379)))</f>
        <v>0</v>
      </c>
      <c r="AX380">
        <f>IF($AU380="",0,IF(AND($AR380,OR(NOT(IFERROR(LOOKUP(2,1/($B$9:$B$379=$B380),$AR$9:$AR379),1)),IFERROR(LOOKUP(2,1/($B$9:$B$379=$B380),$T$9:$T379),0)=0)),ROW(),0))</f>
        <v>0</v>
      </c>
      <c r="AY380" t="str">
        <f t="shared" si="101"/>
        <v/>
      </c>
    </row>
    <row r="381" spans="1:51" ht="15" x14ac:dyDescent="0.25">
      <c r="A381" s="41" t="str">
        <f>IF(Trades!$A381="","",Trades!O381)</f>
        <v/>
      </c>
      <c r="B381" s="41" t="str">
        <f>IF(Trades!$A381="","",Trades!B381)</f>
        <v/>
      </c>
      <c r="C381" s="41" t="str">
        <f>IF(Trades!$A381="","",Trades!C381)</f>
        <v/>
      </c>
      <c r="D381" s="42" t="str">
        <f>IF(Trades!$A381="","",IF(Trades!$L381&gt;0,Trades!$L381,Trades!$C$6))</f>
        <v/>
      </c>
      <c r="E381" s="43" t="str">
        <f>IF(Trades!$A381="","",Trades!A381)</f>
        <v/>
      </c>
      <c r="F381" s="41" t="str">
        <f>IF(Trades!$A381="","",IFERROR(INDEX(Trades!$V$2:$V$14,MATCH(Trades!$E381,Trades!$U$2:$U$14,0)),""))</f>
        <v/>
      </c>
      <c r="G381" s="41" t="str">
        <f>IF(Trades!$A381="","",Trades!N381)</f>
        <v/>
      </c>
      <c r="H381" s="42" t="str">
        <f>IF(Trades!$A381="","",Trades!F381)</f>
        <v/>
      </c>
      <c r="I381" s="44" t="str">
        <f>IF(Trades!$A381="","",Trades!G381)</f>
        <v/>
      </c>
      <c r="J381" s="44" t="str">
        <f>IF(Trades!$A381="","",Trades!I381)</f>
        <v/>
      </c>
      <c r="K381" s="44" t="str">
        <f>IF(Trades!$A381="","",Trades!Q381)</f>
        <v/>
      </c>
      <c r="L381" s="42" t="str">
        <f>IF(Trades!$A381="","",Trades!F381)</f>
        <v/>
      </c>
      <c r="M381" s="44" t="str">
        <f>IF(Trades!$A381="","",Trades!M381)</f>
        <v/>
      </c>
      <c r="N381" s="44" t="str">
        <f>IF(Trades!$A381="","",Trades!R381)</f>
        <v/>
      </c>
      <c r="O381" s="44" t="str">
        <f>IF(Trades!$A381="","",Trades!J381)</f>
        <v/>
      </c>
      <c r="P381" s="43" t="str">
        <f>IF(Trades!$A381="","",Trades!H381)</f>
        <v/>
      </c>
      <c r="Q381" s="41" t="str">
        <f>IF(Trades!$A381="","",Trades!P381)</f>
        <v/>
      </c>
      <c r="R381" s="45" t="str">
        <f t="shared" si="85"/>
        <v/>
      </c>
      <c r="S381" s="45" t="str">
        <f t="shared" si="86"/>
        <v/>
      </c>
      <c r="T381" s="46" t="str">
        <f>IF(OR($A381="",$B381=""),"",IF(AND(IFERROR(LOOKUP(2,1/($B$9:$B$380=$B381),$AR$9:$AR380),1),NOT(AND(OR($F381="dividend",$F381="fee"),IFERROR(LOOKUP(2,1/($B$9:$B$380=$B381),$T$9:$T380),0)&gt;0))),IFERROR(LOOKUP(2,1/($B$9:$B$380=$B381),$T$9:$T380),0)+1,IFERROR(LOOKUP(2,1/($B$9:$B$380=$B381),$T$9:$T380),0)))</f>
        <v/>
      </c>
      <c r="U381" s="47" t="str">
        <f t="shared" si="87"/>
        <v/>
      </c>
      <c r="V381" s="47" t="str">
        <f>IF($A381="","",IF(OR($B381="",$C381="",$D381="",$E381="",$F381=""),"Missing required field",IF(COUNTIFS($A$9:$A381,$A381,$B$9:$B381,$B381)&gt;1,"Duplicate event ID",IF(AND($E381&lt;&gt;IFERROR(LOOKUP(2,1/($B$9:$B$380=$B381),$E$9:$E380),0),IFERROR(LOOKUP(2,1/($B$9:$B$380=$B381),$E$9:$E380),0)&gt;$E381),"Date out of order",IF(AND(OR($F381="buy_to_close",$F381="expire",$F381="roll",$F381="assignment",$F381="called_away"),$AF381=0),"Unknown lot",IF(OR(AND($F381="assignment",$AF381&gt;0,IF($AF381&gt;0,INDEX($AG$9:$AG$380,$AF381),"")&lt;&gt;"put"),AND($F381="called_away",$AF381&gt;0,IF($AF381&gt;0,INDEX($AG$9:$AG$380,$AF381),"")&lt;&gt;"call")),"Wrong option leg",IF(OR(AND(OR($F381="sell_put",$F381="sell_call"),OR($H381&lt;=0,$I381&lt;=0,$J381&lt;0)),AND(OR($F381="buy_to_close",$F381="expire",$F381="assignment",$F381="called_away"),OR($H381&lt;=0,$J381&lt;0)),AND($F381="roll",OR($H381&lt;=0,$I381&lt;=0,$J381&lt;0,$K381&lt;0)),AND(OR($F381="buy_shares",$F381="sell_shares"),OR($L381&lt;=0,$M381&lt;0)),AND(OR($F381="dividend",$F381="fee"),$N381&lt;0)),"Invalid value",IF(AND(OR($F381="sell_shares",$F381="called_away"),$AL381&lt;IF($F381="called_away",$AE381*$D381,$L381)),"Insufficient shares (capped)",IF(AND(OR($F381="buy_to_close",$F381="expire",$F381="roll",$F381="assignment",$F381="called_away"),$AF381&gt;0,$H381&gt;IF($AF381&gt;0,MAX(0,INDEX($AI$9:$AI$380,$AF381)-SUMIFS($AE$9:$AE$380,$G$9:$G$380,$G381,$B$9:$B$380,$B381)),0)),"Close quantity capped","OK")))))))))</f>
        <v/>
      </c>
      <c r="W381" s="48" t="str">
        <f t="shared" si="88"/>
        <v/>
      </c>
      <c r="X381" s="49" t="str">
        <f t="shared" si="89"/>
        <v/>
      </c>
      <c r="Y381" s="50" t="str">
        <f t="shared" si="90"/>
        <v/>
      </c>
      <c r="Z381" s="50" t="str">
        <f t="shared" si="91"/>
        <v/>
      </c>
      <c r="AA381" s="50" t="str">
        <f t="shared" si="92"/>
        <v/>
      </c>
      <c r="AB381" s="50" t="str">
        <f t="shared" si="93"/>
        <v/>
      </c>
      <c r="AC381" s="50" t="str">
        <f>IF($A381="","",IF($F381="assignment",IF($AF381&gt;0,INDEX($AH$9:$AH$380,$AF381),0)*$AE381*$D381,IF($F381="buy_shares",$M381*$AL381,0)))</f>
        <v/>
      </c>
      <c r="AD381" s="50" t="str">
        <f>IF($A381="","",IF($F381="called_away",IF($AF381&gt;0,INDEX($AH$9:$AH$380,$AF381),0)*$AL381,IF($F381="sell_shares",$M381*$AL381,0)))</f>
        <v/>
      </c>
      <c r="AE381" s="51" t="str">
        <f>IF($A381="","",IF(OR($F381="sell_put",$F381="sell_call"),IF(AND($H381&gt;0,$I381&gt;0,$J381&gt;=0),$H381,0),IF(OR($F381="buy_to_close",$F381="expire",$F381="roll",$F381="assignment",$F381="called_away"),IF(AND($AF381&gt;0,$H381&gt;0,IF($F381="assignment",IF($AF381&gt;0,INDEX($AG$9:$AG$380,$AF381),"")="put",TRUE),IF($F381="called_away",IF($AF381&gt;0,INDEX($AG$9:$AG$380,$AF381),"")="call",TRUE)),MIN($H381,IF($AF381&gt;0,MAX(0,INDEX($AI$9:$AI$380,$AF381)-SUMIFS($AE$9:$AE$380,$G$9:$G$380,$G381,$B$9:$B$380,$B381)),0)),0),0)))</f>
        <v/>
      </c>
      <c r="AF381" t="str">
        <f>IF($A381="","",IFERROR(MATCH(LEN($B381)&amp;":"&amp;$B381&amp;$G381,$AY$9:$AY$380,0),0))</f>
        <v/>
      </c>
      <c r="AG381" t="str">
        <f>IF($A381="","",IF($F381="sell_put","put",IF($F381="sell_call","call",IF($F381="roll",IF($AF381&gt;0,IF($AF381&gt;0,INDEX($AG$9:$AG$380,$AF381),""),""),IF($AF381&gt;0,IF($AF381&gt;0,INDEX($AG$9:$AG$380,$AF381),""),"")))))</f>
        <v/>
      </c>
      <c r="AH381" t="str">
        <f>IF($A381="","",IF(OR($F381="sell_put",$F381="sell_call",$F381="roll"),$I381,IF($AF381&gt;0,IF($AF381&gt;0,INDEX($AH$9:$AH$380,$AF381),0),0)))</f>
        <v/>
      </c>
      <c r="AI381" s="51" t="str">
        <f t="shared" si="94"/>
        <v/>
      </c>
      <c r="AJ381" s="51" t="str">
        <f>IF($A381="","",IFERROR(LOOKUP(2,1/($B$9:$B$380=$B381),$AM$9:$AM380),0))</f>
        <v/>
      </c>
      <c r="AK381" t="str">
        <f>IF($A381="","",IFERROR(LOOKUP(2,1/($B$9:$B$380=$B381),$AN$9:$AN380),0))</f>
        <v/>
      </c>
      <c r="AL381" s="51" t="str">
        <f t="shared" si="95"/>
        <v/>
      </c>
      <c r="AM381" s="51" t="str">
        <f t="shared" si="96"/>
        <v/>
      </c>
      <c r="AN381" t="str">
        <f t="shared" si="97"/>
        <v/>
      </c>
      <c r="AO381" s="50" t="str">
        <f>IF($A381="","",IFERROR(LOOKUP(2,1/($B$9:$B$380=$B381),$AO$9:$AO380),0)+IF($F381="sell_put",$I381*$AE381*$D381,IF($F381="roll",IF($AG381="put",($I381-IF($AF381&gt;0,INDEX($AH$9:$AH$380,$AF381),0))*$AE381*$D381,0),IF(AND(OR($F381="buy_to_close",$F381="expire",$F381="roll",$F381="assignment",$F381="called_away"),$F381&lt;&gt;"roll",$AG381="put"),-IF($AF381&gt;0,INDEX($AH$9:$AH$380,$AF381),0)*$AE381*$D381,0))))</f>
        <v/>
      </c>
      <c r="AP381" s="51" t="str">
        <f>IF($A381="","",IFERROR(LOOKUP(2,1/($B$9:$B$380=$B381),$AP$9:$AP380),0)+IF($F381="sell_put",$AE381*$D381,IF(AND(OR($F381="buy_to_close",$F381="expire",$F381="roll",$F381="assignment",$F381="called_away"),$F381&lt;&gt;"roll",$AG381="put"),-$AE381*$D381,0)))</f>
        <v/>
      </c>
      <c r="AQ381" s="51" t="str">
        <f>IF($A381="","",IFERROR(LOOKUP(2,1/($B$9:$B$380=$B381),$AQ$9:$AQ380),0)+IF(OR($F381="sell_put",$F381="sell_call"),$AE381,0)-IF(AND(OR($F381="buy_to_close",$F381="expire",$F381="roll",$F381="assignment",$F381="called_away"),$F381&lt;&gt;"roll"),$AE381,0))</f>
        <v/>
      </c>
      <c r="AR381" t="str">
        <f t="shared" si="98"/>
        <v/>
      </c>
      <c r="AS381" s="50" t="str">
        <f t="shared" si="99"/>
        <v/>
      </c>
      <c r="AT381" s="50" t="str">
        <f>IF($A381="","",MAX(IF($T381=IFERROR(LOOKUP(2,1/($B$9:$B$380=$B381),$T$9:$T380),0),IFERROR(LOOKUP(2,1/($B$9:$B$380=$B381),$AT$9:$AT380),0),0),$AS381))</f>
        <v/>
      </c>
      <c r="AU381" t="str">
        <f t="shared" si="100"/>
        <v/>
      </c>
      <c r="AV381" s="51">
        <f>IF($AU381="",0,IF(AND(IFERROR(LOOKUP(2,1/($B$9:$B$380=$B381),$AR$9:$AR380),1),NOT(AND(OR($F381="dividend",$F381="fee"),IFERROR(LOOKUP(2,1/($B$9:$B$380=$B381),$T$9:$T380),0)&gt;0))),ROW(),0))</f>
        <v>0</v>
      </c>
      <c r="AW381">
        <f>IF($A381="",0,IF($AV381&gt;0,MAX($AW$9:$AW$380)+1,MAX($AW$9:$AW$380)))</f>
        <v>0</v>
      </c>
      <c r="AX381">
        <f>IF($AU381="",0,IF(AND($AR381,OR(NOT(IFERROR(LOOKUP(2,1/($B$9:$B$380=$B381),$AR$9:$AR380),1)),IFERROR(LOOKUP(2,1/($B$9:$B$380=$B381),$T$9:$T380),0)=0)),ROW(),0))</f>
        <v>0</v>
      </c>
      <c r="AY381" t="str">
        <f t="shared" si="101"/>
        <v/>
      </c>
    </row>
    <row r="382" spans="1:51" ht="15" x14ac:dyDescent="0.25">
      <c r="A382" s="52" t="str">
        <f>IF(Trades!$A382="","",Trades!O382)</f>
        <v/>
      </c>
      <c r="B382" s="52" t="str">
        <f>IF(Trades!$A382="","",Trades!B382)</f>
        <v/>
      </c>
      <c r="C382" s="52" t="str">
        <f>IF(Trades!$A382="","",Trades!C382)</f>
        <v/>
      </c>
      <c r="D382" s="53" t="str">
        <f>IF(Trades!$A382="","",IF(Trades!$L382&gt;0,Trades!$L382,Trades!$C$6))</f>
        <v/>
      </c>
      <c r="E382" s="54" t="str">
        <f>IF(Trades!$A382="","",Trades!A382)</f>
        <v/>
      </c>
      <c r="F382" s="52" t="str">
        <f>IF(Trades!$A382="","",IFERROR(INDEX(Trades!$V$2:$V$14,MATCH(Trades!$E382,Trades!$U$2:$U$14,0)),""))</f>
        <v/>
      </c>
      <c r="G382" s="52" t="str">
        <f>IF(Trades!$A382="","",Trades!N382)</f>
        <v/>
      </c>
      <c r="H382" s="53" t="str">
        <f>IF(Trades!$A382="","",Trades!F382)</f>
        <v/>
      </c>
      <c r="I382" s="55" t="str">
        <f>IF(Trades!$A382="","",Trades!G382)</f>
        <v/>
      </c>
      <c r="J382" s="55" t="str">
        <f>IF(Trades!$A382="","",Trades!I382)</f>
        <v/>
      </c>
      <c r="K382" s="55" t="str">
        <f>IF(Trades!$A382="","",Trades!Q382)</f>
        <v/>
      </c>
      <c r="L382" s="53" t="str">
        <f>IF(Trades!$A382="","",Trades!F382)</f>
        <v/>
      </c>
      <c r="M382" s="55" t="str">
        <f>IF(Trades!$A382="","",Trades!M382)</f>
        <v/>
      </c>
      <c r="N382" s="55" t="str">
        <f>IF(Trades!$A382="","",Trades!R382)</f>
        <v/>
      </c>
      <c r="O382" s="55" t="str">
        <f>IF(Trades!$A382="","",Trades!J382)</f>
        <v/>
      </c>
      <c r="P382" s="54" t="str">
        <f>IF(Trades!$A382="","",Trades!H382)</f>
        <v/>
      </c>
      <c r="Q382" s="52" t="str">
        <f>IF(Trades!$A382="","",Trades!P382)</f>
        <v/>
      </c>
      <c r="R382" s="56" t="str">
        <f t="shared" si="85"/>
        <v/>
      </c>
      <c r="S382" s="56" t="str">
        <f t="shared" si="86"/>
        <v/>
      </c>
      <c r="T382" s="57" t="str">
        <f>IF(OR($A382="",$B382=""),"",IF(AND(IFERROR(LOOKUP(2,1/($B$9:$B$381=$B382),$AR$9:$AR381),1),NOT(AND(OR($F382="dividend",$F382="fee"),IFERROR(LOOKUP(2,1/($B$9:$B$381=$B382),$T$9:$T381),0)&gt;0))),IFERROR(LOOKUP(2,1/($B$9:$B$381=$B382),$T$9:$T381),0)+1,IFERROR(LOOKUP(2,1/($B$9:$B$381=$B382),$T$9:$T381),0)))</f>
        <v/>
      </c>
      <c r="U382" s="58" t="str">
        <f t="shared" si="87"/>
        <v/>
      </c>
      <c r="V382" s="58" t="str">
        <f>IF($A382="","",IF(OR($B382="",$C382="",$D382="",$E382="",$F382=""),"Missing required field",IF(COUNTIFS($A$9:$A382,$A382,$B$9:$B382,$B382)&gt;1,"Duplicate event ID",IF(AND($E382&lt;&gt;IFERROR(LOOKUP(2,1/($B$9:$B$381=$B382),$E$9:$E381),0),IFERROR(LOOKUP(2,1/($B$9:$B$381=$B382),$E$9:$E381),0)&gt;$E382),"Date out of order",IF(AND(OR($F382="buy_to_close",$F382="expire",$F382="roll",$F382="assignment",$F382="called_away"),$AF382=0),"Unknown lot",IF(OR(AND($F382="assignment",$AF382&gt;0,IF($AF382&gt;0,INDEX($AG$9:$AG$381,$AF382),"")&lt;&gt;"put"),AND($F382="called_away",$AF382&gt;0,IF($AF382&gt;0,INDEX($AG$9:$AG$381,$AF382),"")&lt;&gt;"call")),"Wrong option leg",IF(OR(AND(OR($F382="sell_put",$F382="sell_call"),OR($H382&lt;=0,$I382&lt;=0,$J382&lt;0)),AND(OR($F382="buy_to_close",$F382="expire",$F382="assignment",$F382="called_away"),OR($H382&lt;=0,$J382&lt;0)),AND($F382="roll",OR($H382&lt;=0,$I382&lt;=0,$J382&lt;0,$K382&lt;0)),AND(OR($F382="buy_shares",$F382="sell_shares"),OR($L382&lt;=0,$M382&lt;0)),AND(OR($F382="dividend",$F382="fee"),$N382&lt;0)),"Invalid value",IF(AND(OR($F382="sell_shares",$F382="called_away"),$AL382&lt;IF($F382="called_away",$AE382*$D382,$L382)),"Insufficient shares (capped)",IF(AND(OR($F382="buy_to_close",$F382="expire",$F382="roll",$F382="assignment",$F382="called_away"),$AF382&gt;0,$H382&gt;IF($AF382&gt;0,MAX(0,INDEX($AI$9:$AI$381,$AF382)-SUMIFS($AE$9:$AE$381,$G$9:$G$381,$G382,$B$9:$B$381,$B382)),0)),"Close quantity capped","OK")))))))))</f>
        <v/>
      </c>
      <c r="W382" s="59" t="str">
        <f t="shared" si="88"/>
        <v/>
      </c>
      <c r="X382" s="60" t="str">
        <f t="shared" si="89"/>
        <v/>
      </c>
      <c r="Y382" s="50" t="str">
        <f t="shared" si="90"/>
        <v/>
      </c>
      <c r="Z382" s="50" t="str">
        <f t="shared" si="91"/>
        <v/>
      </c>
      <c r="AA382" s="50" t="str">
        <f t="shared" si="92"/>
        <v/>
      </c>
      <c r="AB382" s="50" t="str">
        <f t="shared" si="93"/>
        <v/>
      </c>
      <c r="AC382" s="50" t="str">
        <f>IF($A382="","",IF($F382="assignment",IF($AF382&gt;0,INDEX($AH$9:$AH$381,$AF382),0)*$AE382*$D382,IF($F382="buy_shares",$M382*$AL382,0)))</f>
        <v/>
      </c>
      <c r="AD382" s="50" t="str">
        <f>IF($A382="","",IF($F382="called_away",IF($AF382&gt;0,INDEX($AH$9:$AH$381,$AF382),0)*$AL382,IF($F382="sell_shares",$M382*$AL382,0)))</f>
        <v/>
      </c>
      <c r="AE382" s="51" t="str">
        <f>IF($A382="","",IF(OR($F382="sell_put",$F382="sell_call"),IF(AND($H382&gt;0,$I382&gt;0,$J382&gt;=0),$H382,0),IF(OR($F382="buy_to_close",$F382="expire",$F382="roll",$F382="assignment",$F382="called_away"),IF(AND($AF382&gt;0,$H382&gt;0,IF($F382="assignment",IF($AF382&gt;0,INDEX($AG$9:$AG$381,$AF382),"")="put",TRUE),IF($F382="called_away",IF($AF382&gt;0,INDEX($AG$9:$AG$381,$AF382),"")="call",TRUE)),MIN($H382,IF($AF382&gt;0,MAX(0,INDEX($AI$9:$AI$381,$AF382)-SUMIFS($AE$9:$AE$381,$G$9:$G$381,$G382,$B$9:$B$381,$B382)),0)),0),0)))</f>
        <v/>
      </c>
      <c r="AF382" t="str">
        <f>IF($A382="","",IFERROR(MATCH(LEN($B382)&amp;":"&amp;$B382&amp;$G382,$AY$9:$AY$381,0),0))</f>
        <v/>
      </c>
      <c r="AG382" t="str">
        <f>IF($A382="","",IF($F382="sell_put","put",IF($F382="sell_call","call",IF($F382="roll",IF($AF382&gt;0,IF($AF382&gt;0,INDEX($AG$9:$AG$381,$AF382),""),""),IF($AF382&gt;0,IF($AF382&gt;0,INDEX($AG$9:$AG$381,$AF382),""),"")))))</f>
        <v/>
      </c>
      <c r="AH382" t="str">
        <f>IF($A382="","",IF(OR($F382="sell_put",$F382="sell_call",$F382="roll"),$I382,IF($AF382&gt;0,IF($AF382&gt;0,INDEX($AH$9:$AH$381,$AF382),0),0)))</f>
        <v/>
      </c>
      <c r="AI382" s="51" t="str">
        <f t="shared" si="94"/>
        <v/>
      </c>
      <c r="AJ382" s="51" t="str">
        <f>IF($A382="","",IFERROR(LOOKUP(2,1/($B$9:$B$381=$B382),$AM$9:$AM381),0))</f>
        <v/>
      </c>
      <c r="AK382" t="str">
        <f>IF($A382="","",IFERROR(LOOKUP(2,1/($B$9:$B$381=$B382),$AN$9:$AN381),0))</f>
        <v/>
      </c>
      <c r="AL382" s="51" t="str">
        <f t="shared" si="95"/>
        <v/>
      </c>
      <c r="AM382" s="51" t="str">
        <f t="shared" si="96"/>
        <v/>
      </c>
      <c r="AN382" t="str">
        <f t="shared" si="97"/>
        <v/>
      </c>
      <c r="AO382" s="50" t="str">
        <f>IF($A382="","",IFERROR(LOOKUP(2,1/($B$9:$B$381=$B382),$AO$9:$AO381),0)+IF($F382="sell_put",$I382*$AE382*$D382,IF($F382="roll",IF($AG382="put",($I382-IF($AF382&gt;0,INDEX($AH$9:$AH$381,$AF382),0))*$AE382*$D382,0),IF(AND(OR($F382="buy_to_close",$F382="expire",$F382="roll",$F382="assignment",$F382="called_away"),$F382&lt;&gt;"roll",$AG382="put"),-IF($AF382&gt;0,INDEX($AH$9:$AH$381,$AF382),0)*$AE382*$D382,0))))</f>
        <v/>
      </c>
      <c r="AP382" s="51" t="str">
        <f>IF($A382="","",IFERROR(LOOKUP(2,1/($B$9:$B$381=$B382),$AP$9:$AP381),0)+IF($F382="sell_put",$AE382*$D382,IF(AND(OR($F382="buy_to_close",$F382="expire",$F382="roll",$F382="assignment",$F382="called_away"),$F382&lt;&gt;"roll",$AG382="put"),-$AE382*$D382,0)))</f>
        <v/>
      </c>
      <c r="AQ382" s="51" t="str">
        <f>IF($A382="","",IFERROR(LOOKUP(2,1/($B$9:$B$381=$B382),$AQ$9:$AQ381),0)+IF(OR($F382="sell_put",$F382="sell_call"),$AE382,0)-IF(AND(OR($F382="buy_to_close",$F382="expire",$F382="roll",$F382="assignment",$F382="called_away"),$F382&lt;&gt;"roll"),$AE382,0))</f>
        <v/>
      </c>
      <c r="AR382" t="str">
        <f t="shared" si="98"/>
        <v/>
      </c>
      <c r="AS382" s="50" t="str">
        <f t="shared" si="99"/>
        <v/>
      </c>
      <c r="AT382" s="50" t="str">
        <f>IF($A382="","",MAX(IF($T382=IFERROR(LOOKUP(2,1/($B$9:$B$381=$B382),$T$9:$T381),0),IFERROR(LOOKUP(2,1/($B$9:$B$381=$B382),$AT$9:$AT381),0),0),$AS382))</f>
        <v/>
      </c>
      <c r="AU382" t="str">
        <f t="shared" si="100"/>
        <v/>
      </c>
      <c r="AV382" s="51">
        <f>IF($AU382="",0,IF(AND(IFERROR(LOOKUP(2,1/($B$9:$B$381=$B382),$AR$9:$AR381),1),NOT(AND(OR($F382="dividend",$F382="fee"),IFERROR(LOOKUP(2,1/($B$9:$B$381=$B382),$T$9:$T381),0)&gt;0))),ROW(),0))</f>
        <v>0</v>
      </c>
      <c r="AW382">
        <f>IF($A382="",0,IF($AV382&gt;0,MAX($AW$9:$AW$381)+1,MAX($AW$9:$AW$381)))</f>
        <v>0</v>
      </c>
      <c r="AX382">
        <f>IF($AU382="",0,IF(AND($AR382,OR(NOT(IFERROR(LOOKUP(2,1/($B$9:$B$381=$B382),$AR$9:$AR381),1)),IFERROR(LOOKUP(2,1/($B$9:$B$381=$B382),$T$9:$T381),0)=0)),ROW(),0))</f>
        <v>0</v>
      </c>
      <c r="AY382" t="str">
        <f t="shared" si="101"/>
        <v/>
      </c>
    </row>
    <row r="383" spans="1:51" ht="15" x14ac:dyDescent="0.25">
      <c r="A383" s="41" t="str">
        <f>IF(Trades!$A383="","",Trades!O383)</f>
        <v/>
      </c>
      <c r="B383" s="41" t="str">
        <f>IF(Trades!$A383="","",Trades!B383)</f>
        <v/>
      </c>
      <c r="C383" s="41" t="str">
        <f>IF(Trades!$A383="","",Trades!C383)</f>
        <v/>
      </c>
      <c r="D383" s="42" t="str">
        <f>IF(Trades!$A383="","",IF(Trades!$L383&gt;0,Trades!$L383,Trades!$C$6))</f>
        <v/>
      </c>
      <c r="E383" s="43" t="str">
        <f>IF(Trades!$A383="","",Trades!A383)</f>
        <v/>
      </c>
      <c r="F383" s="41" t="str">
        <f>IF(Trades!$A383="","",IFERROR(INDEX(Trades!$V$2:$V$14,MATCH(Trades!$E383,Trades!$U$2:$U$14,0)),""))</f>
        <v/>
      </c>
      <c r="G383" s="41" t="str">
        <f>IF(Trades!$A383="","",Trades!N383)</f>
        <v/>
      </c>
      <c r="H383" s="42" t="str">
        <f>IF(Trades!$A383="","",Trades!F383)</f>
        <v/>
      </c>
      <c r="I383" s="44" t="str">
        <f>IF(Trades!$A383="","",Trades!G383)</f>
        <v/>
      </c>
      <c r="J383" s="44" t="str">
        <f>IF(Trades!$A383="","",Trades!I383)</f>
        <v/>
      </c>
      <c r="K383" s="44" t="str">
        <f>IF(Trades!$A383="","",Trades!Q383)</f>
        <v/>
      </c>
      <c r="L383" s="42" t="str">
        <f>IF(Trades!$A383="","",Trades!F383)</f>
        <v/>
      </c>
      <c r="M383" s="44" t="str">
        <f>IF(Trades!$A383="","",Trades!M383)</f>
        <v/>
      </c>
      <c r="N383" s="44" t="str">
        <f>IF(Trades!$A383="","",Trades!R383)</f>
        <v/>
      </c>
      <c r="O383" s="44" t="str">
        <f>IF(Trades!$A383="","",Trades!J383)</f>
        <v/>
      </c>
      <c r="P383" s="43" t="str">
        <f>IF(Trades!$A383="","",Trades!H383)</f>
        <v/>
      </c>
      <c r="Q383" s="41" t="str">
        <f>IF(Trades!$A383="","",Trades!P383)</f>
        <v/>
      </c>
      <c r="R383" s="45" t="str">
        <f t="shared" si="85"/>
        <v/>
      </c>
      <c r="S383" s="45" t="str">
        <f t="shared" si="86"/>
        <v/>
      </c>
      <c r="T383" s="46" t="str">
        <f>IF(OR($A383="",$B383=""),"",IF(AND(IFERROR(LOOKUP(2,1/($B$9:$B$382=$B383),$AR$9:$AR382),1),NOT(AND(OR($F383="dividend",$F383="fee"),IFERROR(LOOKUP(2,1/($B$9:$B$382=$B383),$T$9:$T382),0)&gt;0))),IFERROR(LOOKUP(2,1/($B$9:$B$382=$B383),$T$9:$T382),0)+1,IFERROR(LOOKUP(2,1/($B$9:$B$382=$B383),$T$9:$T382),0)))</f>
        <v/>
      </c>
      <c r="U383" s="47" t="str">
        <f t="shared" si="87"/>
        <v/>
      </c>
      <c r="V383" s="47" t="str">
        <f>IF($A383="","",IF(OR($B383="",$C383="",$D383="",$E383="",$F383=""),"Missing required field",IF(COUNTIFS($A$9:$A383,$A383,$B$9:$B383,$B383)&gt;1,"Duplicate event ID",IF(AND($E383&lt;&gt;IFERROR(LOOKUP(2,1/($B$9:$B$382=$B383),$E$9:$E382),0),IFERROR(LOOKUP(2,1/($B$9:$B$382=$B383),$E$9:$E382),0)&gt;$E383),"Date out of order",IF(AND(OR($F383="buy_to_close",$F383="expire",$F383="roll",$F383="assignment",$F383="called_away"),$AF383=0),"Unknown lot",IF(OR(AND($F383="assignment",$AF383&gt;0,IF($AF383&gt;0,INDEX($AG$9:$AG$382,$AF383),"")&lt;&gt;"put"),AND($F383="called_away",$AF383&gt;0,IF($AF383&gt;0,INDEX($AG$9:$AG$382,$AF383),"")&lt;&gt;"call")),"Wrong option leg",IF(OR(AND(OR($F383="sell_put",$F383="sell_call"),OR($H383&lt;=0,$I383&lt;=0,$J383&lt;0)),AND(OR($F383="buy_to_close",$F383="expire",$F383="assignment",$F383="called_away"),OR($H383&lt;=0,$J383&lt;0)),AND($F383="roll",OR($H383&lt;=0,$I383&lt;=0,$J383&lt;0,$K383&lt;0)),AND(OR($F383="buy_shares",$F383="sell_shares"),OR($L383&lt;=0,$M383&lt;0)),AND(OR($F383="dividend",$F383="fee"),$N383&lt;0)),"Invalid value",IF(AND(OR($F383="sell_shares",$F383="called_away"),$AL383&lt;IF($F383="called_away",$AE383*$D383,$L383)),"Insufficient shares (capped)",IF(AND(OR($F383="buy_to_close",$F383="expire",$F383="roll",$F383="assignment",$F383="called_away"),$AF383&gt;0,$H383&gt;IF($AF383&gt;0,MAX(0,INDEX($AI$9:$AI$382,$AF383)-SUMIFS($AE$9:$AE$382,$G$9:$G$382,$G383,$B$9:$B$382,$B383)),0)),"Close quantity capped","OK")))))))))</f>
        <v/>
      </c>
      <c r="W383" s="48" t="str">
        <f t="shared" si="88"/>
        <v/>
      </c>
      <c r="X383" s="49" t="str">
        <f t="shared" si="89"/>
        <v/>
      </c>
      <c r="Y383" s="50" t="str">
        <f t="shared" si="90"/>
        <v/>
      </c>
      <c r="Z383" s="50" t="str">
        <f t="shared" si="91"/>
        <v/>
      </c>
      <c r="AA383" s="50" t="str">
        <f t="shared" si="92"/>
        <v/>
      </c>
      <c r="AB383" s="50" t="str">
        <f t="shared" si="93"/>
        <v/>
      </c>
      <c r="AC383" s="50" t="str">
        <f>IF($A383="","",IF($F383="assignment",IF($AF383&gt;0,INDEX($AH$9:$AH$382,$AF383),0)*$AE383*$D383,IF($F383="buy_shares",$M383*$AL383,0)))</f>
        <v/>
      </c>
      <c r="AD383" s="50" t="str">
        <f>IF($A383="","",IF($F383="called_away",IF($AF383&gt;0,INDEX($AH$9:$AH$382,$AF383),0)*$AL383,IF($F383="sell_shares",$M383*$AL383,0)))</f>
        <v/>
      </c>
      <c r="AE383" s="51" t="str">
        <f>IF($A383="","",IF(OR($F383="sell_put",$F383="sell_call"),IF(AND($H383&gt;0,$I383&gt;0,$J383&gt;=0),$H383,0),IF(OR($F383="buy_to_close",$F383="expire",$F383="roll",$F383="assignment",$F383="called_away"),IF(AND($AF383&gt;0,$H383&gt;0,IF($F383="assignment",IF($AF383&gt;0,INDEX($AG$9:$AG$382,$AF383),"")="put",TRUE),IF($F383="called_away",IF($AF383&gt;0,INDEX($AG$9:$AG$382,$AF383),"")="call",TRUE)),MIN($H383,IF($AF383&gt;0,MAX(0,INDEX($AI$9:$AI$382,$AF383)-SUMIFS($AE$9:$AE$382,$G$9:$G$382,$G383,$B$9:$B$382,$B383)),0)),0),0)))</f>
        <v/>
      </c>
      <c r="AF383" t="str">
        <f>IF($A383="","",IFERROR(MATCH(LEN($B383)&amp;":"&amp;$B383&amp;$G383,$AY$9:$AY$382,0),0))</f>
        <v/>
      </c>
      <c r="AG383" t="str">
        <f>IF($A383="","",IF($F383="sell_put","put",IF($F383="sell_call","call",IF($F383="roll",IF($AF383&gt;0,IF($AF383&gt;0,INDEX($AG$9:$AG$382,$AF383),""),""),IF($AF383&gt;0,IF($AF383&gt;0,INDEX($AG$9:$AG$382,$AF383),""),"")))))</f>
        <v/>
      </c>
      <c r="AH383" t="str">
        <f>IF($A383="","",IF(OR($F383="sell_put",$F383="sell_call",$F383="roll"),$I383,IF($AF383&gt;0,IF($AF383&gt;0,INDEX($AH$9:$AH$382,$AF383),0),0)))</f>
        <v/>
      </c>
      <c r="AI383" s="51" t="str">
        <f t="shared" si="94"/>
        <v/>
      </c>
      <c r="AJ383" s="51" t="str">
        <f>IF($A383="","",IFERROR(LOOKUP(2,1/($B$9:$B$382=$B383),$AM$9:$AM382),0))</f>
        <v/>
      </c>
      <c r="AK383" t="str">
        <f>IF($A383="","",IFERROR(LOOKUP(2,1/($B$9:$B$382=$B383),$AN$9:$AN382),0))</f>
        <v/>
      </c>
      <c r="AL383" s="51" t="str">
        <f t="shared" si="95"/>
        <v/>
      </c>
      <c r="AM383" s="51" t="str">
        <f t="shared" si="96"/>
        <v/>
      </c>
      <c r="AN383" t="str">
        <f t="shared" si="97"/>
        <v/>
      </c>
      <c r="AO383" s="50" t="str">
        <f>IF($A383="","",IFERROR(LOOKUP(2,1/($B$9:$B$382=$B383),$AO$9:$AO382),0)+IF($F383="sell_put",$I383*$AE383*$D383,IF($F383="roll",IF($AG383="put",($I383-IF($AF383&gt;0,INDEX($AH$9:$AH$382,$AF383),0))*$AE383*$D383,0),IF(AND(OR($F383="buy_to_close",$F383="expire",$F383="roll",$F383="assignment",$F383="called_away"),$F383&lt;&gt;"roll",$AG383="put"),-IF($AF383&gt;0,INDEX($AH$9:$AH$382,$AF383),0)*$AE383*$D383,0))))</f>
        <v/>
      </c>
      <c r="AP383" s="51" t="str">
        <f>IF($A383="","",IFERROR(LOOKUP(2,1/($B$9:$B$382=$B383),$AP$9:$AP382),0)+IF($F383="sell_put",$AE383*$D383,IF(AND(OR($F383="buy_to_close",$F383="expire",$F383="roll",$F383="assignment",$F383="called_away"),$F383&lt;&gt;"roll",$AG383="put"),-$AE383*$D383,0)))</f>
        <v/>
      </c>
      <c r="AQ383" s="51" t="str">
        <f>IF($A383="","",IFERROR(LOOKUP(2,1/($B$9:$B$382=$B383),$AQ$9:$AQ382),0)+IF(OR($F383="sell_put",$F383="sell_call"),$AE383,0)-IF(AND(OR($F383="buy_to_close",$F383="expire",$F383="roll",$F383="assignment",$F383="called_away"),$F383&lt;&gt;"roll"),$AE383,0))</f>
        <v/>
      </c>
      <c r="AR383" t="str">
        <f t="shared" si="98"/>
        <v/>
      </c>
      <c r="AS383" s="50" t="str">
        <f t="shared" si="99"/>
        <v/>
      </c>
      <c r="AT383" s="50" t="str">
        <f>IF($A383="","",MAX(IF($T383=IFERROR(LOOKUP(2,1/($B$9:$B$382=$B383),$T$9:$T382),0),IFERROR(LOOKUP(2,1/($B$9:$B$382=$B383),$AT$9:$AT382),0),0),$AS383))</f>
        <v/>
      </c>
      <c r="AU383" t="str">
        <f t="shared" si="100"/>
        <v/>
      </c>
      <c r="AV383" s="51">
        <f>IF($AU383="",0,IF(AND(IFERROR(LOOKUP(2,1/($B$9:$B$382=$B383),$AR$9:$AR382),1),NOT(AND(OR($F383="dividend",$F383="fee"),IFERROR(LOOKUP(2,1/($B$9:$B$382=$B383),$T$9:$T382),0)&gt;0))),ROW(),0))</f>
        <v>0</v>
      </c>
      <c r="AW383">
        <f>IF($A383="",0,IF($AV383&gt;0,MAX($AW$9:$AW$382)+1,MAX($AW$9:$AW$382)))</f>
        <v>0</v>
      </c>
      <c r="AX383">
        <f>IF($AU383="",0,IF(AND($AR383,OR(NOT(IFERROR(LOOKUP(2,1/($B$9:$B$382=$B383),$AR$9:$AR382),1)),IFERROR(LOOKUP(2,1/($B$9:$B$382=$B383),$T$9:$T382),0)=0)),ROW(),0))</f>
        <v>0</v>
      </c>
      <c r="AY383" t="str">
        <f t="shared" si="101"/>
        <v/>
      </c>
    </row>
    <row r="384" spans="1:51" ht="15" x14ac:dyDescent="0.25">
      <c r="A384" s="52" t="str">
        <f>IF(Trades!$A384="","",Trades!O384)</f>
        <v/>
      </c>
      <c r="B384" s="52" t="str">
        <f>IF(Trades!$A384="","",Trades!B384)</f>
        <v/>
      </c>
      <c r="C384" s="52" t="str">
        <f>IF(Trades!$A384="","",Trades!C384)</f>
        <v/>
      </c>
      <c r="D384" s="53" t="str">
        <f>IF(Trades!$A384="","",IF(Trades!$L384&gt;0,Trades!$L384,Trades!$C$6))</f>
        <v/>
      </c>
      <c r="E384" s="54" t="str">
        <f>IF(Trades!$A384="","",Trades!A384)</f>
        <v/>
      </c>
      <c r="F384" s="52" t="str">
        <f>IF(Trades!$A384="","",IFERROR(INDEX(Trades!$V$2:$V$14,MATCH(Trades!$E384,Trades!$U$2:$U$14,0)),""))</f>
        <v/>
      </c>
      <c r="G384" s="52" t="str">
        <f>IF(Trades!$A384="","",Trades!N384)</f>
        <v/>
      </c>
      <c r="H384" s="53" t="str">
        <f>IF(Trades!$A384="","",Trades!F384)</f>
        <v/>
      </c>
      <c r="I384" s="55" t="str">
        <f>IF(Trades!$A384="","",Trades!G384)</f>
        <v/>
      </c>
      <c r="J384" s="55" t="str">
        <f>IF(Trades!$A384="","",Trades!I384)</f>
        <v/>
      </c>
      <c r="K384" s="55" t="str">
        <f>IF(Trades!$A384="","",Trades!Q384)</f>
        <v/>
      </c>
      <c r="L384" s="53" t="str">
        <f>IF(Trades!$A384="","",Trades!F384)</f>
        <v/>
      </c>
      <c r="M384" s="55" t="str">
        <f>IF(Trades!$A384="","",Trades!M384)</f>
        <v/>
      </c>
      <c r="N384" s="55" t="str">
        <f>IF(Trades!$A384="","",Trades!R384)</f>
        <v/>
      </c>
      <c r="O384" s="55" t="str">
        <f>IF(Trades!$A384="","",Trades!J384)</f>
        <v/>
      </c>
      <c r="P384" s="54" t="str">
        <f>IF(Trades!$A384="","",Trades!H384)</f>
        <v/>
      </c>
      <c r="Q384" s="52" t="str">
        <f>IF(Trades!$A384="","",Trades!P384)</f>
        <v/>
      </c>
      <c r="R384" s="56" t="str">
        <f t="shared" si="85"/>
        <v/>
      </c>
      <c r="S384" s="56" t="str">
        <f t="shared" si="86"/>
        <v/>
      </c>
      <c r="T384" s="57" t="str">
        <f>IF(OR($A384="",$B384=""),"",IF(AND(IFERROR(LOOKUP(2,1/($B$9:$B$383=$B384),$AR$9:$AR383),1),NOT(AND(OR($F384="dividend",$F384="fee"),IFERROR(LOOKUP(2,1/($B$9:$B$383=$B384),$T$9:$T383),0)&gt;0))),IFERROR(LOOKUP(2,1/($B$9:$B$383=$B384),$T$9:$T383),0)+1,IFERROR(LOOKUP(2,1/($B$9:$B$383=$B384),$T$9:$T383),0)))</f>
        <v/>
      </c>
      <c r="U384" s="58" t="str">
        <f t="shared" si="87"/>
        <v/>
      </c>
      <c r="V384" s="58" t="str">
        <f>IF($A384="","",IF(OR($B384="",$C384="",$D384="",$E384="",$F384=""),"Missing required field",IF(COUNTIFS($A$9:$A384,$A384,$B$9:$B384,$B384)&gt;1,"Duplicate event ID",IF(AND($E384&lt;&gt;IFERROR(LOOKUP(2,1/($B$9:$B$383=$B384),$E$9:$E383),0),IFERROR(LOOKUP(2,1/($B$9:$B$383=$B384),$E$9:$E383),0)&gt;$E384),"Date out of order",IF(AND(OR($F384="buy_to_close",$F384="expire",$F384="roll",$F384="assignment",$F384="called_away"),$AF384=0),"Unknown lot",IF(OR(AND($F384="assignment",$AF384&gt;0,IF($AF384&gt;0,INDEX($AG$9:$AG$383,$AF384),"")&lt;&gt;"put"),AND($F384="called_away",$AF384&gt;0,IF($AF384&gt;0,INDEX($AG$9:$AG$383,$AF384),"")&lt;&gt;"call")),"Wrong option leg",IF(OR(AND(OR($F384="sell_put",$F384="sell_call"),OR($H384&lt;=0,$I384&lt;=0,$J384&lt;0)),AND(OR($F384="buy_to_close",$F384="expire",$F384="assignment",$F384="called_away"),OR($H384&lt;=0,$J384&lt;0)),AND($F384="roll",OR($H384&lt;=0,$I384&lt;=0,$J384&lt;0,$K384&lt;0)),AND(OR($F384="buy_shares",$F384="sell_shares"),OR($L384&lt;=0,$M384&lt;0)),AND(OR($F384="dividend",$F384="fee"),$N384&lt;0)),"Invalid value",IF(AND(OR($F384="sell_shares",$F384="called_away"),$AL384&lt;IF($F384="called_away",$AE384*$D384,$L384)),"Insufficient shares (capped)",IF(AND(OR($F384="buy_to_close",$F384="expire",$F384="roll",$F384="assignment",$F384="called_away"),$AF384&gt;0,$H384&gt;IF($AF384&gt;0,MAX(0,INDEX($AI$9:$AI$383,$AF384)-SUMIFS($AE$9:$AE$383,$G$9:$G$383,$G384,$B$9:$B$383,$B384)),0)),"Close quantity capped","OK")))))))))</f>
        <v/>
      </c>
      <c r="W384" s="59" t="str">
        <f t="shared" si="88"/>
        <v/>
      </c>
      <c r="X384" s="60" t="str">
        <f t="shared" si="89"/>
        <v/>
      </c>
      <c r="Y384" s="50" t="str">
        <f t="shared" si="90"/>
        <v/>
      </c>
      <c r="Z384" s="50" t="str">
        <f t="shared" si="91"/>
        <v/>
      </c>
      <c r="AA384" s="50" t="str">
        <f t="shared" si="92"/>
        <v/>
      </c>
      <c r="AB384" s="50" t="str">
        <f t="shared" si="93"/>
        <v/>
      </c>
      <c r="AC384" s="50" t="str">
        <f>IF($A384="","",IF($F384="assignment",IF($AF384&gt;0,INDEX($AH$9:$AH$383,$AF384),0)*$AE384*$D384,IF($F384="buy_shares",$M384*$AL384,0)))</f>
        <v/>
      </c>
      <c r="AD384" s="50" t="str">
        <f>IF($A384="","",IF($F384="called_away",IF($AF384&gt;0,INDEX($AH$9:$AH$383,$AF384),0)*$AL384,IF($F384="sell_shares",$M384*$AL384,0)))</f>
        <v/>
      </c>
      <c r="AE384" s="51" t="str">
        <f>IF($A384="","",IF(OR($F384="sell_put",$F384="sell_call"),IF(AND($H384&gt;0,$I384&gt;0,$J384&gt;=0),$H384,0),IF(OR($F384="buy_to_close",$F384="expire",$F384="roll",$F384="assignment",$F384="called_away"),IF(AND($AF384&gt;0,$H384&gt;0,IF($F384="assignment",IF($AF384&gt;0,INDEX($AG$9:$AG$383,$AF384),"")="put",TRUE),IF($F384="called_away",IF($AF384&gt;0,INDEX($AG$9:$AG$383,$AF384),"")="call",TRUE)),MIN($H384,IF($AF384&gt;0,MAX(0,INDEX($AI$9:$AI$383,$AF384)-SUMIFS($AE$9:$AE$383,$G$9:$G$383,$G384,$B$9:$B$383,$B384)),0)),0),0)))</f>
        <v/>
      </c>
      <c r="AF384" t="str">
        <f>IF($A384="","",IFERROR(MATCH(LEN($B384)&amp;":"&amp;$B384&amp;$G384,$AY$9:$AY$383,0),0))</f>
        <v/>
      </c>
      <c r="AG384" t="str">
        <f>IF($A384="","",IF($F384="sell_put","put",IF($F384="sell_call","call",IF($F384="roll",IF($AF384&gt;0,IF($AF384&gt;0,INDEX($AG$9:$AG$383,$AF384),""),""),IF($AF384&gt;0,IF($AF384&gt;0,INDEX($AG$9:$AG$383,$AF384),""),"")))))</f>
        <v/>
      </c>
      <c r="AH384" t="str">
        <f>IF($A384="","",IF(OR($F384="sell_put",$F384="sell_call",$F384="roll"),$I384,IF($AF384&gt;0,IF($AF384&gt;0,INDEX($AH$9:$AH$383,$AF384),0),0)))</f>
        <v/>
      </c>
      <c r="AI384" s="51" t="str">
        <f t="shared" si="94"/>
        <v/>
      </c>
      <c r="AJ384" s="51" t="str">
        <f>IF($A384="","",IFERROR(LOOKUP(2,1/($B$9:$B$383=$B384),$AM$9:$AM383),0))</f>
        <v/>
      </c>
      <c r="AK384" t="str">
        <f>IF($A384="","",IFERROR(LOOKUP(2,1/($B$9:$B$383=$B384),$AN$9:$AN383),0))</f>
        <v/>
      </c>
      <c r="AL384" s="51" t="str">
        <f t="shared" si="95"/>
        <v/>
      </c>
      <c r="AM384" s="51" t="str">
        <f t="shared" si="96"/>
        <v/>
      </c>
      <c r="AN384" t="str">
        <f t="shared" si="97"/>
        <v/>
      </c>
      <c r="AO384" s="50" t="str">
        <f>IF($A384="","",IFERROR(LOOKUP(2,1/($B$9:$B$383=$B384),$AO$9:$AO383),0)+IF($F384="sell_put",$I384*$AE384*$D384,IF($F384="roll",IF($AG384="put",($I384-IF($AF384&gt;0,INDEX($AH$9:$AH$383,$AF384),0))*$AE384*$D384,0),IF(AND(OR($F384="buy_to_close",$F384="expire",$F384="roll",$F384="assignment",$F384="called_away"),$F384&lt;&gt;"roll",$AG384="put"),-IF($AF384&gt;0,INDEX($AH$9:$AH$383,$AF384),0)*$AE384*$D384,0))))</f>
        <v/>
      </c>
      <c r="AP384" s="51" t="str">
        <f>IF($A384="","",IFERROR(LOOKUP(2,1/($B$9:$B$383=$B384),$AP$9:$AP383),0)+IF($F384="sell_put",$AE384*$D384,IF(AND(OR($F384="buy_to_close",$F384="expire",$F384="roll",$F384="assignment",$F384="called_away"),$F384&lt;&gt;"roll",$AG384="put"),-$AE384*$D384,0)))</f>
        <v/>
      </c>
      <c r="AQ384" s="51" t="str">
        <f>IF($A384="","",IFERROR(LOOKUP(2,1/($B$9:$B$383=$B384),$AQ$9:$AQ383),0)+IF(OR($F384="sell_put",$F384="sell_call"),$AE384,0)-IF(AND(OR($F384="buy_to_close",$F384="expire",$F384="roll",$F384="assignment",$F384="called_away"),$F384&lt;&gt;"roll"),$AE384,0))</f>
        <v/>
      </c>
      <c r="AR384" t="str">
        <f t="shared" si="98"/>
        <v/>
      </c>
      <c r="AS384" s="50" t="str">
        <f t="shared" si="99"/>
        <v/>
      </c>
      <c r="AT384" s="50" t="str">
        <f>IF($A384="","",MAX(IF($T384=IFERROR(LOOKUP(2,1/($B$9:$B$383=$B384),$T$9:$T383),0),IFERROR(LOOKUP(2,1/($B$9:$B$383=$B384),$AT$9:$AT383),0),0),$AS384))</f>
        <v/>
      </c>
      <c r="AU384" t="str">
        <f t="shared" si="100"/>
        <v/>
      </c>
      <c r="AV384" s="51">
        <f>IF($AU384="",0,IF(AND(IFERROR(LOOKUP(2,1/($B$9:$B$383=$B384),$AR$9:$AR383),1),NOT(AND(OR($F384="dividend",$F384="fee"),IFERROR(LOOKUP(2,1/($B$9:$B$383=$B384),$T$9:$T383),0)&gt;0))),ROW(),0))</f>
        <v>0</v>
      </c>
      <c r="AW384">
        <f>IF($A384="",0,IF($AV384&gt;0,MAX($AW$9:$AW$383)+1,MAX($AW$9:$AW$383)))</f>
        <v>0</v>
      </c>
      <c r="AX384">
        <f>IF($AU384="",0,IF(AND($AR384,OR(NOT(IFERROR(LOOKUP(2,1/($B$9:$B$383=$B384),$AR$9:$AR383),1)),IFERROR(LOOKUP(2,1/($B$9:$B$383=$B384),$T$9:$T383),0)=0)),ROW(),0))</f>
        <v>0</v>
      </c>
      <c r="AY384" t="str">
        <f t="shared" si="101"/>
        <v/>
      </c>
    </row>
    <row r="385" spans="1:51" ht="15" x14ac:dyDescent="0.25">
      <c r="A385" s="41" t="str">
        <f>IF(Trades!$A385="","",Trades!O385)</f>
        <v/>
      </c>
      <c r="B385" s="41" t="str">
        <f>IF(Trades!$A385="","",Trades!B385)</f>
        <v/>
      </c>
      <c r="C385" s="41" t="str">
        <f>IF(Trades!$A385="","",Trades!C385)</f>
        <v/>
      </c>
      <c r="D385" s="42" t="str">
        <f>IF(Trades!$A385="","",IF(Trades!$L385&gt;0,Trades!$L385,Trades!$C$6))</f>
        <v/>
      </c>
      <c r="E385" s="43" t="str">
        <f>IF(Trades!$A385="","",Trades!A385)</f>
        <v/>
      </c>
      <c r="F385" s="41" t="str">
        <f>IF(Trades!$A385="","",IFERROR(INDEX(Trades!$V$2:$V$14,MATCH(Trades!$E385,Trades!$U$2:$U$14,0)),""))</f>
        <v/>
      </c>
      <c r="G385" s="41" t="str">
        <f>IF(Trades!$A385="","",Trades!N385)</f>
        <v/>
      </c>
      <c r="H385" s="42" t="str">
        <f>IF(Trades!$A385="","",Trades!F385)</f>
        <v/>
      </c>
      <c r="I385" s="44" t="str">
        <f>IF(Trades!$A385="","",Trades!G385)</f>
        <v/>
      </c>
      <c r="J385" s="44" t="str">
        <f>IF(Trades!$A385="","",Trades!I385)</f>
        <v/>
      </c>
      <c r="K385" s="44" t="str">
        <f>IF(Trades!$A385="","",Trades!Q385)</f>
        <v/>
      </c>
      <c r="L385" s="42" t="str">
        <f>IF(Trades!$A385="","",Trades!F385)</f>
        <v/>
      </c>
      <c r="M385" s="44" t="str">
        <f>IF(Trades!$A385="","",Trades!M385)</f>
        <v/>
      </c>
      <c r="N385" s="44" t="str">
        <f>IF(Trades!$A385="","",Trades!R385)</f>
        <v/>
      </c>
      <c r="O385" s="44" t="str">
        <f>IF(Trades!$A385="","",Trades!J385)</f>
        <v/>
      </c>
      <c r="P385" s="43" t="str">
        <f>IF(Trades!$A385="","",Trades!H385)</f>
        <v/>
      </c>
      <c r="Q385" s="41" t="str">
        <f>IF(Trades!$A385="","",Trades!P385)</f>
        <v/>
      </c>
      <c r="R385" s="45" t="str">
        <f t="shared" si="85"/>
        <v/>
      </c>
      <c r="S385" s="45" t="str">
        <f t="shared" si="86"/>
        <v/>
      </c>
      <c r="T385" s="46" t="str">
        <f>IF(OR($A385="",$B385=""),"",IF(AND(IFERROR(LOOKUP(2,1/($B$9:$B$384=$B385),$AR$9:$AR384),1),NOT(AND(OR($F385="dividend",$F385="fee"),IFERROR(LOOKUP(2,1/($B$9:$B$384=$B385),$T$9:$T384),0)&gt;0))),IFERROR(LOOKUP(2,1/($B$9:$B$384=$B385),$T$9:$T384),0)+1,IFERROR(LOOKUP(2,1/($B$9:$B$384=$B385),$T$9:$T384),0)))</f>
        <v/>
      </c>
      <c r="U385" s="47" t="str">
        <f t="shared" si="87"/>
        <v/>
      </c>
      <c r="V385" s="47" t="str">
        <f>IF($A385="","",IF(OR($B385="",$C385="",$D385="",$E385="",$F385=""),"Missing required field",IF(COUNTIFS($A$9:$A385,$A385,$B$9:$B385,$B385)&gt;1,"Duplicate event ID",IF(AND($E385&lt;&gt;IFERROR(LOOKUP(2,1/($B$9:$B$384=$B385),$E$9:$E384),0),IFERROR(LOOKUP(2,1/($B$9:$B$384=$B385),$E$9:$E384),0)&gt;$E385),"Date out of order",IF(AND(OR($F385="buy_to_close",$F385="expire",$F385="roll",$F385="assignment",$F385="called_away"),$AF385=0),"Unknown lot",IF(OR(AND($F385="assignment",$AF385&gt;0,IF($AF385&gt;0,INDEX($AG$9:$AG$384,$AF385),"")&lt;&gt;"put"),AND($F385="called_away",$AF385&gt;0,IF($AF385&gt;0,INDEX($AG$9:$AG$384,$AF385),"")&lt;&gt;"call")),"Wrong option leg",IF(OR(AND(OR($F385="sell_put",$F385="sell_call"),OR($H385&lt;=0,$I385&lt;=0,$J385&lt;0)),AND(OR($F385="buy_to_close",$F385="expire",$F385="assignment",$F385="called_away"),OR($H385&lt;=0,$J385&lt;0)),AND($F385="roll",OR($H385&lt;=0,$I385&lt;=0,$J385&lt;0,$K385&lt;0)),AND(OR($F385="buy_shares",$F385="sell_shares"),OR($L385&lt;=0,$M385&lt;0)),AND(OR($F385="dividend",$F385="fee"),$N385&lt;0)),"Invalid value",IF(AND(OR($F385="sell_shares",$F385="called_away"),$AL385&lt;IF($F385="called_away",$AE385*$D385,$L385)),"Insufficient shares (capped)",IF(AND(OR($F385="buy_to_close",$F385="expire",$F385="roll",$F385="assignment",$F385="called_away"),$AF385&gt;0,$H385&gt;IF($AF385&gt;0,MAX(0,INDEX($AI$9:$AI$384,$AF385)-SUMIFS($AE$9:$AE$384,$G$9:$G$384,$G385,$B$9:$B$384,$B385)),0)),"Close quantity capped","OK")))))))))</f>
        <v/>
      </c>
      <c r="W385" s="48" t="str">
        <f t="shared" si="88"/>
        <v/>
      </c>
      <c r="X385" s="49" t="str">
        <f t="shared" si="89"/>
        <v/>
      </c>
      <c r="Y385" s="50" t="str">
        <f t="shared" si="90"/>
        <v/>
      </c>
      <c r="Z385" s="50" t="str">
        <f t="shared" si="91"/>
        <v/>
      </c>
      <c r="AA385" s="50" t="str">
        <f t="shared" si="92"/>
        <v/>
      </c>
      <c r="AB385" s="50" t="str">
        <f t="shared" si="93"/>
        <v/>
      </c>
      <c r="AC385" s="50" t="str">
        <f>IF($A385="","",IF($F385="assignment",IF($AF385&gt;0,INDEX($AH$9:$AH$384,$AF385),0)*$AE385*$D385,IF($F385="buy_shares",$M385*$AL385,0)))</f>
        <v/>
      </c>
      <c r="AD385" s="50" t="str">
        <f>IF($A385="","",IF($F385="called_away",IF($AF385&gt;0,INDEX($AH$9:$AH$384,$AF385),0)*$AL385,IF($F385="sell_shares",$M385*$AL385,0)))</f>
        <v/>
      </c>
      <c r="AE385" s="51" t="str">
        <f>IF($A385="","",IF(OR($F385="sell_put",$F385="sell_call"),IF(AND($H385&gt;0,$I385&gt;0,$J385&gt;=0),$H385,0),IF(OR($F385="buy_to_close",$F385="expire",$F385="roll",$F385="assignment",$F385="called_away"),IF(AND($AF385&gt;0,$H385&gt;0,IF($F385="assignment",IF($AF385&gt;0,INDEX($AG$9:$AG$384,$AF385),"")="put",TRUE),IF($F385="called_away",IF($AF385&gt;0,INDEX($AG$9:$AG$384,$AF385),"")="call",TRUE)),MIN($H385,IF($AF385&gt;0,MAX(0,INDEX($AI$9:$AI$384,$AF385)-SUMIFS($AE$9:$AE$384,$G$9:$G$384,$G385,$B$9:$B$384,$B385)),0)),0),0)))</f>
        <v/>
      </c>
      <c r="AF385" t="str">
        <f>IF($A385="","",IFERROR(MATCH(LEN($B385)&amp;":"&amp;$B385&amp;$G385,$AY$9:$AY$384,0),0))</f>
        <v/>
      </c>
      <c r="AG385" t="str">
        <f>IF($A385="","",IF($F385="sell_put","put",IF($F385="sell_call","call",IF($F385="roll",IF($AF385&gt;0,IF($AF385&gt;0,INDEX($AG$9:$AG$384,$AF385),""),""),IF($AF385&gt;0,IF($AF385&gt;0,INDEX($AG$9:$AG$384,$AF385),""),"")))))</f>
        <v/>
      </c>
      <c r="AH385" t="str">
        <f>IF($A385="","",IF(OR($F385="sell_put",$F385="sell_call",$F385="roll"),$I385,IF($AF385&gt;0,IF($AF385&gt;0,INDEX($AH$9:$AH$384,$AF385),0),0)))</f>
        <v/>
      </c>
      <c r="AI385" s="51" t="str">
        <f t="shared" si="94"/>
        <v/>
      </c>
      <c r="AJ385" s="51" t="str">
        <f>IF($A385="","",IFERROR(LOOKUP(2,1/($B$9:$B$384=$B385),$AM$9:$AM384),0))</f>
        <v/>
      </c>
      <c r="AK385" t="str">
        <f>IF($A385="","",IFERROR(LOOKUP(2,1/($B$9:$B$384=$B385),$AN$9:$AN384),0))</f>
        <v/>
      </c>
      <c r="AL385" s="51" t="str">
        <f t="shared" si="95"/>
        <v/>
      </c>
      <c r="AM385" s="51" t="str">
        <f t="shared" si="96"/>
        <v/>
      </c>
      <c r="AN385" t="str">
        <f t="shared" si="97"/>
        <v/>
      </c>
      <c r="AO385" s="50" t="str">
        <f>IF($A385="","",IFERROR(LOOKUP(2,1/($B$9:$B$384=$B385),$AO$9:$AO384),0)+IF($F385="sell_put",$I385*$AE385*$D385,IF($F385="roll",IF($AG385="put",($I385-IF($AF385&gt;0,INDEX($AH$9:$AH$384,$AF385),0))*$AE385*$D385,0),IF(AND(OR($F385="buy_to_close",$F385="expire",$F385="roll",$F385="assignment",$F385="called_away"),$F385&lt;&gt;"roll",$AG385="put"),-IF($AF385&gt;0,INDEX($AH$9:$AH$384,$AF385),0)*$AE385*$D385,0))))</f>
        <v/>
      </c>
      <c r="AP385" s="51" t="str">
        <f>IF($A385="","",IFERROR(LOOKUP(2,1/($B$9:$B$384=$B385),$AP$9:$AP384),0)+IF($F385="sell_put",$AE385*$D385,IF(AND(OR($F385="buy_to_close",$F385="expire",$F385="roll",$F385="assignment",$F385="called_away"),$F385&lt;&gt;"roll",$AG385="put"),-$AE385*$D385,0)))</f>
        <v/>
      </c>
      <c r="AQ385" s="51" t="str">
        <f>IF($A385="","",IFERROR(LOOKUP(2,1/($B$9:$B$384=$B385),$AQ$9:$AQ384),0)+IF(OR($F385="sell_put",$F385="sell_call"),$AE385,0)-IF(AND(OR($F385="buy_to_close",$F385="expire",$F385="roll",$F385="assignment",$F385="called_away"),$F385&lt;&gt;"roll"),$AE385,0))</f>
        <v/>
      </c>
      <c r="AR385" t="str">
        <f t="shared" si="98"/>
        <v/>
      </c>
      <c r="AS385" s="50" t="str">
        <f t="shared" si="99"/>
        <v/>
      </c>
      <c r="AT385" s="50" t="str">
        <f>IF($A385="","",MAX(IF($T385=IFERROR(LOOKUP(2,1/($B$9:$B$384=$B385),$T$9:$T384),0),IFERROR(LOOKUP(2,1/($B$9:$B$384=$B385),$AT$9:$AT384),0),0),$AS385))</f>
        <v/>
      </c>
      <c r="AU385" t="str">
        <f t="shared" si="100"/>
        <v/>
      </c>
      <c r="AV385" s="51">
        <f>IF($AU385="",0,IF(AND(IFERROR(LOOKUP(2,1/($B$9:$B$384=$B385),$AR$9:$AR384),1),NOT(AND(OR($F385="dividend",$F385="fee"),IFERROR(LOOKUP(2,1/($B$9:$B$384=$B385),$T$9:$T384),0)&gt;0))),ROW(),0))</f>
        <v>0</v>
      </c>
      <c r="AW385">
        <f>IF($A385="",0,IF($AV385&gt;0,MAX($AW$9:$AW$384)+1,MAX($AW$9:$AW$384)))</f>
        <v>0</v>
      </c>
      <c r="AX385">
        <f>IF($AU385="",0,IF(AND($AR385,OR(NOT(IFERROR(LOOKUP(2,1/($B$9:$B$384=$B385),$AR$9:$AR384),1)),IFERROR(LOOKUP(2,1/($B$9:$B$384=$B385),$T$9:$T384),0)=0)),ROW(),0))</f>
        <v>0</v>
      </c>
      <c r="AY385" t="str">
        <f t="shared" si="101"/>
        <v/>
      </c>
    </row>
    <row r="386" spans="1:51" ht="15" x14ac:dyDescent="0.25">
      <c r="A386" s="52" t="str">
        <f>IF(Trades!$A386="","",Trades!O386)</f>
        <v/>
      </c>
      <c r="B386" s="52" t="str">
        <f>IF(Trades!$A386="","",Trades!B386)</f>
        <v/>
      </c>
      <c r="C386" s="52" t="str">
        <f>IF(Trades!$A386="","",Trades!C386)</f>
        <v/>
      </c>
      <c r="D386" s="53" t="str">
        <f>IF(Trades!$A386="","",IF(Trades!$L386&gt;0,Trades!$L386,Trades!$C$6))</f>
        <v/>
      </c>
      <c r="E386" s="54" t="str">
        <f>IF(Trades!$A386="","",Trades!A386)</f>
        <v/>
      </c>
      <c r="F386" s="52" t="str">
        <f>IF(Trades!$A386="","",IFERROR(INDEX(Trades!$V$2:$V$14,MATCH(Trades!$E386,Trades!$U$2:$U$14,0)),""))</f>
        <v/>
      </c>
      <c r="G386" s="52" t="str">
        <f>IF(Trades!$A386="","",Trades!N386)</f>
        <v/>
      </c>
      <c r="H386" s="53" t="str">
        <f>IF(Trades!$A386="","",Trades!F386)</f>
        <v/>
      </c>
      <c r="I386" s="55" t="str">
        <f>IF(Trades!$A386="","",Trades!G386)</f>
        <v/>
      </c>
      <c r="J386" s="55" t="str">
        <f>IF(Trades!$A386="","",Trades!I386)</f>
        <v/>
      </c>
      <c r="K386" s="55" t="str">
        <f>IF(Trades!$A386="","",Trades!Q386)</f>
        <v/>
      </c>
      <c r="L386" s="53" t="str">
        <f>IF(Trades!$A386="","",Trades!F386)</f>
        <v/>
      </c>
      <c r="M386" s="55" t="str">
        <f>IF(Trades!$A386="","",Trades!M386)</f>
        <v/>
      </c>
      <c r="N386" s="55" t="str">
        <f>IF(Trades!$A386="","",Trades!R386)</f>
        <v/>
      </c>
      <c r="O386" s="55" t="str">
        <f>IF(Trades!$A386="","",Trades!J386)</f>
        <v/>
      </c>
      <c r="P386" s="54" t="str">
        <f>IF(Trades!$A386="","",Trades!H386)</f>
        <v/>
      </c>
      <c r="Q386" s="52" t="str">
        <f>IF(Trades!$A386="","",Trades!P386)</f>
        <v/>
      </c>
      <c r="R386" s="56" t="str">
        <f t="shared" si="85"/>
        <v/>
      </c>
      <c r="S386" s="56" t="str">
        <f t="shared" si="86"/>
        <v/>
      </c>
      <c r="T386" s="57" t="str">
        <f>IF(OR($A386="",$B386=""),"",IF(AND(IFERROR(LOOKUP(2,1/($B$9:$B$385=$B386),$AR$9:$AR385),1),NOT(AND(OR($F386="dividend",$F386="fee"),IFERROR(LOOKUP(2,1/($B$9:$B$385=$B386),$T$9:$T385),0)&gt;0))),IFERROR(LOOKUP(2,1/($B$9:$B$385=$B386),$T$9:$T385),0)+1,IFERROR(LOOKUP(2,1/($B$9:$B$385=$B386),$T$9:$T385),0)))</f>
        <v/>
      </c>
      <c r="U386" s="58" t="str">
        <f t="shared" si="87"/>
        <v/>
      </c>
      <c r="V386" s="58" t="str">
        <f>IF($A386="","",IF(OR($B386="",$C386="",$D386="",$E386="",$F386=""),"Missing required field",IF(COUNTIFS($A$9:$A386,$A386,$B$9:$B386,$B386)&gt;1,"Duplicate event ID",IF(AND($E386&lt;&gt;IFERROR(LOOKUP(2,1/($B$9:$B$385=$B386),$E$9:$E385),0),IFERROR(LOOKUP(2,1/($B$9:$B$385=$B386),$E$9:$E385),0)&gt;$E386),"Date out of order",IF(AND(OR($F386="buy_to_close",$F386="expire",$F386="roll",$F386="assignment",$F386="called_away"),$AF386=0),"Unknown lot",IF(OR(AND($F386="assignment",$AF386&gt;0,IF($AF386&gt;0,INDEX($AG$9:$AG$385,$AF386),"")&lt;&gt;"put"),AND($F386="called_away",$AF386&gt;0,IF($AF386&gt;0,INDEX($AG$9:$AG$385,$AF386),"")&lt;&gt;"call")),"Wrong option leg",IF(OR(AND(OR($F386="sell_put",$F386="sell_call"),OR($H386&lt;=0,$I386&lt;=0,$J386&lt;0)),AND(OR($F386="buy_to_close",$F386="expire",$F386="assignment",$F386="called_away"),OR($H386&lt;=0,$J386&lt;0)),AND($F386="roll",OR($H386&lt;=0,$I386&lt;=0,$J386&lt;0,$K386&lt;0)),AND(OR($F386="buy_shares",$F386="sell_shares"),OR($L386&lt;=0,$M386&lt;0)),AND(OR($F386="dividend",$F386="fee"),$N386&lt;0)),"Invalid value",IF(AND(OR($F386="sell_shares",$F386="called_away"),$AL386&lt;IF($F386="called_away",$AE386*$D386,$L386)),"Insufficient shares (capped)",IF(AND(OR($F386="buy_to_close",$F386="expire",$F386="roll",$F386="assignment",$F386="called_away"),$AF386&gt;0,$H386&gt;IF($AF386&gt;0,MAX(0,INDEX($AI$9:$AI$385,$AF386)-SUMIFS($AE$9:$AE$385,$G$9:$G$385,$G386,$B$9:$B$385,$B386)),0)),"Close quantity capped","OK")))))))))</f>
        <v/>
      </c>
      <c r="W386" s="59" t="str">
        <f t="shared" si="88"/>
        <v/>
      </c>
      <c r="X386" s="60" t="str">
        <f t="shared" si="89"/>
        <v/>
      </c>
      <c r="Y386" s="50" t="str">
        <f t="shared" si="90"/>
        <v/>
      </c>
      <c r="Z386" s="50" t="str">
        <f t="shared" si="91"/>
        <v/>
      </c>
      <c r="AA386" s="50" t="str">
        <f t="shared" si="92"/>
        <v/>
      </c>
      <c r="AB386" s="50" t="str">
        <f t="shared" si="93"/>
        <v/>
      </c>
      <c r="AC386" s="50" t="str">
        <f>IF($A386="","",IF($F386="assignment",IF($AF386&gt;0,INDEX($AH$9:$AH$385,$AF386),0)*$AE386*$D386,IF($F386="buy_shares",$M386*$AL386,0)))</f>
        <v/>
      </c>
      <c r="AD386" s="50" t="str">
        <f>IF($A386="","",IF($F386="called_away",IF($AF386&gt;0,INDEX($AH$9:$AH$385,$AF386),0)*$AL386,IF($F386="sell_shares",$M386*$AL386,0)))</f>
        <v/>
      </c>
      <c r="AE386" s="51" t="str">
        <f>IF($A386="","",IF(OR($F386="sell_put",$F386="sell_call"),IF(AND($H386&gt;0,$I386&gt;0,$J386&gt;=0),$H386,0),IF(OR($F386="buy_to_close",$F386="expire",$F386="roll",$F386="assignment",$F386="called_away"),IF(AND($AF386&gt;0,$H386&gt;0,IF($F386="assignment",IF($AF386&gt;0,INDEX($AG$9:$AG$385,$AF386),"")="put",TRUE),IF($F386="called_away",IF($AF386&gt;0,INDEX($AG$9:$AG$385,$AF386),"")="call",TRUE)),MIN($H386,IF($AF386&gt;0,MAX(0,INDEX($AI$9:$AI$385,$AF386)-SUMIFS($AE$9:$AE$385,$G$9:$G$385,$G386,$B$9:$B$385,$B386)),0)),0),0)))</f>
        <v/>
      </c>
      <c r="AF386" t="str">
        <f>IF($A386="","",IFERROR(MATCH(LEN($B386)&amp;":"&amp;$B386&amp;$G386,$AY$9:$AY$385,0),0))</f>
        <v/>
      </c>
      <c r="AG386" t="str">
        <f>IF($A386="","",IF($F386="sell_put","put",IF($F386="sell_call","call",IF($F386="roll",IF($AF386&gt;0,IF($AF386&gt;0,INDEX($AG$9:$AG$385,$AF386),""),""),IF($AF386&gt;0,IF($AF386&gt;0,INDEX($AG$9:$AG$385,$AF386),""),"")))))</f>
        <v/>
      </c>
      <c r="AH386" t="str">
        <f>IF($A386="","",IF(OR($F386="sell_put",$F386="sell_call",$F386="roll"),$I386,IF($AF386&gt;0,IF($AF386&gt;0,INDEX($AH$9:$AH$385,$AF386),0),0)))</f>
        <v/>
      </c>
      <c r="AI386" s="51" t="str">
        <f t="shared" si="94"/>
        <v/>
      </c>
      <c r="AJ386" s="51" t="str">
        <f>IF($A386="","",IFERROR(LOOKUP(2,1/($B$9:$B$385=$B386),$AM$9:$AM385),0))</f>
        <v/>
      </c>
      <c r="AK386" t="str">
        <f>IF($A386="","",IFERROR(LOOKUP(2,1/($B$9:$B$385=$B386),$AN$9:$AN385),0))</f>
        <v/>
      </c>
      <c r="AL386" s="51" t="str">
        <f t="shared" si="95"/>
        <v/>
      </c>
      <c r="AM386" s="51" t="str">
        <f t="shared" si="96"/>
        <v/>
      </c>
      <c r="AN386" t="str">
        <f t="shared" si="97"/>
        <v/>
      </c>
      <c r="AO386" s="50" t="str">
        <f>IF($A386="","",IFERROR(LOOKUP(2,1/($B$9:$B$385=$B386),$AO$9:$AO385),0)+IF($F386="sell_put",$I386*$AE386*$D386,IF($F386="roll",IF($AG386="put",($I386-IF($AF386&gt;0,INDEX($AH$9:$AH$385,$AF386),0))*$AE386*$D386,0),IF(AND(OR($F386="buy_to_close",$F386="expire",$F386="roll",$F386="assignment",$F386="called_away"),$F386&lt;&gt;"roll",$AG386="put"),-IF($AF386&gt;0,INDEX($AH$9:$AH$385,$AF386),0)*$AE386*$D386,0))))</f>
        <v/>
      </c>
      <c r="AP386" s="51" t="str">
        <f>IF($A386="","",IFERROR(LOOKUP(2,1/($B$9:$B$385=$B386),$AP$9:$AP385),0)+IF($F386="sell_put",$AE386*$D386,IF(AND(OR($F386="buy_to_close",$F386="expire",$F386="roll",$F386="assignment",$F386="called_away"),$F386&lt;&gt;"roll",$AG386="put"),-$AE386*$D386,0)))</f>
        <v/>
      </c>
      <c r="AQ386" s="51" t="str">
        <f>IF($A386="","",IFERROR(LOOKUP(2,1/($B$9:$B$385=$B386),$AQ$9:$AQ385),0)+IF(OR($F386="sell_put",$F386="sell_call"),$AE386,0)-IF(AND(OR($F386="buy_to_close",$F386="expire",$F386="roll",$F386="assignment",$F386="called_away"),$F386&lt;&gt;"roll"),$AE386,0))</f>
        <v/>
      </c>
      <c r="AR386" t="str">
        <f t="shared" si="98"/>
        <v/>
      </c>
      <c r="AS386" s="50" t="str">
        <f t="shared" si="99"/>
        <v/>
      </c>
      <c r="AT386" s="50" t="str">
        <f>IF($A386="","",MAX(IF($T386=IFERROR(LOOKUP(2,1/($B$9:$B$385=$B386),$T$9:$T385),0),IFERROR(LOOKUP(2,1/($B$9:$B$385=$B386),$AT$9:$AT385),0),0),$AS386))</f>
        <v/>
      </c>
      <c r="AU386" t="str">
        <f t="shared" si="100"/>
        <v/>
      </c>
      <c r="AV386" s="51">
        <f>IF($AU386="",0,IF(AND(IFERROR(LOOKUP(2,1/($B$9:$B$385=$B386),$AR$9:$AR385),1),NOT(AND(OR($F386="dividend",$F386="fee"),IFERROR(LOOKUP(2,1/($B$9:$B$385=$B386),$T$9:$T385),0)&gt;0))),ROW(),0))</f>
        <v>0</v>
      </c>
      <c r="AW386">
        <f>IF($A386="",0,IF($AV386&gt;0,MAX($AW$9:$AW$385)+1,MAX($AW$9:$AW$385)))</f>
        <v>0</v>
      </c>
      <c r="AX386">
        <f>IF($AU386="",0,IF(AND($AR386,OR(NOT(IFERROR(LOOKUP(2,1/($B$9:$B$385=$B386),$AR$9:$AR385),1)),IFERROR(LOOKUP(2,1/($B$9:$B$385=$B386),$T$9:$T385),0)=0)),ROW(),0))</f>
        <v>0</v>
      </c>
      <c r="AY386" t="str">
        <f t="shared" si="101"/>
        <v/>
      </c>
    </row>
    <row r="387" spans="1:51" ht="15" x14ac:dyDescent="0.25">
      <c r="A387" s="41" t="str">
        <f>IF(Trades!$A387="","",Trades!O387)</f>
        <v/>
      </c>
      <c r="B387" s="41" t="str">
        <f>IF(Trades!$A387="","",Trades!B387)</f>
        <v/>
      </c>
      <c r="C387" s="41" t="str">
        <f>IF(Trades!$A387="","",Trades!C387)</f>
        <v/>
      </c>
      <c r="D387" s="42" t="str">
        <f>IF(Trades!$A387="","",IF(Trades!$L387&gt;0,Trades!$L387,Trades!$C$6))</f>
        <v/>
      </c>
      <c r="E387" s="43" t="str">
        <f>IF(Trades!$A387="","",Trades!A387)</f>
        <v/>
      </c>
      <c r="F387" s="41" t="str">
        <f>IF(Trades!$A387="","",IFERROR(INDEX(Trades!$V$2:$V$14,MATCH(Trades!$E387,Trades!$U$2:$U$14,0)),""))</f>
        <v/>
      </c>
      <c r="G387" s="41" t="str">
        <f>IF(Trades!$A387="","",Trades!N387)</f>
        <v/>
      </c>
      <c r="H387" s="42" t="str">
        <f>IF(Trades!$A387="","",Trades!F387)</f>
        <v/>
      </c>
      <c r="I387" s="44" t="str">
        <f>IF(Trades!$A387="","",Trades!G387)</f>
        <v/>
      </c>
      <c r="J387" s="44" t="str">
        <f>IF(Trades!$A387="","",Trades!I387)</f>
        <v/>
      </c>
      <c r="K387" s="44" t="str">
        <f>IF(Trades!$A387="","",Trades!Q387)</f>
        <v/>
      </c>
      <c r="L387" s="42" t="str">
        <f>IF(Trades!$A387="","",Trades!F387)</f>
        <v/>
      </c>
      <c r="M387" s="44" t="str">
        <f>IF(Trades!$A387="","",Trades!M387)</f>
        <v/>
      </c>
      <c r="N387" s="44" t="str">
        <f>IF(Trades!$A387="","",Trades!R387)</f>
        <v/>
      </c>
      <c r="O387" s="44" t="str">
        <f>IF(Trades!$A387="","",Trades!J387)</f>
        <v/>
      </c>
      <c r="P387" s="43" t="str">
        <f>IF(Trades!$A387="","",Trades!H387)</f>
        <v/>
      </c>
      <c r="Q387" s="41" t="str">
        <f>IF(Trades!$A387="","",Trades!P387)</f>
        <v/>
      </c>
      <c r="R387" s="45" t="str">
        <f t="shared" si="85"/>
        <v/>
      </c>
      <c r="S387" s="45" t="str">
        <f t="shared" si="86"/>
        <v/>
      </c>
      <c r="T387" s="46" t="str">
        <f>IF(OR($A387="",$B387=""),"",IF(AND(IFERROR(LOOKUP(2,1/($B$9:$B$386=$B387),$AR$9:$AR386),1),NOT(AND(OR($F387="dividend",$F387="fee"),IFERROR(LOOKUP(2,1/($B$9:$B$386=$B387),$T$9:$T386),0)&gt;0))),IFERROR(LOOKUP(2,1/($B$9:$B$386=$B387),$T$9:$T386),0)+1,IFERROR(LOOKUP(2,1/($B$9:$B$386=$B387),$T$9:$T386),0)))</f>
        <v/>
      </c>
      <c r="U387" s="47" t="str">
        <f t="shared" si="87"/>
        <v/>
      </c>
      <c r="V387" s="47" t="str">
        <f>IF($A387="","",IF(OR($B387="",$C387="",$D387="",$E387="",$F387=""),"Missing required field",IF(COUNTIFS($A$9:$A387,$A387,$B$9:$B387,$B387)&gt;1,"Duplicate event ID",IF(AND($E387&lt;&gt;IFERROR(LOOKUP(2,1/($B$9:$B$386=$B387),$E$9:$E386),0),IFERROR(LOOKUP(2,1/($B$9:$B$386=$B387),$E$9:$E386),0)&gt;$E387),"Date out of order",IF(AND(OR($F387="buy_to_close",$F387="expire",$F387="roll",$F387="assignment",$F387="called_away"),$AF387=0),"Unknown lot",IF(OR(AND($F387="assignment",$AF387&gt;0,IF($AF387&gt;0,INDEX($AG$9:$AG$386,$AF387),"")&lt;&gt;"put"),AND($F387="called_away",$AF387&gt;0,IF($AF387&gt;0,INDEX($AG$9:$AG$386,$AF387),"")&lt;&gt;"call")),"Wrong option leg",IF(OR(AND(OR($F387="sell_put",$F387="sell_call"),OR($H387&lt;=0,$I387&lt;=0,$J387&lt;0)),AND(OR($F387="buy_to_close",$F387="expire",$F387="assignment",$F387="called_away"),OR($H387&lt;=0,$J387&lt;0)),AND($F387="roll",OR($H387&lt;=0,$I387&lt;=0,$J387&lt;0,$K387&lt;0)),AND(OR($F387="buy_shares",$F387="sell_shares"),OR($L387&lt;=0,$M387&lt;0)),AND(OR($F387="dividend",$F387="fee"),$N387&lt;0)),"Invalid value",IF(AND(OR($F387="sell_shares",$F387="called_away"),$AL387&lt;IF($F387="called_away",$AE387*$D387,$L387)),"Insufficient shares (capped)",IF(AND(OR($F387="buy_to_close",$F387="expire",$F387="roll",$F387="assignment",$F387="called_away"),$AF387&gt;0,$H387&gt;IF($AF387&gt;0,MAX(0,INDEX($AI$9:$AI$386,$AF387)-SUMIFS($AE$9:$AE$386,$G$9:$G$386,$G387,$B$9:$B$386,$B387)),0)),"Close quantity capped","OK")))))))))</f>
        <v/>
      </c>
      <c r="W387" s="48" t="str">
        <f t="shared" si="88"/>
        <v/>
      </c>
      <c r="X387" s="49" t="str">
        <f t="shared" si="89"/>
        <v/>
      </c>
      <c r="Y387" s="50" t="str">
        <f t="shared" si="90"/>
        <v/>
      </c>
      <c r="Z387" s="50" t="str">
        <f t="shared" si="91"/>
        <v/>
      </c>
      <c r="AA387" s="50" t="str">
        <f t="shared" si="92"/>
        <v/>
      </c>
      <c r="AB387" s="50" t="str">
        <f t="shared" si="93"/>
        <v/>
      </c>
      <c r="AC387" s="50" t="str">
        <f>IF($A387="","",IF($F387="assignment",IF($AF387&gt;0,INDEX($AH$9:$AH$386,$AF387),0)*$AE387*$D387,IF($F387="buy_shares",$M387*$AL387,0)))</f>
        <v/>
      </c>
      <c r="AD387" s="50" t="str">
        <f>IF($A387="","",IF($F387="called_away",IF($AF387&gt;0,INDEX($AH$9:$AH$386,$AF387),0)*$AL387,IF($F387="sell_shares",$M387*$AL387,0)))</f>
        <v/>
      </c>
      <c r="AE387" s="51" t="str">
        <f>IF($A387="","",IF(OR($F387="sell_put",$F387="sell_call"),IF(AND($H387&gt;0,$I387&gt;0,$J387&gt;=0),$H387,0),IF(OR($F387="buy_to_close",$F387="expire",$F387="roll",$F387="assignment",$F387="called_away"),IF(AND($AF387&gt;0,$H387&gt;0,IF($F387="assignment",IF($AF387&gt;0,INDEX($AG$9:$AG$386,$AF387),"")="put",TRUE),IF($F387="called_away",IF($AF387&gt;0,INDEX($AG$9:$AG$386,$AF387),"")="call",TRUE)),MIN($H387,IF($AF387&gt;0,MAX(0,INDEX($AI$9:$AI$386,$AF387)-SUMIFS($AE$9:$AE$386,$G$9:$G$386,$G387,$B$9:$B$386,$B387)),0)),0),0)))</f>
        <v/>
      </c>
      <c r="AF387" t="str">
        <f>IF($A387="","",IFERROR(MATCH(LEN($B387)&amp;":"&amp;$B387&amp;$G387,$AY$9:$AY$386,0),0))</f>
        <v/>
      </c>
      <c r="AG387" t="str">
        <f>IF($A387="","",IF($F387="sell_put","put",IF($F387="sell_call","call",IF($F387="roll",IF($AF387&gt;0,IF($AF387&gt;0,INDEX($AG$9:$AG$386,$AF387),""),""),IF($AF387&gt;0,IF($AF387&gt;0,INDEX($AG$9:$AG$386,$AF387),""),"")))))</f>
        <v/>
      </c>
      <c r="AH387" t="str">
        <f>IF($A387="","",IF(OR($F387="sell_put",$F387="sell_call",$F387="roll"),$I387,IF($AF387&gt;0,IF($AF387&gt;0,INDEX($AH$9:$AH$386,$AF387),0),0)))</f>
        <v/>
      </c>
      <c r="AI387" s="51" t="str">
        <f t="shared" si="94"/>
        <v/>
      </c>
      <c r="AJ387" s="51" t="str">
        <f>IF($A387="","",IFERROR(LOOKUP(2,1/($B$9:$B$386=$B387),$AM$9:$AM386),0))</f>
        <v/>
      </c>
      <c r="AK387" t="str">
        <f>IF($A387="","",IFERROR(LOOKUP(2,1/($B$9:$B$386=$B387),$AN$9:$AN386),0))</f>
        <v/>
      </c>
      <c r="AL387" s="51" t="str">
        <f t="shared" si="95"/>
        <v/>
      </c>
      <c r="AM387" s="51" t="str">
        <f t="shared" si="96"/>
        <v/>
      </c>
      <c r="AN387" t="str">
        <f t="shared" si="97"/>
        <v/>
      </c>
      <c r="AO387" s="50" t="str">
        <f>IF($A387="","",IFERROR(LOOKUP(2,1/($B$9:$B$386=$B387),$AO$9:$AO386),0)+IF($F387="sell_put",$I387*$AE387*$D387,IF($F387="roll",IF($AG387="put",($I387-IF($AF387&gt;0,INDEX($AH$9:$AH$386,$AF387),0))*$AE387*$D387,0),IF(AND(OR($F387="buy_to_close",$F387="expire",$F387="roll",$F387="assignment",$F387="called_away"),$F387&lt;&gt;"roll",$AG387="put"),-IF($AF387&gt;0,INDEX($AH$9:$AH$386,$AF387),0)*$AE387*$D387,0))))</f>
        <v/>
      </c>
      <c r="AP387" s="51" t="str">
        <f>IF($A387="","",IFERROR(LOOKUP(2,1/($B$9:$B$386=$B387),$AP$9:$AP386),0)+IF($F387="sell_put",$AE387*$D387,IF(AND(OR($F387="buy_to_close",$F387="expire",$F387="roll",$F387="assignment",$F387="called_away"),$F387&lt;&gt;"roll",$AG387="put"),-$AE387*$D387,0)))</f>
        <v/>
      </c>
      <c r="AQ387" s="51" t="str">
        <f>IF($A387="","",IFERROR(LOOKUP(2,1/($B$9:$B$386=$B387),$AQ$9:$AQ386),0)+IF(OR($F387="sell_put",$F387="sell_call"),$AE387,0)-IF(AND(OR($F387="buy_to_close",$F387="expire",$F387="roll",$F387="assignment",$F387="called_away"),$F387&lt;&gt;"roll"),$AE387,0))</f>
        <v/>
      </c>
      <c r="AR387" t="str">
        <f t="shared" si="98"/>
        <v/>
      </c>
      <c r="AS387" s="50" t="str">
        <f t="shared" si="99"/>
        <v/>
      </c>
      <c r="AT387" s="50" t="str">
        <f>IF($A387="","",MAX(IF($T387=IFERROR(LOOKUP(2,1/($B$9:$B$386=$B387),$T$9:$T386),0),IFERROR(LOOKUP(2,1/($B$9:$B$386=$B387),$AT$9:$AT386),0),0),$AS387))</f>
        <v/>
      </c>
      <c r="AU387" t="str">
        <f t="shared" si="100"/>
        <v/>
      </c>
      <c r="AV387" s="51">
        <f>IF($AU387="",0,IF(AND(IFERROR(LOOKUP(2,1/($B$9:$B$386=$B387),$AR$9:$AR386),1),NOT(AND(OR($F387="dividend",$F387="fee"),IFERROR(LOOKUP(2,1/($B$9:$B$386=$B387),$T$9:$T386),0)&gt;0))),ROW(),0))</f>
        <v>0</v>
      </c>
      <c r="AW387">
        <f>IF($A387="",0,IF($AV387&gt;0,MAX($AW$9:$AW$386)+1,MAX($AW$9:$AW$386)))</f>
        <v>0</v>
      </c>
      <c r="AX387">
        <f>IF($AU387="",0,IF(AND($AR387,OR(NOT(IFERROR(LOOKUP(2,1/($B$9:$B$386=$B387),$AR$9:$AR386),1)),IFERROR(LOOKUP(2,1/($B$9:$B$386=$B387),$T$9:$T386),0)=0)),ROW(),0))</f>
        <v>0</v>
      </c>
      <c r="AY387" t="str">
        <f t="shared" si="101"/>
        <v/>
      </c>
    </row>
    <row r="388" spans="1:51" ht="15" x14ac:dyDescent="0.25">
      <c r="A388" s="52" t="str">
        <f>IF(Trades!$A388="","",Trades!O388)</f>
        <v/>
      </c>
      <c r="B388" s="52" t="str">
        <f>IF(Trades!$A388="","",Trades!B388)</f>
        <v/>
      </c>
      <c r="C388" s="52" t="str">
        <f>IF(Trades!$A388="","",Trades!C388)</f>
        <v/>
      </c>
      <c r="D388" s="53" t="str">
        <f>IF(Trades!$A388="","",IF(Trades!$L388&gt;0,Trades!$L388,Trades!$C$6))</f>
        <v/>
      </c>
      <c r="E388" s="54" t="str">
        <f>IF(Trades!$A388="","",Trades!A388)</f>
        <v/>
      </c>
      <c r="F388" s="52" t="str">
        <f>IF(Trades!$A388="","",IFERROR(INDEX(Trades!$V$2:$V$14,MATCH(Trades!$E388,Trades!$U$2:$U$14,0)),""))</f>
        <v/>
      </c>
      <c r="G388" s="52" t="str">
        <f>IF(Trades!$A388="","",Trades!N388)</f>
        <v/>
      </c>
      <c r="H388" s="53" t="str">
        <f>IF(Trades!$A388="","",Trades!F388)</f>
        <v/>
      </c>
      <c r="I388" s="55" t="str">
        <f>IF(Trades!$A388="","",Trades!G388)</f>
        <v/>
      </c>
      <c r="J388" s="55" t="str">
        <f>IF(Trades!$A388="","",Trades!I388)</f>
        <v/>
      </c>
      <c r="K388" s="55" t="str">
        <f>IF(Trades!$A388="","",Trades!Q388)</f>
        <v/>
      </c>
      <c r="L388" s="53" t="str">
        <f>IF(Trades!$A388="","",Trades!F388)</f>
        <v/>
      </c>
      <c r="M388" s="55" t="str">
        <f>IF(Trades!$A388="","",Trades!M388)</f>
        <v/>
      </c>
      <c r="N388" s="55" t="str">
        <f>IF(Trades!$A388="","",Trades!R388)</f>
        <v/>
      </c>
      <c r="O388" s="55" t="str">
        <f>IF(Trades!$A388="","",Trades!J388)</f>
        <v/>
      </c>
      <c r="P388" s="54" t="str">
        <f>IF(Trades!$A388="","",Trades!H388)</f>
        <v/>
      </c>
      <c r="Q388" s="52" t="str">
        <f>IF(Trades!$A388="","",Trades!P388)</f>
        <v/>
      </c>
      <c r="R388" s="56" t="str">
        <f t="shared" si="85"/>
        <v/>
      </c>
      <c r="S388" s="56" t="str">
        <f t="shared" si="86"/>
        <v/>
      </c>
      <c r="T388" s="57" t="str">
        <f>IF(OR($A388="",$B388=""),"",IF(AND(IFERROR(LOOKUP(2,1/($B$9:$B$387=$B388),$AR$9:$AR387),1),NOT(AND(OR($F388="dividend",$F388="fee"),IFERROR(LOOKUP(2,1/($B$9:$B$387=$B388),$T$9:$T387),0)&gt;0))),IFERROR(LOOKUP(2,1/($B$9:$B$387=$B388),$T$9:$T387),0)+1,IFERROR(LOOKUP(2,1/($B$9:$B$387=$B388),$T$9:$T387),0)))</f>
        <v/>
      </c>
      <c r="U388" s="58" t="str">
        <f t="shared" si="87"/>
        <v/>
      </c>
      <c r="V388" s="58" t="str">
        <f>IF($A388="","",IF(OR($B388="",$C388="",$D388="",$E388="",$F388=""),"Missing required field",IF(COUNTIFS($A$9:$A388,$A388,$B$9:$B388,$B388)&gt;1,"Duplicate event ID",IF(AND($E388&lt;&gt;IFERROR(LOOKUP(2,1/($B$9:$B$387=$B388),$E$9:$E387),0),IFERROR(LOOKUP(2,1/($B$9:$B$387=$B388),$E$9:$E387),0)&gt;$E388),"Date out of order",IF(AND(OR($F388="buy_to_close",$F388="expire",$F388="roll",$F388="assignment",$F388="called_away"),$AF388=0),"Unknown lot",IF(OR(AND($F388="assignment",$AF388&gt;0,IF($AF388&gt;0,INDEX($AG$9:$AG$387,$AF388),"")&lt;&gt;"put"),AND($F388="called_away",$AF388&gt;0,IF($AF388&gt;0,INDEX($AG$9:$AG$387,$AF388),"")&lt;&gt;"call")),"Wrong option leg",IF(OR(AND(OR($F388="sell_put",$F388="sell_call"),OR($H388&lt;=0,$I388&lt;=0,$J388&lt;0)),AND(OR($F388="buy_to_close",$F388="expire",$F388="assignment",$F388="called_away"),OR($H388&lt;=0,$J388&lt;0)),AND($F388="roll",OR($H388&lt;=0,$I388&lt;=0,$J388&lt;0,$K388&lt;0)),AND(OR($F388="buy_shares",$F388="sell_shares"),OR($L388&lt;=0,$M388&lt;0)),AND(OR($F388="dividend",$F388="fee"),$N388&lt;0)),"Invalid value",IF(AND(OR($F388="sell_shares",$F388="called_away"),$AL388&lt;IF($F388="called_away",$AE388*$D388,$L388)),"Insufficient shares (capped)",IF(AND(OR($F388="buy_to_close",$F388="expire",$F388="roll",$F388="assignment",$F388="called_away"),$AF388&gt;0,$H388&gt;IF($AF388&gt;0,MAX(0,INDEX($AI$9:$AI$387,$AF388)-SUMIFS($AE$9:$AE$387,$G$9:$G$387,$G388,$B$9:$B$387,$B388)),0)),"Close quantity capped","OK")))))))))</f>
        <v/>
      </c>
      <c r="W388" s="59" t="str">
        <f t="shared" si="88"/>
        <v/>
      </c>
      <c r="X388" s="60" t="str">
        <f t="shared" si="89"/>
        <v/>
      </c>
      <c r="Y388" s="50" t="str">
        <f t="shared" si="90"/>
        <v/>
      </c>
      <c r="Z388" s="50" t="str">
        <f t="shared" si="91"/>
        <v/>
      </c>
      <c r="AA388" s="50" t="str">
        <f t="shared" si="92"/>
        <v/>
      </c>
      <c r="AB388" s="50" t="str">
        <f t="shared" si="93"/>
        <v/>
      </c>
      <c r="AC388" s="50" t="str">
        <f>IF($A388="","",IF($F388="assignment",IF($AF388&gt;0,INDEX($AH$9:$AH$387,$AF388),0)*$AE388*$D388,IF($F388="buy_shares",$M388*$AL388,0)))</f>
        <v/>
      </c>
      <c r="AD388" s="50" t="str">
        <f>IF($A388="","",IF($F388="called_away",IF($AF388&gt;0,INDEX($AH$9:$AH$387,$AF388),0)*$AL388,IF($F388="sell_shares",$M388*$AL388,0)))</f>
        <v/>
      </c>
      <c r="AE388" s="51" t="str">
        <f>IF($A388="","",IF(OR($F388="sell_put",$F388="sell_call"),IF(AND($H388&gt;0,$I388&gt;0,$J388&gt;=0),$H388,0),IF(OR($F388="buy_to_close",$F388="expire",$F388="roll",$F388="assignment",$F388="called_away"),IF(AND($AF388&gt;0,$H388&gt;0,IF($F388="assignment",IF($AF388&gt;0,INDEX($AG$9:$AG$387,$AF388),"")="put",TRUE),IF($F388="called_away",IF($AF388&gt;0,INDEX($AG$9:$AG$387,$AF388),"")="call",TRUE)),MIN($H388,IF($AF388&gt;0,MAX(0,INDEX($AI$9:$AI$387,$AF388)-SUMIFS($AE$9:$AE$387,$G$9:$G$387,$G388,$B$9:$B$387,$B388)),0)),0),0)))</f>
        <v/>
      </c>
      <c r="AF388" t="str">
        <f>IF($A388="","",IFERROR(MATCH(LEN($B388)&amp;":"&amp;$B388&amp;$G388,$AY$9:$AY$387,0),0))</f>
        <v/>
      </c>
      <c r="AG388" t="str">
        <f>IF($A388="","",IF($F388="sell_put","put",IF($F388="sell_call","call",IF($F388="roll",IF($AF388&gt;0,IF($AF388&gt;0,INDEX($AG$9:$AG$387,$AF388),""),""),IF($AF388&gt;0,IF($AF388&gt;0,INDEX($AG$9:$AG$387,$AF388),""),"")))))</f>
        <v/>
      </c>
      <c r="AH388" t="str">
        <f>IF($A388="","",IF(OR($F388="sell_put",$F388="sell_call",$F388="roll"),$I388,IF($AF388&gt;0,IF($AF388&gt;0,INDEX($AH$9:$AH$387,$AF388),0),0)))</f>
        <v/>
      </c>
      <c r="AI388" s="51" t="str">
        <f t="shared" si="94"/>
        <v/>
      </c>
      <c r="AJ388" s="51" t="str">
        <f>IF($A388="","",IFERROR(LOOKUP(2,1/($B$9:$B$387=$B388),$AM$9:$AM387),0))</f>
        <v/>
      </c>
      <c r="AK388" t="str">
        <f>IF($A388="","",IFERROR(LOOKUP(2,1/($B$9:$B$387=$B388),$AN$9:$AN387),0))</f>
        <v/>
      </c>
      <c r="AL388" s="51" t="str">
        <f t="shared" si="95"/>
        <v/>
      </c>
      <c r="AM388" s="51" t="str">
        <f t="shared" si="96"/>
        <v/>
      </c>
      <c r="AN388" t="str">
        <f t="shared" si="97"/>
        <v/>
      </c>
      <c r="AO388" s="50" t="str">
        <f>IF($A388="","",IFERROR(LOOKUP(2,1/($B$9:$B$387=$B388),$AO$9:$AO387),0)+IF($F388="sell_put",$I388*$AE388*$D388,IF($F388="roll",IF($AG388="put",($I388-IF($AF388&gt;0,INDEX($AH$9:$AH$387,$AF388),0))*$AE388*$D388,0),IF(AND(OR($F388="buy_to_close",$F388="expire",$F388="roll",$F388="assignment",$F388="called_away"),$F388&lt;&gt;"roll",$AG388="put"),-IF($AF388&gt;0,INDEX($AH$9:$AH$387,$AF388),0)*$AE388*$D388,0))))</f>
        <v/>
      </c>
      <c r="AP388" s="51" t="str">
        <f>IF($A388="","",IFERROR(LOOKUP(2,1/($B$9:$B$387=$B388),$AP$9:$AP387),0)+IF($F388="sell_put",$AE388*$D388,IF(AND(OR($F388="buy_to_close",$F388="expire",$F388="roll",$F388="assignment",$F388="called_away"),$F388&lt;&gt;"roll",$AG388="put"),-$AE388*$D388,0)))</f>
        <v/>
      </c>
      <c r="AQ388" s="51" t="str">
        <f>IF($A388="","",IFERROR(LOOKUP(2,1/($B$9:$B$387=$B388),$AQ$9:$AQ387),0)+IF(OR($F388="sell_put",$F388="sell_call"),$AE388,0)-IF(AND(OR($F388="buy_to_close",$F388="expire",$F388="roll",$F388="assignment",$F388="called_away"),$F388&lt;&gt;"roll"),$AE388,0))</f>
        <v/>
      </c>
      <c r="AR388" t="str">
        <f t="shared" si="98"/>
        <v/>
      </c>
      <c r="AS388" s="50" t="str">
        <f t="shared" si="99"/>
        <v/>
      </c>
      <c r="AT388" s="50" t="str">
        <f>IF($A388="","",MAX(IF($T388=IFERROR(LOOKUP(2,1/($B$9:$B$387=$B388),$T$9:$T387),0),IFERROR(LOOKUP(2,1/($B$9:$B$387=$B388),$AT$9:$AT387),0),0),$AS388))</f>
        <v/>
      </c>
      <c r="AU388" t="str">
        <f t="shared" si="100"/>
        <v/>
      </c>
      <c r="AV388" s="51">
        <f>IF($AU388="",0,IF(AND(IFERROR(LOOKUP(2,1/($B$9:$B$387=$B388),$AR$9:$AR387),1),NOT(AND(OR($F388="dividend",$F388="fee"),IFERROR(LOOKUP(2,1/($B$9:$B$387=$B388),$T$9:$T387),0)&gt;0))),ROW(),0))</f>
        <v>0</v>
      </c>
      <c r="AW388">
        <f>IF($A388="",0,IF($AV388&gt;0,MAX($AW$9:$AW$387)+1,MAX($AW$9:$AW$387)))</f>
        <v>0</v>
      </c>
      <c r="AX388">
        <f>IF($AU388="",0,IF(AND($AR388,OR(NOT(IFERROR(LOOKUP(2,1/($B$9:$B$387=$B388),$AR$9:$AR387),1)),IFERROR(LOOKUP(2,1/($B$9:$B$387=$B388),$T$9:$T387),0)=0)),ROW(),0))</f>
        <v>0</v>
      </c>
      <c r="AY388" t="str">
        <f t="shared" si="101"/>
        <v/>
      </c>
    </row>
    <row r="389" spans="1:51" ht="15" x14ac:dyDescent="0.25">
      <c r="A389" s="41" t="str">
        <f>IF(Trades!$A389="","",Trades!O389)</f>
        <v/>
      </c>
      <c r="B389" s="41" t="str">
        <f>IF(Trades!$A389="","",Trades!B389)</f>
        <v/>
      </c>
      <c r="C389" s="41" t="str">
        <f>IF(Trades!$A389="","",Trades!C389)</f>
        <v/>
      </c>
      <c r="D389" s="42" t="str">
        <f>IF(Trades!$A389="","",IF(Trades!$L389&gt;0,Trades!$L389,Trades!$C$6))</f>
        <v/>
      </c>
      <c r="E389" s="43" t="str">
        <f>IF(Trades!$A389="","",Trades!A389)</f>
        <v/>
      </c>
      <c r="F389" s="41" t="str">
        <f>IF(Trades!$A389="","",IFERROR(INDEX(Trades!$V$2:$V$14,MATCH(Trades!$E389,Trades!$U$2:$U$14,0)),""))</f>
        <v/>
      </c>
      <c r="G389" s="41" t="str">
        <f>IF(Trades!$A389="","",Trades!N389)</f>
        <v/>
      </c>
      <c r="H389" s="42" t="str">
        <f>IF(Trades!$A389="","",Trades!F389)</f>
        <v/>
      </c>
      <c r="I389" s="44" t="str">
        <f>IF(Trades!$A389="","",Trades!G389)</f>
        <v/>
      </c>
      <c r="J389" s="44" t="str">
        <f>IF(Trades!$A389="","",Trades!I389)</f>
        <v/>
      </c>
      <c r="K389" s="44" t="str">
        <f>IF(Trades!$A389="","",Trades!Q389)</f>
        <v/>
      </c>
      <c r="L389" s="42" t="str">
        <f>IF(Trades!$A389="","",Trades!F389)</f>
        <v/>
      </c>
      <c r="M389" s="44" t="str">
        <f>IF(Trades!$A389="","",Trades!M389)</f>
        <v/>
      </c>
      <c r="N389" s="44" t="str">
        <f>IF(Trades!$A389="","",Trades!R389)</f>
        <v/>
      </c>
      <c r="O389" s="44" t="str">
        <f>IF(Trades!$A389="","",Trades!J389)</f>
        <v/>
      </c>
      <c r="P389" s="43" t="str">
        <f>IF(Trades!$A389="","",Trades!H389)</f>
        <v/>
      </c>
      <c r="Q389" s="41" t="str">
        <f>IF(Trades!$A389="","",Trades!P389)</f>
        <v/>
      </c>
      <c r="R389" s="45" t="str">
        <f t="shared" si="85"/>
        <v/>
      </c>
      <c r="S389" s="45" t="str">
        <f t="shared" si="86"/>
        <v/>
      </c>
      <c r="T389" s="46" t="str">
        <f>IF(OR($A389="",$B389=""),"",IF(AND(IFERROR(LOOKUP(2,1/($B$9:$B$388=$B389),$AR$9:$AR388),1),NOT(AND(OR($F389="dividend",$F389="fee"),IFERROR(LOOKUP(2,1/($B$9:$B$388=$B389),$T$9:$T388),0)&gt;0))),IFERROR(LOOKUP(2,1/($B$9:$B$388=$B389),$T$9:$T388),0)+1,IFERROR(LOOKUP(2,1/($B$9:$B$388=$B389),$T$9:$T388),0)))</f>
        <v/>
      </c>
      <c r="U389" s="47" t="str">
        <f t="shared" si="87"/>
        <v/>
      </c>
      <c r="V389" s="47" t="str">
        <f>IF($A389="","",IF(OR($B389="",$C389="",$D389="",$E389="",$F389=""),"Missing required field",IF(COUNTIFS($A$9:$A389,$A389,$B$9:$B389,$B389)&gt;1,"Duplicate event ID",IF(AND($E389&lt;&gt;IFERROR(LOOKUP(2,1/($B$9:$B$388=$B389),$E$9:$E388),0),IFERROR(LOOKUP(2,1/($B$9:$B$388=$B389),$E$9:$E388),0)&gt;$E389),"Date out of order",IF(AND(OR($F389="buy_to_close",$F389="expire",$F389="roll",$F389="assignment",$F389="called_away"),$AF389=0),"Unknown lot",IF(OR(AND($F389="assignment",$AF389&gt;0,IF($AF389&gt;0,INDEX($AG$9:$AG$388,$AF389),"")&lt;&gt;"put"),AND($F389="called_away",$AF389&gt;0,IF($AF389&gt;0,INDEX($AG$9:$AG$388,$AF389),"")&lt;&gt;"call")),"Wrong option leg",IF(OR(AND(OR($F389="sell_put",$F389="sell_call"),OR($H389&lt;=0,$I389&lt;=0,$J389&lt;0)),AND(OR($F389="buy_to_close",$F389="expire",$F389="assignment",$F389="called_away"),OR($H389&lt;=0,$J389&lt;0)),AND($F389="roll",OR($H389&lt;=0,$I389&lt;=0,$J389&lt;0,$K389&lt;0)),AND(OR($F389="buy_shares",$F389="sell_shares"),OR($L389&lt;=0,$M389&lt;0)),AND(OR($F389="dividend",$F389="fee"),$N389&lt;0)),"Invalid value",IF(AND(OR($F389="sell_shares",$F389="called_away"),$AL389&lt;IF($F389="called_away",$AE389*$D389,$L389)),"Insufficient shares (capped)",IF(AND(OR($F389="buy_to_close",$F389="expire",$F389="roll",$F389="assignment",$F389="called_away"),$AF389&gt;0,$H389&gt;IF($AF389&gt;0,MAX(0,INDEX($AI$9:$AI$388,$AF389)-SUMIFS($AE$9:$AE$388,$G$9:$G$388,$G389,$B$9:$B$388,$B389)),0)),"Close quantity capped","OK")))))))))</f>
        <v/>
      </c>
      <c r="W389" s="48" t="str">
        <f t="shared" si="88"/>
        <v/>
      </c>
      <c r="X389" s="49" t="str">
        <f t="shared" si="89"/>
        <v/>
      </c>
      <c r="Y389" s="50" t="str">
        <f t="shared" si="90"/>
        <v/>
      </c>
      <c r="Z389" s="50" t="str">
        <f t="shared" si="91"/>
        <v/>
      </c>
      <c r="AA389" s="50" t="str">
        <f t="shared" si="92"/>
        <v/>
      </c>
      <c r="AB389" s="50" t="str">
        <f t="shared" si="93"/>
        <v/>
      </c>
      <c r="AC389" s="50" t="str">
        <f>IF($A389="","",IF($F389="assignment",IF($AF389&gt;0,INDEX($AH$9:$AH$388,$AF389),0)*$AE389*$D389,IF($F389="buy_shares",$M389*$AL389,0)))</f>
        <v/>
      </c>
      <c r="AD389" s="50" t="str">
        <f>IF($A389="","",IF($F389="called_away",IF($AF389&gt;0,INDEX($AH$9:$AH$388,$AF389),0)*$AL389,IF($F389="sell_shares",$M389*$AL389,0)))</f>
        <v/>
      </c>
      <c r="AE389" s="51" t="str">
        <f>IF($A389="","",IF(OR($F389="sell_put",$F389="sell_call"),IF(AND($H389&gt;0,$I389&gt;0,$J389&gt;=0),$H389,0),IF(OR($F389="buy_to_close",$F389="expire",$F389="roll",$F389="assignment",$F389="called_away"),IF(AND($AF389&gt;0,$H389&gt;0,IF($F389="assignment",IF($AF389&gt;0,INDEX($AG$9:$AG$388,$AF389),"")="put",TRUE),IF($F389="called_away",IF($AF389&gt;0,INDEX($AG$9:$AG$388,$AF389),"")="call",TRUE)),MIN($H389,IF($AF389&gt;0,MAX(0,INDEX($AI$9:$AI$388,$AF389)-SUMIFS($AE$9:$AE$388,$G$9:$G$388,$G389,$B$9:$B$388,$B389)),0)),0),0)))</f>
        <v/>
      </c>
      <c r="AF389" t="str">
        <f>IF($A389="","",IFERROR(MATCH(LEN($B389)&amp;":"&amp;$B389&amp;$G389,$AY$9:$AY$388,0),0))</f>
        <v/>
      </c>
      <c r="AG389" t="str">
        <f>IF($A389="","",IF($F389="sell_put","put",IF($F389="sell_call","call",IF($F389="roll",IF($AF389&gt;0,IF($AF389&gt;0,INDEX($AG$9:$AG$388,$AF389),""),""),IF($AF389&gt;0,IF($AF389&gt;0,INDEX($AG$9:$AG$388,$AF389),""),"")))))</f>
        <v/>
      </c>
      <c r="AH389" t="str">
        <f>IF($A389="","",IF(OR($F389="sell_put",$F389="sell_call",$F389="roll"),$I389,IF($AF389&gt;0,IF($AF389&gt;0,INDEX($AH$9:$AH$388,$AF389),0),0)))</f>
        <v/>
      </c>
      <c r="AI389" s="51" t="str">
        <f t="shared" si="94"/>
        <v/>
      </c>
      <c r="AJ389" s="51" t="str">
        <f>IF($A389="","",IFERROR(LOOKUP(2,1/($B$9:$B$388=$B389),$AM$9:$AM388),0))</f>
        <v/>
      </c>
      <c r="AK389" t="str">
        <f>IF($A389="","",IFERROR(LOOKUP(2,1/($B$9:$B$388=$B389),$AN$9:$AN388),0))</f>
        <v/>
      </c>
      <c r="AL389" s="51" t="str">
        <f t="shared" si="95"/>
        <v/>
      </c>
      <c r="AM389" s="51" t="str">
        <f t="shared" si="96"/>
        <v/>
      </c>
      <c r="AN389" t="str">
        <f t="shared" si="97"/>
        <v/>
      </c>
      <c r="AO389" s="50" t="str">
        <f>IF($A389="","",IFERROR(LOOKUP(2,1/($B$9:$B$388=$B389),$AO$9:$AO388),0)+IF($F389="sell_put",$I389*$AE389*$D389,IF($F389="roll",IF($AG389="put",($I389-IF($AF389&gt;0,INDEX($AH$9:$AH$388,$AF389),0))*$AE389*$D389,0),IF(AND(OR($F389="buy_to_close",$F389="expire",$F389="roll",$F389="assignment",$F389="called_away"),$F389&lt;&gt;"roll",$AG389="put"),-IF($AF389&gt;0,INDEX($AH$9:$AH$388,$AF389),0)*$AE389*$D389,0))))</f>
        <v/>
      </c>
      <c r="AP389" s="51" t="str">
        <f>IF($A389="","",IFERROR(LOOKUP(2,1/($B$9:$B$388=$B389),$AP$9:$AP388),0)+IF($F389="sell_put",$AE389*$D389,IF(AND(OR($F389="buy_to_close",$F389="expire",$F389="roll",$F389="assignment",$F389="called_away"),$F389&lt;&gt;"roll",$AG389="put"),-$AE389*$D389,0)))</f>
        <v/>
      </c>
      <c r="AQ389" s="51" t="str">
        <f>IF($A389="","",IFERROR(LOOKUP(2,1/($B$9:$B$388=$B389),$AQ$9:$AQ388),0)+IF(OR($F389="sell_put",$F389="sell_call"),$AE389,0)-IF(AND(OR($F389="buy_to_close",$F389="expire",$F389="roll",$F389="assignment",$F389="called_away"),$F389&lt;&gt;"roll"),$AE389,0))</f>
        <v/>
      </c>
      <c r="AR389" t="str">
        <f t="shared" si="98"/>
        <v/>
      </c>
      <c r="AS389" s="50" t="str">
        <f t="shared" si="99"/>
        <v/>
      </c>
      <c r="AT389" s="50" t="str">
        <f>IF($A389="","",MAX(IF($T389=IFERROR(LOOKUP(2,1/($B$9:$B$388=$B389),$T$9:$T388),0),IFERROR(LOOKUP(2,1/($B$9:$B$388=$B389),$AT$9:$AT388),0),0),$AS389))</f>
        <v/>
      </c>
      <c r="AU389" t="str">
        <f t="shared" si="100"/>
        <v/>
      </c>
      <c r="AV389" s="51">
        <f>IF($AU389="",0,IF(AND(IFERROR(LOOKUP(2,1/($B$9:$B$388=$B389),$AR$9:$AR388),1),NOT(AND(OR($F389="dividend",$F389="fee"),IFERROR(LOOKUP(2,1/($B$9:$B$388=$B389),$T$9:$T388),0)&gt;0))),ROW(),0))</f>
        <v>0</v>
      </c>
      <c r="AW389">
        <f>IF($A389="",0,IF($AV389&gt;0,MAX($AW$9:$AW$388)+1,MAX($AW$9:$AW$388)))</f>
        <v>0</v>
      </c>
      <c r="AX389">
        <f>IF($AU389="",0,IF(AND($AR389,OR(NOT(IFERROR(LOOKUP(2,1/($B$9:$B$388=$B389),$AR$9:$AR388),1)),IFERROR(LOOKUP(2,1/($B$9:$B$388=$B389),$T$9:$T388),0)=0)),ROW(),0))</f>
        <v>0</v>
      </c>
      <c r="AY389" t="str">
        <f t="shared" si="101"/>
        <v/>
      </c>
    </row>
    <row r="390" spans="1:51" ht="15" x14ac:dyDescent="0.25">
      <c r="A390" s="52" t="str">
        <f>IF(Trades!$A390="","",Trades!O390)</f>
        <v/>
      </c>
      <c r="B390" s="52" t="str">
        <f>IF(Trades!$A390="","",Trades!B390)</f>
        <v/>
      </c>
      <c r="C390" s="52" t="str">
        <f>IF(Trades!$A390="","",Trades!C390)</f>
        <v/>
      </c>
      <c r="D390" s="53" t="str">
        <f>IF(Trades!$A390="","",IF(Trades!$L390&gt;0,Trades!$L390,Trades!$C$6))</f>
        <v/>
      </c>
      <c r="E390" s="54" t="str">
        <f>IF(Trades!$A390="","",Trades!A390)</f>
        <v/>
      </c>
      <c r="F390" s="52" t="str">
        <f>IF(Trades!$A390="","",IFERROR(INDEX(Trades!$V$2:$V$14,MATCH(Trades!$E390,Trades!$U$2:$U$14,0)),""))</f>
        <v/>
      </c>
      <c r="G390" s="52" t="str">
        <f>IF(Trades!$A390="","",Trades!N390)</f>
        <v/>
      </c>
      <c r="H390" s="53" t="str">
        <f>IF(Trades!$A390="","",Trades!F390)</f>
        <v/>
      </c>
      <c r="I390" s="55" t="str">
        <f>IF(Trades!$A390="","",Trades!G390)</f>
        <v/>
      </c>
      <c r="J390" s="55" t="str">
        <f>IF(Trades!$A390="","",Trades!I390)</f>
        <v/>
      </c>
      <c r="K390" s="55" t="str">
        <f>IF(Trades!$A390="","",Trades!Q390)</f>
        <v/>
      </c>
      <c r="L390" s="53" t="str">
        <f>IF(Trades!$A390="","",Trades!F390)</f>
        <v/>
      </c>
      <c r="M390" s="55" t="str">
        <f>IF(Trades!$A390="","",Trades!M390)</f>
        <v/>
      </c>
      <c r="N390" s="55" t="str">
        <f>IF(Trades!$A390="","",Trades!R390)</f>
        <v/>
      </c>
      <c r="O390" s="55" t="str">
        <f>IF(Trades!$A390="","",Trades!J390)</f>
        <v/>
      </c>
      <c r="P390" s="54" t="str">
        <f>IF(Trades!$A390="","",Trades!H390)</f>
        <v/>
      </c>
      <c r="Q390" s="52" t="str">
        <f>IF(Trades!$A390="","",Trades!P390)</f>
        <v/>
      </c>
      <c r="R390" s="56" t="str">
        <f t="shared" si="85"/>
        <v/>
      </c>
      <c r="S390" s="56" t="str">
        <f t="shared" si="86"/>
        <v/>
      </c>
      <c r="T390" s="57" t="str">
        <f>IF(OR($A390="",$B390=""),"",IF(AND(IFERROR(LOOKUP(2,1/($B$9:$B$389=$B390),$AR$9:$AR389),1),NOT(AND(OR($F390="dividend",$F390="fee"),IFERROR(LOOKUP(2,1/($B$9:$B$389=$B390),$T$9:$T389),0)&gt;0))),IFERROR(LOOKUP(2,1/($B$9:$B$389=$B390),$T$9:$T389),0)+1,IFERROR(LOOKUP(2,1/($B$9:$B$389=$B390),$T$9:$T389),0)))</f>
        <v/>
      </c>
      <c r="U390" s="58" t="str">
        <f t="shared" si="87"/>
        <v/>
      </c>
      <c r="V390" s="58" t="str">
        <f>IF($A390="","",IF(OR($B390="",$C390="",$D390="",$E390="",$F390=""),"Missing required field",IF(COUNTIFS($A$9:$A390,$A390,$B$9:$B390,$B390)&gt;1,"Duplicate event ID",IF(AND($E390&lt;&gt;IFERROR(LOOKUP(2,1/($B$9:$B$389=$B390),$E$9:$E389),0),IFERROR(LOOKUP(2,1/($B$9:$B$389=$B390),$E$9:$E389),0)&gt;$E390),"Date out of order",IF(AND(OR($F390="buy_to_close",$F390="expire",$F390="roll",$F390="assignment",$F390="called_away"),$AF390=0),"Unknown lot",IF(OR(AND($F390="assignment",$AF390&gt;0,IF($AF390&gt;0,INDEX($AG$9:$AG$389,$AF390),"")&lt;&gt;"put"),AND($F390="called_away",$AF390&gt;0,IF($AF390&gt;0,INDEX($AG$9:$AG$389,$AF390),"")&lt;&gt;"call")),"Wrong option leg",IF(OR(AND(OR($F390="sell_put",$F390="sell_call"),OR($H390&lt;=0,$I390&lt;=0,$J390&lt;0)),AND(OR($F390="buy_to_close",$F390="expire",$F390="assignment",$F390="called_away"),OR($H390&lt;=0,$J390&lt;0)),AND($F390="roll",OR($H390&lt;=0,$I390&lt;=0,$J390&lt;0,$K390&lt;0)),AND(OR($F390="buy_shares",$F390="sell_shares"),OR($L390&lt;=0,$M390&lt;0)),AND(OR($F390="dividend",$F390="fee"),$N390&lt;0)),"Invalid value",IF(AND(OR($F390="sell_shares",$F390="called_away"),$AL390&lt;IF($F390="called_away",$AE390*$D390,$L390)),"Insufficient shares (capped)",IF(AND(OR($F390="buy_to_close",$F390="expire",$F390="roll",$F390="assignment",$F390="called_away"),$AF390&gt;0,$H390&gt;IF($AF390&gt;0,MAX(0,INDEX($AI$9:$AI$389,$AF390)-SUMIFS($AE$9:$AE$389,$G$9:$G$389,$G390,$B$9:$B$389,$B390)),0)),"Close quantity capped","OK")))))))))</f>
        <v/>
      </c>
      <c r="W390" s="59" t="str">
        <f t="shared" si="88"/>
        <v/>
      </c>
      <c r="X390" s="60" t="str">
        <f t="shared" si="89"/>
        <v/>
      </c>
      <c r="Y390" s="50" t="str">
        <f t="shared" si="90"/>
        <v/>
      </c>
      <c r="Z390" s="50" t="str">
        <f t="shared" si="91"/>
        <v/>
      </c>
      <c r="AA390" s="50" t="str">
        <f t="shared" si="92"/>
        <v/>
      </c>
      <c r="AB390" s="50" t="str">
        <f t="shared" si="93"/>
        <v/>
      </c>
      <c r="AC390" s="50" t="str">
        <f>IF($A390="","",IF($F390="assignment",IF($AF390&gt;0,INDEX($AH$9:$AH$389,$AF390),0)*$AE390*$D390,IF($F390="buy_shares",$M390*$AL390,0)))</f>
        <v/>
      </c>
      <c r="AD390" s="50" t="str">
        <f>IF($A390="","",IF($F390="called_away",IF($AF390&gt;0,INDEX($AH$9:$AH$389,$AF390),0)*$AL390,IF($F390="sell_shares",$M390*$AL390,0)))</f>
        <v/>
      </c>
      <c r="AE390" s="51" t="str">
        <f>IF($A390="","",IF(OR($F390="sell_put",$F390="sell_call"),IF(AND($H390&gt;0,$I390&gt;0,$J390&gt;=0),$H390,0),IF(OR($F390="buy_to_close",$F390="expire",$F390="roll",$F390="assignment",$F390="called_away"),IF(AND($AF390&gt;0,$H390&gt;0,IF($F390="assignment",IF($AF390&gt;0,INDEX($AG$9:$AG$389,$AF390),"")="put",TRUE),IF($F390="called_away",IF($AF390&gt;0,INDEX($AG$9:$AG$389,$AF390),"")="call",TRUE)),MIN($H390,IF($AF390&gt;0,MAX(0,INDEX($AI$9:$AI$389,$AF390)-SUMIFS($AE$9:$AE$389,$G$9:$G$389,$G390,$B$9:$B$389,$B390)),0)),0),0)))</f>
        <v/>
      </c>
      <c r="AF390" t="str">
        <f>IF($A390="","",IFERROR(MATCH(LEN($B390)&amp;":"&amp;$B390&amp;$G390,$AY$9:$AY$389,0),0))</f>
        <v/>
      </c>
      <c r="AG390" t="str">
        <f>IF($A390="","",IF($F390="sell_put","put",IF($F390="sell_call","call",IF($F390="roll",IF($AF390&gt;0,IF($AF390&gt;0,INDEX($AG$9:$AG$389,$AF390),""),""),IF($AF390&gt;0,IF($AF390&gt;0,INDEX($AG$9:$AG$389,$AF390),""),"")))))</f>
        <v/>
      </c>
      <c r="AH390" t="str">
        <f>IF($A390="","",IF(OR($F390="sell_put",$F390="sell_call",$F390="roll"),$I390,IF($AF390&gt;0,IF($AF390&gt;0,INDEX($AH$9:$AH$389,$AF390),0),0)))</f>
        <v/>
      </c>
      <c r="AI390" s="51" t="str">
        <f t="shared" si="94"/>
        <v/>
      </c>
      <c r="AJ390" s="51" t="str">
        <f>IF($A390="","",IFERROR(LOOKUP(2,1/($B$9:$B$389=$B390),$AM$9:$AM389),0))</f>
        <v/>
      </c>
      <c r="AK390" t="str">
        <f>IF($A390="","",IFERROR(LOOKUP(2,1/($B$9:$B$389=$B390),$AN$9:$AN389),0))</f>
        <v/>
      </c>
      <c r="AL390" s="51" t="str">
        <f t="shared" si="95"/>
        <v/>
      </c>
      <c r="AM390" s="51" t="str">
        <f t="shared" si="96"/>
        <v/>
      </c>
      <c r="AN390" t="str">
        <f t="shared" si="97"/>
        <v/>
      </c>
      <c r="AO390" s="50" t="str">
        <f>IF($A390="","",IFERROR(LOOKUP(2,1/($B$9:$B$389=$B390),$AO$9:$AO389),0)+IF($F390="sell_put",$I390*$AE390*$D390,IF($F390="roll",IF($AG390="put",($I390-IF($AF390&gt;0,INDEX($AH$9:$AH$389,$AF390),0))*$AE390*$D390,0),IF(AND(OR($F390="buy_to_close",$F390="expire",$F390="roll",$F390="assignment",$F390="called_away"),$F390&lt;&gt;"roll",$AG390="put"),-IF($AF390&gt;0,INDEX($AH$9:$AH$389,$AF390),0)*$AE390*$D390,0))))</f>
        <v/>
      </c>
      <c r="AP390" s="51" t="str">
        <f>IF($A390="","",IFERROR(LOOKUP(2,1/($B$9:$B$389=$B390),$AP$9:$AP389),0)+IF($F390="sell_put",$AE390*$D390,IF(AND(OR($F390="buy_to_close",$F390="expire",$F390="roll",$F390="assignment",$F390="called_away"),$F390&lt;&gt;"roll",$AG390="put"),-$AE390*$D390,0)))</f>
        <v/>
      </c>
      <c r="AQ390" s="51" t="str">
        <f>IF($A390="","",IFERROR(LOOKUP(2,1/($B$9:$B$389=$B390),$AQ$9:$AQ389),0)+IF(OR($F390="sell_put",$F390="sell_call"),$AE390,0)-IF(AND(OR($F390="buy_to_close",$F390="expire",$F390="roll",$F390="assignment",$F390="called_away"),$F390&lt;&gt;"roll"),$AE390,0))</f>
        <v/>
      </c>
      <c r="AR390" t="str">
        <f t="shared" si="98"/>
        <v/>
      </c>
      <c r="AS390" s="50" t="str">
        <f t="shared" si="99"/>
        <v/>
      </c>
      <c r="AT390" s="50" t="str">
        <f>IF($A390="","",MAX(IF($T390=IFERROR(LOOKUP(2,1/($B$9:$B$389=$B390),$T$9:$T389),0),IFERROR(LOOKUP(2,1/($B$9:$B$389=$B390),$AT$9:$AT389),0),0),$AS390))</f>
        <v/>
      </c>
      <c r="AU390" t="str">
        <f t="shared" si="100"/>
        <v/>
      </c>
      <c r="AV390" s="51">
        <f>IF($AU390="",0,IF(AND(IFERROR(LOOKUP(2,1/($B$9:$B$389=$B390),$AR$9:$AR389),1),NOT(AND(OR($F390="dividend",$F390="fee"),IFERROR(LOOKUP(2,1/($B$9:$B$389=$B390),$T$9:$T389),0)&gt;0))),ROW(),0))</f>
        <v>0</v>
      </c>
      <c r="AW390">
        <f>IF($A390="",0,IF($AV390&gt;0,MAX($AW$9:$AW$389)+1,MAX($AW$9:$AW$389)))</f>
        <v>0</v>
      </c>
      <c r="AX390">
        <f>IF($AU390="",0,IF(AND($AR390,OR(NOT(IFERROR(LOOKUP(2,1/($B$9:$B$389=$B390),$AR$9:$AR389),1)),IFERROR(LOOKUP(2,1/($B$9:$B$389=$B390),$T$9:$T389),0)=0)),ROW(),0))</f>
        <v>0</v>
      </c>
      <c r="AY390" t="str">
        <f t="shared" si="101"/>
        <v/>
      </c>
    </row>
    <row r="391" spans="1:51" ht="15" x14ac:dyDescent="0.25">
      <c r="A391" s="41" t="str">
        <f>IF(Trades!$A391="","",Trades!O391)</f>
        <v/>
      </c>
      <c r="B391" s="41" t="str">
        <f>IF(Trades!$A391="","",Trades!B391)</f>
        <v/>
      </c>
      <c r="C391" s="41" t="str">
        <f>IF(Trades!$A391="","",Trades!C391)</f>
        <v/>
      </c>
      <c r="D391" s="42" t="str">
        <f>IF(Trades!$A391="","",IF(Trades!$L391&gt;0,Trades!$L391,Trades!$C$6))</f>
        <v/>
      </c>
      <c r="E391" s="43" t="str">
        <f>IF(Trades!$A391="","",Trades!A391)</f>
        <v/>
      </c>
      <c r="F391" s="41" t="str">
        <f>IF(Trades!$A391="","",IFERROR(INDEX(Trades!$V$2:$V$14,MATCH(Trades!$E391,Trades!$U$2:$U$14,0)),""))</f>
        <v/>
      </c>
      <c r="G391" s="41" t="str">
        <f>IF(Trades!$A391="","",Trades!N391)</f>
        <v/>
      </c>
      <c r="H391" s="42" t="str">
        <f>IF(Trades!$A391="","",Trades!F391)</f>
        <v/>
      </c>
      <c r="I391" s="44" t="str">
        <f>IF(Trades!$A391="","",Trades!G391)</f>
        <v/>
      </c>
      <c r="J391" s="44" t="str">
        <f>IF(Trades!$A391="","",Trades!I391)</f>
        <v/>
      </c>
      <c r="K391" s="44" t="str">
        <f>IF(Trades!$A391="","",Trades!Q391)</f>
        <v/>
      </c>
      <c r="L391" s="42" t="str">
        <f>IF(Trades!$A391="","",Trades!F391)</f>
        <v/>
      </c>
      <c r="M391" s="44" t="str">
        <f>IF(Trades!$A391="","",Trades!M391)</f>
        <v/>
      </c>
      <c r="N391" s="44" t="str">
        <f>IF(Trades!$A391="","",Trades!R391)</f>
        <v/>
      </c>
      <c r="O391" s="44" t="str">
        <f>IF(Trades!$A391="","",Trades!J391)</f>
        <v/>
      </c>
      <c r="P391" s="43" t="str">
        <f>IF(Trades!$A391="","",Trades!H391)</f>
        <v/>
      </c>
      <c r="Q391" s="41" t="str">
        <f>IF(Trades!$A391="","",Trades!P391)</f>
        <v/>
      </c>
      <c r="R391" s="45" t="str">
        <f t="shared" si="85"/>
        <v/>
      </c>
      <c r="S391" s="45" t="str">
        <f t="shared" si="86"/>
        <v/>
      </c>
      <c r="T391" s="46" t="str">
        <f>IF(OR($A391="",$B391=""),"",IF(AND(IFERROR(LOOKUP(2,1/($B$9:$B$390=$B391),$AR$9:$AR390),1),NOT(AND(OR($F391="dividend",$F391="fee"),IFERROR(LOOKUP(2,1/($B$9:$B$390=$B391),$T$9:$T390),0)&gt;0))),IFERROR(LOOKUP(2,1/($B$9:$B$390=$B391),$T$9:$T390),0)+1,IFERROR(LOOKUP(2,1/($B$9:$B$390=$B391),$T$9:$T390),0)))</f>
        <v/>
      </c>
      <c r="U391" s="47" t="str">
        <f t="shared" si="87"/>
        <v/>
      </c>
      <c r="V391" s="47" t="str">
        <f>IF($A391="","",IF(OR($B391="",$C391="",$D391="",$E391="",$F391=""),"Missing required field",IF(COUNTIFS($A$9:$A391,$A391,$B$9:$B391,$B391)&gt;1,"Duplicate event ID",IF(AND($E391&lt;&gt;IFERROR(LOOKUP(2,1/($B$9:$B$390=$B391),$E$9:$E390),0),IFERROR(LOOKUP(2,1/($B$9:$B$390=$B391),$E$9:$E390),0)&gt;$E391),"Date out of order",IF(AND(OR($F391="buy_to_close",$F391="expire",$F391="roll",$F391="assignment",$F391="called_away"),$AF391=0),"Unknown lot",IF(OR(AND($F391="assignment",$AF391&gt;0,IF($AF391&gt;0,INDEX($AG$9:$AG$390,$AF391),"")&lt;&gt;"put"),AND($F391="called_away",$AF391&gt;0,IF($AF391&gt;0,INDEX($AG$9:$AG$390,$AF391),"")&lt;&gt;"call")),"Wrong option leg",IF(OR(AND(OR($F391="sell_put",$F391="sell_call"),OR($H391&lt;=0,$I391&lt;=0,$J391&lt;0)),AND(OR($F391="buy_to_close",$F391="expire",$F391="assignment",$F391="called_away"),OR($H391&lt;=0,$J391&lt;0)),AND($F391="roll",OR($H391&lt;=0,$I391&lt;=0,$J391&lt;0,$K391&lt;0)),AND(OR($F391="buy_shares",$F391="sell_shares"),OR($L391&lt;=0,$M391&lt;0)),AND(OR($F391="dividend",$F391="fee"),$N391&lt;0)),"Invalid value",IF(AND(OR($F391="sell_shares",$F391="called_away"),$AL391&lt;IF($F391="called_away",$AE391*$D391,$L391)),"Insufficient shares (capped)",IF(AND(OR($F391="buy_to_close",$F391="expire",$F391="roll",$F391="assignment",$F391="called_away"),$AF391&gt;0,$H391&gt;IF($AF391&gt;0,MAX(0,INDEX($AI$9:$AI$390,$AF391)-SUMIFS($AE$9:$AE$390,$G$9:$G$390,$G391,$B$9:$B$390,$B391)),0)),"Close quantity capped","OK")))))))))</f>
        <v/>
      </c>
      <c r="W391" s="48" t="str">
        <f t="shared" si="88"/>
        <v/>
      </c>
      <c r="X391" s="49" t="str">
        <f t="shared" si="89"/>
        <v/>
      </c>
      <c r="Y391" s="50" t="str">
        <f t="shared" si="90"/>
        <v/>
      </c>
      <c r="Z391" s="50" t="str">
        <f t="shared" si="91"/>
        <v/>
      </c>
      <c r="AA391" s="50" t="str">
        <f t="shared" si="92"/>
        <v/>
      </c>
      <c r="AB391" s="50" t="str">
        <f t="shared" si="93"/>
        <v/>
      </c>
      <c r="AC391" s="50" t="str">
        <f>IF($A391="","",IF($F391="assignment",IF($AF391&gt;0,INDEX($AH$9:$AH$390,$AF391),0)*$AE391*$D391,IF($F391="buy_shares",$M391*$AL391,0)))</f>
        <v/>
      </c>
      <c r="AD391" s="50" t="str">
        <f>IF($A391="","",IF($F391="called_away",IF($AF391&gt;0,INDEX($AH$9:$AH$390,$AF391),0)*$AL391,IF($F391="sell_shares",$M391*$AL391,0)))</f>
        <v/>
      </c>
      <c r="AE391" s="51" t="str">
        <f>IF($A391="","",IF(OR($F391="sell_put",$F391="sell_call"),IF(AND($H391&gt;0,$I391&gt;0,$J391&gt;=0),$H391,0),IF(OR($F391="buy_to_close",$F391="expire",$F391="roll",$F391="assignment",$F391="called_away"),IF(AND($AF391&gt;0,$H391&gt;0,IF($F391="assignment",IF($AF391&gt;0,INDEX($AG$9:$AG$390,$AF391),"")="put",TRUE),IF($F391="called_away",IF($AF391&gt;0,INDEX($AG$9:$AG$390,$AF391),"")="call",TRUE)),MIN($H391,IF($AF391&gt;0,MAX(0,INDEX($AI$9:$AI$390,$AF391)-SUMIFS($AE$9:$AE$390,$G$9:$G$390,$G391,$B$9:$B$390,$B391)),0)),0),0)))</f>
        <v/>
      </c>
      <c r="AF391" t="str">
        <f>IF($A391="","",IFERROR(MATCH(LEN($B391)&amp;":"&amp;$B391&amp;$G391,$AY$9:$AY$390,0),0))</f>
        <v/>
      </c>
      <c r="AG391" t="str">
        <f>IF($A391="","",IF($F391="sell_put","put",IF($F391="sell_call","call",IF($F391="roll",IF($AF391&gt;0,IF($AF391&gt;0,INDEX($AG$9:$AG$390,$AF391),""),""),IF($AF391&gt;0,IF($AF391&gt;0,INDEX($AG$9:$AG$390,$AF391),""),"")))))</f>
        <v/>
      </c>
      <c r="AH391" t="str">
        <f>IF($A391="","",IF(OR($F391="sell_put",$F391="sell_call",$F391="roll"),$I391,IF($AF391&gt;0,IF($AF391&gt;0,INDEX($AH$9:$AH$390,$AF391),0),0)))</f>
        <v/>
      </c>
      <c r="AI391" s="51" t="str">
        <f t="shared" si="94"/>
        <v/>
      </c>
      <c r="AJ391" s="51" t="str">
        <f>IF($A391="","",IFERROR(LOOKUP(2,1/($B$9:$B$390=$B391),$AM$9:$AM390),0))</f>
        <v/>
      </c>
      <c r="AK391" t="str">
        <f>IF($A391="","",IFERROR(LOOKUP(2,1/($B$9:$B$390=$B391),$AN$9:$AN390),0))</f>
        <v/>
      </c>
      <c r="AL391" s="51" t="str">
        <f t="shared" si="95"/>
        <v/>
      </c>
      <c r="AM391" s="51" t="str">
        <f t="shared" si="96"/>
        <v/>
      </c>
      <c r="AN391" t="str">
        <f t="shared" si="97"/>
        <v/>
      </c>
      <c r="AO391" s="50" t="str">
        <f>IF($A391="","",IFERROR(LOOKUP(2,1/($B$9:$B$390=$B391),$AO$9:$AO390),0)+IF($F391="sell_put",$I391*$AE391*$D391,IF($F391="roll",IF($AG391="put",($I391-IF($AF391&gt;0,INDEX($AH$9:$AH$390,$AF391),0))*$AE391*$D391,0),IF(AND(OR($F391="buy_to_close",$F391="expire",$F391="roll",$F391="assignment",$F391="called_away"),$F391&lt;&gt;"roll",$AG391="put"),-IF($AF391&gt;0,INDEX($AH$9:$AH$390,$AF391),0)*$AE391*$D391,0))))</f>
        <v/>
      </c>
      <c r="AP391" s="51" t="str">
        <f>IF($A391="","",IFERROR(LOOKUP(2,1/($B$9:$B$390=$B391),$AP$9:$AP390),0)+IF($F391="sell_put",$AE391*$D391,IF(AND(OR($F391="buy_to_close",$F391="expire",$F391="roll",$F391="assignment",$F391="called_away"),$F391&lt;&gt;"roll",$AG391="put"),-$AE391*$D391,0)))</f>
        <v/>
      </c>
      <c r="AQ391" s="51" t="str">
        <f>IF($A391="","",IFERROR(LOOKUP(2,1/($B$9:$B$390=$B391),$AQ$9:$AQ390),0)+IF(OR($F391="sell_put",$F391="sell_call"),$AE391,0)-IF(AND(OR($F391="buy_to_close",$F391="expire",$F391="roll",$F391="assignment",$F391="called_away"),$F391&lt;&gt;"roll"),$AE391,0))</f>
        <v/>
      </c>
      <c r="AR391" t="str">
        <f t="shared" si="98"/>
        <v/>
      </c>
      <c r="AS391" s="50" t="str">
        <f t="shared" si="99"/>
        <v/>
      </c>
      <c r="AT391" s="50" t="str">
        <f>IF($A391="","",MAX(IF($T391=IFERROR(LOOKUP(2,1/($B$9:$B$390=$B391),$T$9:$T390),0),IFERROR(LOOKUP(2,1/($B$9:$B$390=$B391),$AT$9:$AT390),0),0),$AS391))</f>
        <v/>
      </c>
      <c r="AU391" t="str">
        <f t="shared" si="100"/>
        <v/>
      </c>
      <c r="AV391" s="51">
        <f>IF($AU391="",0,IF(AND(IFERROR(LOOKUP(2,1/($B$9:$B$390=$B391),$AR$9:$AR390),1),NOT(AND(OR($F391="dividend",$F391="fee"),IFERROR(LOOKUP(2,1/($B$9:$B$390=$B391),$T$9:$T390),0)&gt;0))),ROW(),0))</f>
        <v>0</v>
      </c>
      <c r="AW391">
        <f>IF($A391="",0,IF($AV391&gt;0,MAX($AW$9:$AW$390)+1,MAX($AW$9:$AW$390)))</f>
        <v>0</v>
      </c>
      <c r="AX391">
        <f>IF($AU391="",0,IF(AND($AR391,OR(NOT(IFERROR(LOOKUP(2,1/($B$9:$B$390=$B391),$AR$9:$AR390),1)),IFERROR(LOOKUP(2,1/($B$9:$B$390=$B391),$T$9:$T390),0)=0)),ROW(),0))</f>
        <v>0</v>
      </c>
      <c r="AY391" t="str">
        <f t="shared" si="101"/>
        <v/>
      </c>
    </row>
    <row r="392" spans="1:51" ht="15" x14ac:dyDescent="0.25">
      <c r="A392" s="52" t="str">
        <f>IF(Trades!$A392="","",Trades!O392)</f>
        <v/>
      </c>
      <c r="B392" s="52" t="str">
        <f>IF(Trades!$A392="","",Trades!B392)</f>
        <v/>
      </c>
      <c r="C392" s="52" t="str">
        <f>IF(Trades!$A392="","",Trades!C392)</f>
        <v/>
      </c>
      <c r="D392" s="53" t="str">
        <f>IF(Trades!$A392="","",IF(Trades!$L392&gt;0,Trades!$L392,Trades!$C$6))</f>
        <v/>
      </c>
      <c r="E392" s="54" t="str">
        <f>IF(Trades!$A392="","",Trades!A392)</f>
        <v/>
      </c>
      <c r="F392" s="52" t="str">
        <f>IF(Trades!$A392="","",IFERROR(INDEX(Trades!$V$2:$V$14,MATCH(Trades!$E392,Trades!$U$2:$U$14,0)),""))</f>
        <v/>
      </c>
      <c r="G392" s="52" t="str">
        <f>IF(Trades!$A392="","",Trades!N392)</f>
        <v/>
      </c>
      <c r="H392" s="53" t="str">
        <f>IF(Trades!$A392="","",Trades!F392)</f>
        <v/>
      </c>
      <c r="I392" s="55" t="str">
        <f>IF(Trades!$A392="","",Trades!G392)</f>
        <v/>
      </c>
      <c r="J392" s="55" t="str">
        <f>IF(Trades!$A392="","",Trades!I392)</f>
        <v/>
      </c>
      <c r="K392" s="55" t="str">
        <f>IF(Trades!$A392="","",Trades!Q392)</f>
        <v/>
      </c>
      <c r="L392" s="53" t="str">
        <f>IF(Trades!$A392="","",Trades!F392)</f>
        <v/>
      </c>
      <c r="M392" s="55" t="str">
        <f>IF(Trades!$A392="","",Trades!M392)</f>
        <v/>
      </c>
      <c r="N392" s="55" t="str">
        <f>IF(Trades!$A392="","",Trades!R392)</f>
        <v/>
      </c>
      <c r="O392" s="55" t="str">
        <f>IF(Trades!$A392="","",Trades!J392)</f>
        <v/>
      </c>
      <c r="P392" s="54" t="str">
        <f>IF(Trades!$A392="","",Trades!H392)</f>
        <v/>
      </c>
      <c r="Q392" s="52" t="str">
        <f>IF(Trades!$A392="","",Trades!P392)</f>
        <v/>
      </c>
      <c r="R392" s="56" t="str">
        <f t="shared" si="85"/>
        <v/>
      </c>
      <c r="S392" s="56" t="str">
        <f t="shared" si="86"/>
        <v/>
      </c>
      <c r="T392" s="57" t="str">
        <f>IF(OR($A392="",$B392=""),"",IF(AND(IFERROR(LOOKUP(2,1/($B$9:$B$391=$B392),$AR$9:$AR391),1),NOT(AND(OR($F392="dividend",$F392="fee"),IFERROR(LOOKUP(2,1/($B$9:$B$391=$B392),$T$9:$T391),0)&gt;0))),IFERROR(LOOKUP(2,1/($B$9:$B$391=$B392),$T$9:$T391),0)+1,IFERROR(LOOKUP(2,1/($B$9:$B$391=$B392),$T$9:$T391),0)))</f>
        <v/>
      </c>
      <c r="U392" s="58" t="str">
        <f t="shared" si="87"/>
        <v/>
      </c>
      <c r="V392" s="58" t="str">
        <f>IF($A392="","",IF(OR($B392="",$C392="",$D392="",$E392="",$F392=""),"Missing required field",IF(COUNTIFS($A$9:$A392,$A392,$B$9:$B392,$B392)&gt;1,"Duplicate event ID",IF(AND($E392&lt;&gt;IFERROR(LOOKUP(2,1/($B$9:$B$391=$B392),$E$9:$E391),0),IFERROR(LOOKUP(2,1/($B$9:$B$391=$B392),$E$9:$E391),0)&gt;$E392),"Date out of order",IF(AND(OR($F392="buy_to_close",$F392="expire",$F392="roll",$F392="assignment",$F392="called_away"),$AF392=0),"Unknown lot",IF(OR(AND($F392="assignment",$AF392&gt;0,IF($AF392&gt;0,INDEX($AG$9:$AG$391,$AF392),"")&lt;&gt;"put"),AND($F392="called_away",$AF392&gt;0,IF($AF392&gt;0,INDEX($AG$9:$AG$391,$AF392),"")&lt;&gt;"call")),"Wrong option leg",IF(OR(AND(OR($F392="sell_put",$F392="sell_call"),OR($H392&lt;=0,$I392&lt;=0,$J392&lt;0)),AND(OR($F392="buy_to_close",$F392="expire",$F392="assignment",$F392="called_away"),OR($H392&lt;=0,$J392&lt;0)),AND($F392="roll",OR($H392&lt;=0,$I392&lt;=0,$J392&lt;0,$K392&lt;0)),AND(OR($F392="buy_shares",$F392="sell_shares"),OR($L392&lt;=0,$M392&lt;0)),AND(OR($F392="dividend",$F392="fee"),$N392&lt;0)),"Invalid value",IF(AND(OR($F392="sell_shares",$F392="called_away"),$AL392&lt;IF($F392="called_away",$AE392*$D392,$L392)),"Insufficient shares (capped)",IF(AND(OR($F392="buy_to_close",$F392="expire",$F392="roll",$F392="assignment",$F392="called_away"),$AF392&gt;0,$H392&gt;IF($AF392&gt;0,MAX(0,INDEX($AI$9:$AI$391,$AF392)-SUMIFS($AE$9:$AE$391,$G$9:$G$391,$G392,$B$9:$B$391,$B392)),0)),"Close quantity capped","OK")))))))))</f>
        <v/>
      </c>
      <c r="W392" s="59" t="str">
        <f t="shared" si="88"/>
        <v/>
      </c>
      <c r="X392" s="60" t="str">
        <f t="shared" si="89"/>
        <v/>
      </c>
      <c r="Y392" s="50" t="str">
        <f t="shared" si="90"/>
        <v/>
      </c>
      <c r="Z392" s="50" t="str">
        <f t="shared" si="91"/>
        <v/>
      </c>
      <c r="AA392" s="50" t="str">
        <f t="shared" si="92"/>
        <v/>
      </c>
      <c r="AB392" s="50" t="str">
        <f t="shared" si="93"/>
        <v/>
      </c>
      <c r="AC392" s="50" t="str">
        <f>IF($A392="","",IF($F392="assignment",IF($AF392&gt;0,INDEX($AH$9:$AH$391,$AF392),0)*$AE392*$D392,IF($F392="buy_shares",$M392*$AL392,0)))</f>
        <v/>
      </c>
      <c r="AD392" s="50" t="str">
        <f>IF($A392="","",IF($F392="called_away",IF($AF392&gt;0,INDEX($AH$9:$AH$391,$AF392),0)*$AL392,IF($F392="sell_shares",$M392*$AL392,0)))</f>
        <v/>
      </c>
      <c r="AE392" s="51" t="str">
        <f>IF($A392="","",IF(OR($F392="sell_put",$F392="sell_call"),IF(AND($H392&gt;0,$I392&gt;0,$J392&gt;=0),$H392,0),IF(OR($F392="buy_to_close",$F392="expire",$F392="roll",$F392="assignment",$F392="called_away"),IF(AND($AF392&gt;0,$H392&gt;0,IF($F392="assignment",IF($AF392&gt;0,INDEX($AG$9:$AG$391,$AF392),"")="put",TRUE),IF($F392="called_away",IF($AF392&gt;0,INDEX($AG$9:$AG$391,$AF392),"")="call",TRUE)),MIN($H392,IF($AF392&gt;0,MAX(0,INDEX($AI$9:$AI$391,$AF392)-SUMIFS($AE$9:$AE$391,$G$9:$G$391,$G392,$B$9:$B$391,$B392)),0)),0),0)))</f>
        <v/>
      </c>
      <c r="AF392" t="str">
        <f>IF($A392="","",IFERROR(MATCH(LEN($B392)&amp;":"&amp;$B392&amp;$G392,$AY$9:$AY$391,0),0))</f>
        <v/>
      </c>
      <c r="AG392" t="str">
        <f>IF($A392="","",IF($F392="sell_put","put",IF($F392="sell_call","call",IF($F392="roll",IF($AF392&gt;0,IF($AF392&gt;0,INDEX($AG$9:$AG$391,$AF392),""),""),IF($AF392&gt;0,IF($AF392&gt;0,INDEX($AG$9:$AG$391,$AF392),""),"")))))</f>
        <v/>
      </c>
      <c r="AH392" t="str">
        <f>IF($A392="","",IF(OR($F392="sell_put",$F392="sell_call",$F392="roll"),$I392,IF($AF392&gt;0,IF($AF392&gt;0,INDEX($AH$9:$AH$391,$AF392),0),0)))</f>
        <v/>
      </c>
      <c r="AI392" s="51" t="str">
        <f t="shared" si="94"/>
        <v/>
      </c>
      <c r="AJ392" s="51" t="str">
        <f>IF($A392="","",IFERROR(LOOKUP(2,1/($B$9:$B$391=$B392),$AM$9:$AM391),0))</f>
        <v/>
      </c>
      <c r="AK392" t="str">
        <f>IF($A392="","",IFERROR(LOOKUP(2,1/($B$9:$B$391=$B392),$AN$9:$AN391),0))</f>
        <v/>
      </c>
      <c r="AL392" s="51" t="str">
        <f t="shared" si="95"/>
        <v/>
      </c>
      <c r="AM392" s="51" t="str">
        <f t="shared" si="96"/>
        <v/>
      </c>
      <c r="AN392" t="str">
        <f t="shared" si="97"/>
        <v/>
      </c>
      <c r="AO392" s="50" t="str">
        <f>IF($A392="","",IFERROR(LOOKUP(2,1/($B$9:$B$391=$B392),$AO$9:$AO391),0)+IF($F392="sell_put",$I392*$AE392*$D392,IF($F392="roll",IF($AG392="put",($I392-IF($AF392&gt;0,INDEX($AH$9:$AH$391,$AF392),0))*$AE392*$D392,0),IF(AND(OR($F392="buy_to_close",$F392="expire",$F392="roll",$F392="assignment",$F392="called_away"),$F392&lt;&gt;"roll",$AG392="put"),-IF($AF392&gt;0,INDEX($AH$9:$AH$391,$AF392),0)*$AE392*$D392,0))))</f>
        <v/>
      </c>
      <c r="AP392" s="51" t="str">
        <f>IF($A392="","",IFERROR(LOOKUP(2,1/($B$9:$B$391=$B392),$AP$9:$AP391),0)+IF($F392="sell_put",$AE392*$D392,IF(AND(OR($F392="buy_to_close",$F392="expire",$F392="roll",$F392="assignment",$F392="called_away"),$F392&lt;&gt;"roll",$AG392="put"),-$AE392*$D392,0)))</f>
        <v/>
      </c>
      <c r="AQ392" s="51" t="str">
        <f>IF($A392="","",IFERROR(LOOKUP(2,1/($B$9:$B$391=$B392),$AQ$9:$AQ391),0)+IF(OR($F392="sell_put",$F392="sell_call"),$AE392,0)-IF(AND(OR($F392="buy_to_close",$F392="expire",$F392="roll",$F392="assignment",$F392="called_away"),$F392&lt;&gt;"roll"),$AE392,0))</f>
        <v/>
      </c>
      <c r="AR392" t="str">
        <f t="shared" si="98"/>
        <v/>
      </c>
      <c r="AS392" s="50" t="str">
        <f t="shared" si="99"/>
        <v/>
      </c>
      <c r="AT392" s="50" t="str">
        <f>IF($A392="","",MAX(IF($T392=IFERROR(LOOKUP(2,1/($B$9:$B$391=$B392),$T$9:$T391),0),IFERROR(LOOKUP(2,1/($B$9:$B$391=$B392),$AT$9:$AT391),0),0),$AS392))</f>
        <v/>
      </c>
      <c r="AU392" t="str">
        <f t="shared" si="100"/>
        <v/>
      </c>
      <c r="AV392" s="51">
        <f>IF($AU392="",0,IF(AND(IFERROR(LOOKUP(2,1/($B$9:$B$391=$B392),$AR$9:$AR391),1),NOT(AND(OR($F392="dividend",$F392="fee"),IFERROR(LOOKUP(2,1/($B$9:$B$391=$B392),$T$9:$T391),0)&gt;0))),ROW(),0))</f>
        <v>0</v>
      </c>
      <c r="AW392">
        <f>IF($A392="",0,IF($AV392&gt;0,MAX($AW$9:$AW$391)+1,MAX($AW$9:$AW$391)))</f>
        <v>0</v>
      </c>
      <c r="AX392">
        <f>IF($AU392="",0,IF(AND($AR392,OR(NOT(IFERROR(LOOKUP(2,1/($B$9:$B$391=$B392),$AR$9:$AR391),1)),IFERROR(LOOKUP(2,1/($B$9:$B$391=$B392),$T$9:$T391),0)=0)),ROW(),0))</f>
        <v>0</v>
      </c>
      <c r="AY392" t="str">
        <f t="shared" si="101"/>
        <v/>
      </c>
    </row>
    <row r="393" spans="1:51" ht="15" x14ac:dyDescent="0.25">
      <c r="A393" s="41" t="str">
        <f>IF(Trades!$A393="","",Trades!O393)</f>
        <v/>
      </c>
      <c r="B393" s="41" t="str">
        <f>IF(Trades!$A393="","",Trades!B393)</f>
        <v/>
      </c>
      <c r="C393" s="41" t="str">
        <f>IF(Trades!$A393="","",Trades!C393)</f>
        <v/>
      </c>
      <c r="D393" s="42" t="str">
        <f>IF(Trades!$A393="","",IF(Trades!$L393&gt;0,Trades!$L393,Trades!$C$6))</f>
        <v/>
      </c>
      <c r="E393" s="43" t="str">
        <f>IF(Trades!$A393="","",Trades!A393)</f>
        <v/>
      </c>
      <c r="F393" s="41" t="str">
        <f>IF(Trades!$A393="","",IFERROR(INDEX(Trades!$V$2:$V$14,MATCH(Trades!$E393,Trades!$U$2:$U$14,0)),""))</f>
        <v/>
      </c>
      <c r="G393" s="41" t="str">
        <f>IF(Trades!$A393="","",Trades!N393)</f>
        <v/>
      </c>
      <c r="H393" s="42" t="str">
        <f>IF(Trades!$A393="","",Trades!F393)</f>
        <v/>
      </c>
      <c r="I393" s="44" t="str">
        <f>IF(Trades!$A393="","",Trades!G393)</f>
        <v/>
      </c>
      <c r="J393" s="44" t="str">
        <f>IF(Trades!$A393="","",Trades!I393)</f>
        <v/>
      </c>
      <c r="K393" s="44" t="str">
        <f>IF(Trades!$A393="","",Trades!Q393)</f>
        <v/>
      </c>
      <c r="L393" s="42" t="str">
        <f>IF(Trades!$A393="","",Trades!F393)</f>
        <v/>
      </c>
      <c r="M393" s="44" t="str">
        <f>IF(Trades!$A393="","",Trades!M393)</f>
        <v/>
      </c>
      <c r="N393" s="44" t="str">
        <f>IF(Trades!$A393="","",Trades!R393)</f>
        <v/>
      </c>
      <c r="O393" s="44" t="str">
        <f>IF(Trades!$A393="","",Trades!J393)</f>
        <v/>
      </c>
      <c r="P393" s="43" t="str">
        <f>IF(Trades!$A393="","",Trades!H393)</f>
        <v/>
      </c>
      <c r="Q393" s="41" t="str">
        <f>IF(Trades!$A393="","",Trades!P393)</f>
        <v/>
      </c>
      <c r="R393" s="45" t="str">
        <f t="shared" ref="R393:R456" si="102">IF($A393="","",$Y393-$Z393)</f>
        <v/>
      </c>
      <c r="S393" s="45" t="str">
        <f t="shared" ref="S393:S456" si="103">IF($A393="","",$R393+$AA393-$AB393-$AC393+$AD393)</f>
        <v/>
      </c>
      <c r="T393" s="46" t="str">
        <f>IF(OR($A393="",$B393=""),"",IF(AND(IFERROR(LOOKUP(2,1/($B$9:$B$392=$B393),$AR$9:$AR392),1),NOT(AND(OR($F393="dividend",$F393="fee"),IFERROR(LOOKUP(2,1/($B$9:$B$392=$B393),$T$9:$T392),0)&gt;0))),IFERROR(LOOKUP(2,1/($B$9:$B$392=$B393),$T$9:$T392),0)+1,IFERROR(LOOKUP(2,1/($B$9:$B$392=$B393),$T$9:$T392),0)))</f>
        <v/>
      </c>
      <c r="U393" s="47" t="str">
        <f t="shared" ref="U393:U456" si="104">IF($A393="","",IF($AR393,"Flat / cycle closed",IF($AM393&gt;0,"Shares held","Short option open")))</f>
        <v/>
      </c>
      <c r="V393" s="47" t="str">
        <f>IF($A393="","",IF(OR($B393="",$C393="",$D393="",$E393="",$F393=""),"Missing required field",IF(COUNTIFS($A$9:$A393,$A393,$B$9:$B393,$B393)&gt;1,"Duplicate event ID",IF(AND($E393&lt;&gt;IFERROR(LOOKUP(2,1/($B$9:$B$392=$B393),$E$9:$E392),0),IFERROR(LOOKUP(2,1/($B$9:$B$392=$B393),$E$9:$E392),0)&gt;$E393),"Date out of order",IF(AND(OR($F393="buy_to_close",$F393="expire",$F393="roll",$F393="assignment",$F393="called_away"),$AF393=0),"Unknown lot",IF(OR(AND($F393="assignment",$AF393&gt;0,IF($AF393&gt;0,INDEX($AG$9:$AG$392,$AF393),"")&lt;&gt;"put"),AND($F393="called_away",$AF393&gt;0,IF($AF393&gt;0,INDEX($AG$9:$AG$392,$AF393),"")&lt;&gt;"call")),"Wrong option leg",IF(OR(AND(OR($F393="sell_put",$F393="sell_call"),OR($H393&lt;=0,$I393&lt;=0,$J393&lt;0)),AND(OR($F393="buy_to_close",$F393="expire",$F393="assignment",$F393="called_away"),OR($H393&lt;=0,$J393&lt;0)),AND($F393="roll",OR($H393&lt;=0,$I393&lt;=0,$J393&lt;0,$K393&lt;0)),AND(OR($F393="buy_shares",$F393="sell_shares"),OR($L393&lt;=0,$M393&lt;0)),AND(OR($F393="dividend",$F393="fee"),$N393&lt;0)),"Invalid value",IF(AND(OR($F393="sell_shares",$F393="called_away"),$AL393&lt;IF($F393="called_away",$AE393*$D393,$L393)),"Insufficient shares (capped)",IF(AND(OR($F393="buy_to_close",$F393="expire",$F393="roll",$F393="assignment",$F393="called_away"),$AF393&gt;0,$H393&gt;IF($AF393&gt;0,MAX(0,INDEX($AI$9:$AI$392,$AF393)-SUMIFS($AE$9:$AE$392,$G$9:$G$392,$G393,$B$9:$B$392,$B393)),0)),"Close quantity capped","OK")))))))))</f>
        <v/>
      </c>
      <c r="W393" s="48" t="str">
        <f t="shared" ref="W393:W456" si="105">IF($A393="","",$AM393)</f>
        <v/>
      </c>
      <c r="X393" s="49" t="str">
        <f t="shared" ref="X393:X456" si="106">IF($A393="","",$AS393)</f>
        <v/>
      </c>
      <c r="Y393" s="50" t="str">
        <f t="shared" ref="Y393:Y456" si="107">IF($A393="","",IF(OR($F393="sell_put",$F393="sell_call"),$J393*$AE393*$D393,IF($F393="roll",$J393*$AE393*$D393,0)))</f>
        <v/>
      </c>
      <c r="Z393" s="50" t="str">
        <f t="shared" ref="Z393:Z456" si="108">IF($A393="","",IF($F393="buy_to_close",$J393*$AE393*$D393,IF($F393="roll",$K393*$AE393*$D393,0)))</f>
        <v/>
      </c>
      <c r="AA393" s="50" t="str">
        <f t="shared" ref="AA393:AA456" si="109">IF($A393="","",IF(AND($F393="dividend",$N393&gt;=0),$N393,0))</f>
        <v/>
      </c>
      <c r="AB393" s="50" t="str">
        <f t="shared" ref="AB393:AB456" si="110">IF($A393="","",IF($O393&gt;=0,$O393,0)+IF(AND($F393="fee",$N393&gt;=0),$N393,0))</f>
        <v/>
      </c>
      <c r="AC393" s="50" t="str">
        <f>IF($A393="","",IF($F393="assignment",IF($AF393&gt;0,INDEX($AH$9:$AH$392,$AF393),0)*$AE393*$D393,IF($F393="buy_shares",$M393*$AL393,0)))</f>
        <v/>
      </c>
      <c r="AD393" s="50" t="str">
        <f>IF($A393="","",IF($F393="called_away",IF($AF393&gt;0,INDEX($AH$9:$AH$392,$AF393),0)*$AL393,IF($F393="sell_shares",$M393*$AL393,0)))</f>
        <v/>
      </c>
      <c r="AE393" s="51" t="str">
        <f>IF($A393="","",IF(OR($F393="sell_put",$F393="sell_call"),IF(AND($H393&gt;0,$I393&gt;0,$J393&gt;=0),$H393,0),IF(OR($F393="buy_to_close",$F393="expire",$F393="roll",$F393="assignment",$F393="called_away"),IF(AND($AF393&gt;0,$H393&gt;0,IF($F393="assignment",IF($AF393&gt;0,INDEX($AG$9:$AG$392,$AF393),"")="put",TRUE),IF($F393="called_away",IF($AF393&gt;0,INDEX($AG$9:$AG$392,$AF393),"")="call",TRUE)),MIN($H393,IF($AF393&gt;0,MAX(0,INDEX($AI$9:$AI$392,$AF393)-SUMIFS($AE$9:$AE$392,$G$9:$G$392,$G393,$B$9:$B$392,$B393)),0)),0),0)))</f>
        <v/>
      </c>
      <c r="AF393" t="str">
        <f>IF($A393="","",IFERROR(MATCH(LEN($B393)&amp;":"&amp;$B393&amp;$G393,$AY$9:$AY$392,0),0))</f>
        <v/>
      </c>
      <c r="AG393" t="str">
        <f>IF($A393="","",IF($F393="sell_put","put",IF($F393="sell_call","call",IF($F393="roll",IF($AF393&gt;0,IF($AF393&gt;0,INDEX($AG$9:$AG$392,$AF393),""),""),IF($AF393&gt;0,IF($AF393&gt;0,INDEX($AG$9:$AG$392,$AF393),""),"")))))</f>
        <v/>
      </c>
      <c r="AH393" t="str">
        <f>IF($A393="","",IF(OR($F393="sell_put",$F393="sell_call",$F393="roll"),$I393,IF($AF393&gt;0,IF($AF393&gt;0,INDEX($AH$9:$AH$392,$AF393),0),0)))</f>
        <v/>
      </c>
      <c r="AI393" s="51" t="str">
        <f t="shared" ref="AI393:AI456" si="111">IF($A393="","",IF(OR($F393="sell_put",$F393="sell_call"),IF(AND($H393&gt;0,$I393&gt;0,$J393&gt;=0),$H393,0),IF($F393="roll",$AE393,0)))</f>
        <v/>
      </c>
      <c r="AJ393" s="51" t="str">
        <f>IF($A393="","",IFERROR(LOOKUP(2,1/($B$9:$B$392=$B393),$AM$9:$AM392),0))</f>
        <v/>
      </c>
      <c r="AK393" t="str">
        <f>IF($A393="","",IFERROR(LOOKUP(2,1/($B$9:$B$392=$B393),$AN$9:$AN392),0))</f>
        <v/>
      </c>
      <c r="AL393" s="51" t="str">
        <f t="shared" ref="AL393:AL456" si="112">IF($A393="","",IF($F393="assignment",$AE393*$D393,IF($F393="called_away",MIN(MAX(0,$AE393*$D393),MAX(0,$AJ393)),IF($F393="buy_shares",IF(AND($L393&gt;0,$M393&gt;=0),$L393,0),IF($F393="sell_shares",IF(AND($L393&gt;0,$M393&gt;=0),MIN($L393,MAX(0,$AJ393)),0),0)))))</f>
        <v/>
      </c>
      <c r="AM393" s="51" t="str">
        <f t="shared" ref="AM393:AM456" si="113">IF($A393="","",MAX(0,$AJ393+IF(OR($F393="assignment",$F393="buy_shares"),$AL393,-$AL393)))</f>
        <v/>
      </c>
      <c r="AN393" t="str">
        <f t="shared" ref="AN393:AN456" si="114">IF($A393="","",IF($AM393&lt;=0.000000001,0,MAX(0,$AK393+$AC393-IF(OR($F393="called_away",$F393="sell_shares"),IF($AJ393&gt;0,$AK393/$AJ393*$AL393,0),0))))</f>
        <v/>
      </c>
      <c r="AO393" s="50" t="str">
        <f>IF($A393="","",IFERROR(LOOKUP(2,1/($B$9:$B$392=$B393),$AO$9:$AO392),0)+IF($F393="sell_put",$I393*$AE393*$D393,IF($F393="roll",IF($AG393="put",($I393-IF($AF393&gt;0,INDEX($AH$9:$AH$392,$AF393),0))*$AE393*$D393,0),IF(AND(OR($F393="buy_to_close",$F393="expire",$F393="roll",$F393="assignment",$F393="called_away"),$F393&lt;&gt;"roll",$AG393="put"),-IF($AF393&gt;0,INDEX($AH$9:$AH$392,$AF393),0)*$AE393*$D393,0))))</f>
        <v/>
      </c>
      <c r="AP393" s="51" t="str">
        <f>IF($A393="","",IFERROR(LOOKUP(2,1/($B$9:$B$392=$B393),$AP$9:$AP392),0)+IF($F393="sell_put",$AE393*$D393,IF(AND(OR($F393="buy_to_close",$F393="expire",$F393="roll",$F393="assignment",$F393="called_away"),$F393&lt;&gt;"roll",$AG393="put"),-$AE393*$D393,0)))</f>
        <v/>
      </c>
      <c r="AQ393" s="51" t="str">
        <f>IF($A393="","",IFERROR(LOOKUP(2,1/($B$9:$B$392=$B393),$AQ$9:$AQ392),0)+IF(OR($F393="sell_put",$F393="sell_call"),$AE393,0)-IF(AND(OR($F393="buy_to_close",$F393="expire",$F393="roll",$F393="assignment",$F393="called_away"),$F393&lt;&gt;"roll"),$AE393,0))</f>
        <v/>
      </c>
      <c r="AR393" t="str">
        <f t="shared" ref="AR393:AR456" si="115">IF($A393="","",AND($AM393&lt;=0.000000001,$AQ393&lt;=0.000000001))</f>
        <v/>
      </c>
      <c r="AS393" s="50" t="str">
        <f t="shared" ref="AS393:AS456" si="116">IF($A393="","",$AO393+$AN393)</f>
        <v/>
      </c>
      <c r="AT393" s="50" t="str">
        <f>IF($A393="","",MAX(IF($T393=IFERROR(LOOKUP(2,1/($B$9:$B$392=$B393),$T$9:$T392),0),IFERROR(LOOKUP(2,1/($B$9:$B$392=$B393),$AT$9:$AT392),0),0),$AS393))</f>
        <v/>
      </c>
      <c r="AU393" t="str">
        <f t="shared" ref="AU393:AU456" si="117">IF(OR($A393="",$B393="",$T393=""),"",$B393&amp;"¦"&amp;$T393)</f>
        <v/>
      </c>
      <c r="AV393" s="51">
        <f>IF($AU393="",0,IF(AND(IFERROR(LOOKUP(2,1/($B$9:$B$392=$B393),$AR$9:$AR392),1),NOT(AND(OR($F393="dividend",$F393="fee"),IFERROR(LOOKUP(2,1/($B$9:$B$392=$B393),$T$9:$T392),0)&gt;0))),ROW(),0))</f>
        <v>0</v>
      </c>
      <c r="AW393">
        <f>IF($A393="",0,IF($AV393&gt;0,MAX($AW$9:$AW$392)+1,MAX($AW$9:$AW$392)))</f>
        <v>0</v>
      </c>
      <c r="AX393">
        <f>IF($AU393="",0,IF(AND($AR393,OR(NOT(IFERROR(LOOKUP(2,1/($B$9:$B$392=$B393),$AR$9:$AR392),1)),IFERROR(LOOKUP(2,1/($B$9:$B$392=$B393),$T$9:$T392),0)=0)),ROW(),0))</f>
        <v>0</v>
      </c>
      <c r="AY393" t="str">
        <f t="shared" ref="AY393:AY456" si="118">IF(OR($A393="",$B393=""),"",LEN($B393)&amp;":"&amp;$B393&amp;$A393)</f>
        <v/>
      </c>
    </row>
    <row r="394" spans="1:51" ht="15" x14ac:dyDescent="0.25">
      <c r="A394" s="52" t="str">
        <f>IF(Trades!$A394="","",Trades!O394)</f>
        <v/>
      </c>
      <c r="B394" s="52" t="str">
        <f>IF(Trades!$A394="","",Trades!B394)</f>
        <v/>
      </c>
      <c r="C394" s="52" t="str">
        <f>IF(Trades!$A394="","",Trades!C394)</f>
        <v/>
      </c>
      <c r="D394" s="53" t="str">
        <f>IF(Trades!$A394="","",IF(Trades!$L394&gt;0,Trades!$L394,Trades!$C$6))</f>
        <v/>
      </c>
      <c r="E394" s="54" t="str">
        <f>IF(Trades!$A394="","",Trades!A394)</f>
        <v/>
      </c>
      <c r="F394" s="52" t="str">
        <f>IF(Trades!$A394="","",IFERROR(INDEX(Trades!$V$2:$V$14,MATCH(Trades!$E394,Trades!$U$2:$U$14,0)),""))</f>
        <v/>
      </c>
      <c r="G394" s="52" t="str">
        <f>IF(Trades!$A394="","",Trades!N394)</f>
        <v/>
      </c>
      <c r="H394" s="53" t="str">
        <f>IF(Trades!$A394="","",Trades!F394)</f>
        <v/>
      </c>
      <c r="I394" s="55" t="str">
        <f>IF(Trades!$A394="","",Trades!G394)</f>
        <v/>
      </c>
      <c r="J394" s="55" t="str">
        <f>IF(Trades!$A394="","",Trades!I394)</f>
        <v/>
      </c>
      <c r="K394" s="55" t="str">
        <f>IF(Trades!$A394="","",Trades!Q394)</f>
        <v/>
      </c>
      <c r="L394" s="53" t="str">
        <f>IF(Trades!$A394="","",Trades!F394)</f>
        <v/>
      </c>
      <c r="M394" s="55" t="str">
        <f>IF(Trades!$A394="","",Trades!M394)</f>
        <v/>
      </c>
      <c r="N394" s="55" t="str">
        <f>IF(Trades!$A394="","",Trades!R394)</f>
        <v/>
      </c>
      <c r="O394" s="55" t="str">
        <f>IF(Trades!$A394="","",Trades!J394)</f>
        <v/>
      </c>
      <c r="P394" s="54" t="str">
        <f>IF(Trades!$A394="","",Trades!H394)</f>
        <v/>
      </c>
      <c r="Q394" s="52" t="str">
        <f>IF(Trades!$A394="","",Trades!P394)</f>
        <v/>
      </c>
      <c r="R394" s="56" t="str">
        <f t="shared" si="102"/>
        <v/>
      </c>
      <c r="S394" s="56" t="str">
        <f t="shared" si="103"/>
        <v/>
      </c>
      <c r="T394" s="57" t="str">
        <f>IF(OR($A394="",$B394=""),"",IF(AND(IFERROR(LOOKUP(2,1/($B$9:$B$393=$B394),$AR$9:$AR393),1),NOT(AND(OR($F394="dividend",$F394="fee"),IFERROR(LOOKUP(2,1/($B$9:$B$393=$B394),$T$9:$T393),0)&gt;0))),IFERROR(LOOKUP(2,1/($B$9:$B$393=$B394),$T$9:$T393),0)+1,IFERROR(LOOKUP(2,1/($B$9:$B$393=$B394),$T$9:$T393),0)))</f>
        <v/>
      </c>
      <c r="U394" s="58" t="str">
        <f t="shared" si="104"/>
        <v/>
      </c>
      <c r="V394" s="58" t="str">
        <f>IF($A394="","",IF(OR($B394="",$C394="",$D394="",$E394="",$F394=""),"Missing required field",IF(COUNTIFS($A$9:$A394,$A394,$B$9:$B394,$B394)&gt;1,"Duplicate event ID",IF(AND($E394&lt;&gt;IFERROR(LOOKUP(2,1/($B$9:$B$393=$B394),$E$9:$E393),0),IFERROR(LOOKUP(2,1/($B$9:$B$393=$B394),$E$9:$E393),0)&gt;$E394),"Date out of order",IF(AND(OR($F394="buy_to_close",$F394="expire",$F394="roll",$F394="assignment",$F394="called_away"),$AF394=0),"Unknown lot",IF(OR(AND($F394="assignment",$AF394&gt;0,IF($AF394&gt;0,INDEX($AG$9:$AG$393,$AF394),"")&lt;&gt;"put"),AND($F394="called_away",$AF394&gt;0,IF($AF394&gt;0,INDEX($AG$9:$AG$393,$AF394),"")&lt;&gt;"call")),"Wrong option leg",IF(OR(AND(OR($F394="sell_put",$F394="sell_call"),OR($H394&lt;=0,$I394&lt;=0,$J394&lt;0)),AND(OR($F394="buy_to_close",$F394="expire",$F394="assignment",$F394="called_away"),OR($H394&lt;=0,$J394&lt;0)),AND($F394="roll",OR($H394&lt;=0,$I394&lt;=0,$J394&lt;0,$K394&lt;0)),AND(OR($F394="buy_shares",$F394="sell_shares"),OR($L394&lt;=0,$M394&lt;0)),AND(OR($F394="dividend",$F394="fee"),$N394&lt;0)),"Invalid value",IF(AND(OR($F394="sell_shares",$F394="called_away"),$AL394&lt;IF($F394="called_away",$AE394*$D394,$L394)),"Insufficient shares (capped)",IF(AND(OR($F394="buy_to_close",$F394="expire",$F394="roll",$F394="assignment",$F394="called_away"),$AF394&gt;0,$H394&gt;IF($AF394&gt;0,MAX(0,INDEX($AI$9:$AI$393,$AF394)-SUMIFS($AE$9:$AE$393,$G$9:$G$393,$G394,$B$9:$B$393,$B394)),0)),"Close quantity capped","OK")))))))))</f>
        <v/>
      </c>
      <c r="W394" s="59" t="str">
        <f t="shared" si="105"/>
        <v/>
      </c>
      <c r="X394" s="60" t="str">
        <f t="shared" si="106"/>
        <v/>
      </c>
      <c r="Y394" s="50" t="str">
        <f t="shared" si="107"/>
        <v/>
      </c>
      <c r="Z394" s="50" t="str">
        <f t="shared" si="108"/>
        <v/>
      </c>
      <c r="AA394" s="50" t="str">
        <f t="shared" si="109"/>
        <v/>
      </c>
      <c r="AB394" s="50" t="str">
        <f t="shared" si="110"/>
        <v/>
      </c>
      <c r="AC394" s="50" t="str">
        <f>IF($A394="","",IF($F394="assignment",IF($AF394&gt;0,INDEX($AH$9:$AH$393,$AF394),0)*$AE394*$D394,IF($F394="buy_shares",$M394*$AL394,0)))</f>
        <v/>
      </c>
      <c r="AD394" s="50" t="str">
        <f>IF($A394="","",IF($F394="called_away",IF($AF394&gt;0,INDEX($AH$9:$AH$393,$AF394),0)*$AL394,IF($F394="sell_shares",$M394*$AL394,0)))</f>
        <v/>
      </c>
      <c r="AE394" s="51" t="str">
        <f>IF($A394="","",IF(OR($F394="sell_put",$F394="sell_call"),IF(AND($H394&gt;0,$I394&gt;0,$J394&gt;=0),$H394,0),IF(OR($F394="buy_to_close",$F394="expire",$F394="roll",$F394="assignment",$F394="called_away"),IF(AND($AF394&gt;0,$H394&gt;0,IF($F394="assignment",IF($AF394&gt;0,INDEX($AG$9:$AG$393,$AF394),"")="put",TRUE),IF($F394="called_away",IF($AF394&gt;0,INDEX($AG$9:$AG$393,$AF394),"")="call",TRUE)),MIN($H394,IF($AF394&gt;0,MAX(0,INDEX($AI$9:$AI$393,$AF394)-SUMIFS($AE$9:$AE$393,$G$9:$G$393,$G394,$B$9:$B$393,$B394)),0)),0),0)))</f>
        <v/>
      </c>
      <c r="AF394" t="str">
        <f>IF($A394="","",IFERROR(MATCH(LEN($B394)&amp;":"&amp;$B394&amp;$G394,$AY$9:$AY$393,0),0))</f>
        <v/>
      </c>
      <c r="AG394" t="str">
        <f>IF($A394="","",IF($F394="sell_put","put",IF($F394="sell_call","call",IF($F394="roll",IF($AF394&gt;0,IF($AF394&gt;0,INDEX($AG$9:$AG$393,$AF394),""),""),IF($AF394&gt;0,IF($AF394&gt;0,INDEX($AG$9:$AG$393,$AF394),""),"")))))</f>
        <v/>
      </c>
      <c r="AH394" t="str">
        <f>IF($A394="","",IF(OR($F394="sell_put",$F394="sell_call",$F394="roll"),$I394,IF($AF394&gt;0,IF($AF394&gt;0,INDEX($AH$9:$AH$393,$AF394),0),0)))</f>
        <v/>
      </c>
      <c r="AI394" s="51" t="str">
        <f t="shared" si="111"/>
        <v/>
      </c>
      <c r="AJ394" s="51" t="str">
        <f>IF($A394="","",IFERROR(LOOKUP(2,1/($B$9:$B$393=$B394),$AM$9:$AM393),0))</f>
        <v/>
      </c>
      <c r="AK394" t="str">
        <f>IF($A394="","",IFERROR(LOOKUP(2,1/($B$9:$B$393=$B394),$AN$9:$AN393),0))</f>
        <v/>
      </c>
      <c r="AL394" s="51" t="str">
        <f t="shared" si="112"/>
        <v/>
      </c>
      <c r="AM394" s="51" t="str">
        <f t="shared" si="113"/>
        <v/>
      </c>
      <c r="AN394" t="str">
        <f t="shared" si="114"/>
        <v/>
      </c>
      <c r="AO394" s="50" t="str">
        <f>IF($A394="","",IFERROR(LOOKUP(2,1/($B$9:$B$393=$B394),$AO$9:$AO393),0)+IF($F394="sell_put",$I394*$AE394*$D394,IF($F394="roll",IF($AG394="put",($I394-IF($AF394&gt;0,INDEX($AH$9:$AH$393,$AF394),0))*$AE394*$D394,0),IF(AND(OR($F394="buy_to_close",$F394="expire",$F394="roll",$F394="assignment",$F394="called_away"),$F394&lt;&gt;"roll",$AG394="put"),-IF($AF394&gt;0,INDEX($AH$9:$AH$393,$AF394),0)*$AE394*$D394,0))))</f>
        <v/>
      </c>
      <c r="AP394" s="51" t="str">
        <f>IF($A394="","",IFERROR(LOOKUP(2,1/($B$9:$B$393=$B394),$AP$9:$AP393),0)+IF($F394="sell_put",$AE394*$D394,IF(AND(OR($F394="buy_to_close",$F394="expire",$F394="roll",$F394="assignment",$F394="called_away"),$F394&lt;&gt;"roll",$AG394="put"),-$AE394*$D394,0)))</f>
        <v/>
      </c>
      <c r="AQ394" s="51" t="str">
        <f>IF($A394="","",IFERROR(LOOKUP(2,1/($B$9:$B$393=$B394),$AQ$9:$AQ393),0)+IF(OR($F394="sell_put",$F394="sell_call"),$AE394,0)-IF(AND(OR($F394="buy_to_close",$F394="expire",$F394="roll",$F394="assignment",$F394="called_away"),$F394&lt;&gt;"roll"),$AE394,0))</f>
        <v/>
      </c>
      <c r="AR394" t="str">
        <f t="shared" si="115"/>
        <v/>
      </c>
      <c r="AS394" s="50" t="str">
        <f t="shared" si="116"/>
        <v/>
      </c>
      <c r="AT394" s="50" t="str">
        <f>IF($A394="","",MAX(IF($T394=IFERROR(LOOKUP(2,1/($B$9:$B$393=$B394),$T$9:$T393),0),IFERROR(LOOKUP(2,1/($B$9:$B$393=$B394),$AT$9:$AT393),0),0),$AS394))</f>
        <v/>
      </c>
      <c r="AU394" t="str">
        <f t="shared" si="117"/>
        <v/>
      </c>
      <c r="AV394" s="51">
        <f>IF($AU394="",0,IF(AND(IFERROR(LOOKUP(2,1/($B$9:$B$393=$B394),$AR$9:$AR393),1),NOT(AND(OR($F394="dividend",$F394="fee"),IFERROR(LOOKUP(2,1/($B$9:$B$393=$B394),$T$9:$T393),0)&gt;0))),ROW(),0))</f>
        <v>0</v>
      </c>
      <c r="AW394">
        <f>IF($A394="",0,IF($AV394&gt;0,MAX($AW$9:$AW$393)+1,MAX($AW$9:$AW$393)))</f>
        <v>0</v>
      </c>
      <c r="AX394">
        <f>IF($AU394="",0,IF(AND($AR394,OR(NOT(IFERROR(LOOKUP(2,1/($B$9:$B$393=$B394),$AR$9:$AR393),1)),IFERROR(LOOKUP(2,1/($B$9:$B$393=$B394),$T$9:$T393),0)=0)),ROW(),0))</f>
        <v>0</v>
      </c>
      <c r="AY394" t="str">
        <f t="shared" si="118"/>
        <v/>
      </c>
    </row>
    <row r="395" spans="1:51" ht="15" x14ac:dyDescent="0.25">
      <c r="A395" s="41" t="str">
        <f>IF(Trades!$A395="","",Trades!O395)</f>
        <v/>
      </c>
      <c r="B395" s="41" t="str">
        <f>IF(Trades!$A395="","",Trades!B395)</f>
        <v/>
      </c>
      <c r="C395" s="41" t="str">
        <f>IF(Trades!$A395="","",Trades!C395)</f>
        <v/>
      </c>
      <c r="D395" s="42" t="str">
        <f>IF(Trades!$A395="","",IF(Trades!$L395&gt;0,Trades!$L395,Trades!$C$6))</f>
        <v/>
      </c>
      <c r="E395" s="43" t="str">
        <f>IF(Trades!$A395="","",Trades!A395)</f>
        <v/>
      </c>
      <c r="F395" s="41" t="str">
        <f>IF(Trades!$A395="","",IFERROR(INDEX(Trades!$V$2:$V$14,MATCH(Trades!$E395,Trades!$U$2:$U$14,0)),""))</f>
        <v/>
      </c>
      <c r="G395" s="41" t="str">
        <f>IF(Trades!$A395="","",Trades!N395)</f>
        <v/>
      </c>
      <c r="H395" s="42" t="str">
        <f>IF(Trades!$A395="","",Trades!F395)</f>
        <v/>
      </c>
      <c r="I395" s="44" t="str">
        <f>IF(Trades!$A395="","",Trades!G395)</f>
        <v/>
      </c>
      <c r="J395" s="44" t="str">
        <f>IF(Trades!$A395="","",Trades!I395)</f>
        <v/>
      </c>
      <c r="K395" s="44" t="str">
        <f>IF(Trades!$A395="","",Trades!Q395)</f>
        <v/>
      </c>
      <c r="L395" s="42" t="str">
        <f>IF(Trades!$A395="","",Trades!F395)</f>
        <v/>
      </c>
      <c r="M395" s="44" t="str">
        <f>IF(Trades!$A395="","",Trades!M395)</f>
        <v/>
      </c>
      <c r="N395" s="44" t="str">
        <f>IF(Trades!$A395="","",Trades!R395)</f>
        <v/>
      </c>
      <c r="O395" s="44" t="str">
        <f>IF(Trades!$A395="","",Trades!J395)</f>
        <v/>
      </c>
      <c r="P395" s="43" t="str">
        <f>IF(Trades!$A395="","",Trades!H395)</f>
        <v/>
      </c>
      <c r="Q395" s="41" t="str">
        <f>IF(Trades!$A395="","",Trades!P395)</f>
        <v/>
      </c>
      <c r="R395" s="45" t="str">
        <f t="shared" si="102"/>
        <v/>
      </c>
      <c r="S395" s="45" t="str">
        <f t="shared" si="103"/>
        <v/>
      </c>
      <c r="T395" s="46" t="str">
        <f>IF(OR($A395="",$B395=""),"",IF(AND(IFERROR(LOOKUP(2,1/($B$9:$B$394=$B395),$AR$9:$AR394),1),NOT(AND(OR($F395="dividend",$F395="fee"),IFERROR(LOOKUP(2,1/($B$9:$B$394=$B395),$T$9:$T394),0)&gt;0))),IFERROR(LOOKUP(2,1/($B$9:$B$394=$B395),$T$9:$T394),0)+1,IFERROR(LOOKUP(2,1/($B$9:$B$394=$B395),$T$9:$T394),0)))</f>
        <v/>
      </c>
      <c r="U395" s="47" t="str">
        <f t="shared" si="104"/>
        <v/>
      </c>
      <c r="V395" s="47" t="str">
        <f>IF($A395="","",IF(OR($B395="",$C395="",$D395="",$E395="",$F395=""),"Missing required field",IF(COUNTIFS($A$9:$A395,$A395,$B$9:$B395,$B395)&gt;1,"Duplicate event ID",IF(AND($E395&lt;&gt;IFERROR(LOOKUP(2,1/($B$9:$B$394=$B395),$E$9:$E394),0),IFERROR(LOOKUP(2,1/($B$9:$B$394=$B395),$E$9:$E394),0)&gt;$E395),"Date out of order",IF(AND(OR($F395="buy_to_close",$F395="expire",$F395="roll",$F395="assignment",$F395="called_away"),$AF395=0),"Unknown lot",IF(OR(AND($F395="assignment",$AF395&gt;0,IF($AF395&gt;0,INDEX($AG$9:$AG$394,$AF395),"")&lt;&gt;"put"),AND($F395="called_away",$AF395&gt;0,IF($AF395&gt;0,INDEX($AG$9:$AG$394,$AF395),"")&lt;&gt;"call")),"Wrong option leg",IF(OR(AND(OR($F395="sell_put",$F395="sell_call"),OR($H395&lt;=0,$I395&lt;=0,$J395&lt;0)),AND(OR($F395="buy_to_close",$F395="expire",$F395="assignment",$F395="called_away"),OR($H395&lt;=0,$J395&lt;0)),AND($F395="roll",OR($H395&lt;=0,$I395&lt;=0,$J395&lt;0,$K395&lt;0)),AND(OR($F395="buy_shares",$F395="sell_shares"),OR($L395&lt;=0,$M395&lt;0)),AND(OR($F395="dividend",$F395="fee"),$N395&lt;0)),"Invalid value",IF(AND(OR($F395="sell_shares",$F395="called_away"),$AL395&lt;IF($F395="called_away",$AE395*$D395,$L395)),"Insufficient shares (capped)",IF(AND(OR($F395="buy_to_close",$F395="expire",$F395="roll",$F395="assignment",$F395="called_away"),$AF395&gt;0,$H395&gt;IF($AF395&gt;0,MAX(0,INDEX($AI$9:$AI$394,$AF395)-SUMIFS($AE$9:$AE$394,$G$9:$G$394,$G395,$B$9:$B$394,$B395)),0)),"Close quantity capped","OK")))))))))</f>
        <v/>
      </c>
      <c r="W395" s="48" t="str">
        <f t="shared" si="105"/>
        <v/>
      </c>
      <c r="X395" s="49" t="str">
        <f t="shared" si="106"/>
        <v/>
      </c>
      <c r="Y395" s="50" t="str">
        <f t="shared" si="107"/>
        <v/>
      </c>
      <c r="Z395" s="50" t="str">
        <f t="shared" si="108"/>
        <v/>
      </c>
      <c r="AA395" s="50" t="str">
        <f t="shared" si="109"/>
        <v/>
      </c>
      <c r="AB395" s="50" t="str">
        <f t="shared" si="110"/>
        <v/>
      </c>
      <c r="AC395" s="50" t="str">
        <f>IF($A395="","",IF($F395="assignment",IF($AF395&gt;0,INDEX($AH$9:$AH$394,$AF395),0)*$AE395*$D395,IF($F395="buy_shares",$M395*$AL395,0)))</f>
        <v/>
      </c>
      <c r="AD395" s="50" t="str">
        <f>IF($A395="","",IF($F395="called_away",IF($AF395&gt;0,INDEX($AH$9:$AH$394,$AF395),0)*$AL395,IF($F395="sell_shares",$M395*$AL395,0)))</f>
        <v/>
      </c>
      <c r="AE395" s="51" t="str">
        <f>IF($A395="","",IF(OR($F395="sell_put",$F395="sell_call"),IF(AND($H395&gt;0,$I395&gt;0,$J395&gt;=0),$H395,0),IF(OR($F395="buy_to_close",$F395="expire",$F395="roll",$F395="assignment",$F395="called_away"),IF(AND($AF395&gt;0,$H395&gt;0,IF($F395="assignment",IF($AF395&gt;0,INDEX($AG$9:$AG$394,$AF395),"")="put",TRUE),IF($F395="called_away",IF($AF395&gt;0,INDEX($AG$9:$AG$394,$AF395),"")="call",TRUE)),MIN($H395,IF($AF395&gt;0,MAX(0,INDEX($AI$9:$AI$394,$AF395)-SUMIFS($AE$9:$AE$394,$G$9:$G$394,$G395,$B$9:$B$394,$B395)),0)),0),0)))</f>
        <v/>
      </c>
      <c r="AF395" t="str">
        <f>IF($A395="","",IFERROR(MATCH(LEN($B395)&amp;":"&amp;$B395&amp;$G395,$AY$9:$AY$394,0),0))</f>
        <v/>
      </c>
      <c r="AG395" t="str">
        <f>IF($A395="","",IF($F395="sell_put","put",IF($F395="sell_call","call",IF($F395="roll",IF($AF395&gt;0,IF($AF395&gt;0,INDEX($AG$9:$AG$394,$AF395),""),""),IF($AF395&gt;0,IF($AF395&gt;0,INDEX($AG$9:$AG$394,$AF395),""),"")))))</f>
        <v/>
      </c>
      <c r="AH395" t="str">
        <f>IF($A395="","",IF(OR($F395="sell_put",$F395="sell_call",$F395="roll"),$I395,IF($AF395&gt;0,IF($AF395&gt;0,INDEX($AH$9:$AH$394,$AF395),0),0)))</f>
        <v/>
      </c>
      <c r="AI395" s="51" t="str">
        <f t="shared" si="111"/>
        <v/>
      </c>
      <c r="AJ395" s="51" t="str">
        <f>IF($A395="","",IFERROR(LOOKUP(2,1/($B$9:$B$394=$B395),$AM$9:$AM394),0))</f>
        <v/>
      </c>
      <c r="AK395" t="str">
        <f>IF($A395="","",IFERROR(LOOKUP(2,1/($B$9:$B$394=$B395),$AN$9:$AN394),0))</f>
        <v/>
      </c>
      <c r="AL395" s="51" t="str">
        <f t="shared" si="112"/>
        <v/>
      </c>
      <c r="AM395" s="51" t="str">
        <f t="shared" si="113"/>
        <v/>
      </c>
      <c r="AN395" t="str">
        <f t="shared" si="114"/>
        <v/>
      </c>
      <c r="AO395" s="50" t="str">
        <f>IF($A395="","",IFERROR(LOOKUP(2,1/($B$9:$B$394=$B395),$AO$9:$AO394),0)+IF($F395="sell_put",$I395*$AE395*$D395,IF($F395="roll",IF($AG395="put",($I395-IF($AF395&gt;0,INDEX($AH$9:$AH$394,$AF395),0))*$AE395*$D395,0),IF(AND(OR($F395="buy_to_close",$F395="expire",$F395="roll",$F395="assignment",$F395="called_away"),$F395&lt;&gt;"roll",$AG395="put"),-IF($AF395&gt;0,INDEX($AH$9:$AH$394,$AF395),0)*$AE395*$D395,0))))</f>
        <v/>
      </c>
      <c r="AP395" s="51" t="str">
        <f>IF($A395="","",IFERROR(LOOKUP(2,1/($B$9:$B$394=$B395),$AP$9:$AP394),0)+IF($F395="sell_put",$AE395*$D395,IF(AND(OR($F395="buy_to_close",$F395="expire",$F395="roll",$F395="assignment",$F395="called_away"),$F395&lt;&gt;"roll",$AG395="put"),-$AE395*$D395,0)))</f>
        <v/>
      </c>
      <c r="AQ395" s="51" t="str">
        <f>IF($A395="","",IFERROR(LOOKUP(2,1/($B$9:$B$394=$B395),$AQ$9:$AQ394),0)+IF(OR($F395="sell_put",$F395="sell_call"),$AE395,0)-IF(AND(OR($F395="buy_to_close",$F395="expire",$F395="roll",$F395="assignment",$F395="called_away"),$F395&lt;&gt;"roll"),$AE395,0))</f>
        <v/>
      </c>
      <c r="AR395" t="str">
        <f t="shared" si="115"/>
        <v/>
      </c>
      <c r="AS395" s="50" t="str">
        <f t="shared" si="116"/>
        <v/>
      </c>
      <c r="AT395" s="50" t="str">
        <f>IF($A395="","",MAX(IF($T395=IFERROR(LOOKUP(2,1/($B$9:$B$394=$B395),$T$9:$T394),0),IFERROR(LOOKUP(2,1/($B$9:$B$394=$B395),$AT$9:$AT394),0),0),$AS395))</f>
        <v/>
      </c>
      <c r="AU395" t="str">
        <f t="shared" si="117"/>
        <v/>
      </c>
      <c r="AV395" s="51">
        <f>IF($AU395="",0,IF(AND(IFERROR(LOOKUP(2,1/($B$9:$B$394=$B395),$AR$9:$AR394),1),NOT(AND(OR($F395="dividend",$F395="fee"),IFERROR(LOOKUP(2,1/($B$9:$B$394=$B395),$T$9:$T394),0)&gt;0))),ROW(),0))</f>
        <v>0</v>
      </c>
      <c r="AW395">
        <f>IF($A395="",0,IF($AV395&gt;0,MAX($AW$9:$AW$394)+1,MAX($AW$9:$AW$394)))</f>
        <v>0</v>
      </c>
      <c r="AX395">
        <f>IF($AU395="",0,IF(AND($AR395,OR(NOT(IFERROR(LOOKUP(2,1/($B$9:$B$394=$B395),$AR$9:$AR394),1)),IFERROR(LOOKUP(2,1/($B$9:$B$394=$B395),$T$9:$T394),0)=0)),ROW(),0))</f>
        <v>0</v>
      </c>
      <c r="AY395" t="str">
        <f t="shared" si="118"/>
        <v/>
      </c>
    </row>
    <row r="396" spans="1:51" ht="15" x14ac:dyDescent="0.25">
      <c r="A396" s="52" t="str">
        <f>IF(Trades!$A396="","",Trades!O396)</f>
        <v/>
      </c>
      <c r="B396" s="52" t="str">
        <f>IF(Trades!$A396="","",Trades!B396)</f>
        <v/>
      </c>
      <c r="C396" s="52" t="str">
        <f>IF(Trades!$A396="","",Trades!C396)</f>
        <v/>
      </c>
      <c r="D396" s="53" t="str">
        <f>IF(Trades!$A396="","",IF(Trades!$L396&gt;0,Trades!$L396,Trades!$C$6))</f>
        <v/>
      </c>
      <c r="E396" s="54" t="str">
        <f>IF(Trades!$A396="","",Trades!A396)</f>
        <v/>
      </c>
      <c r="F396" s="52" t="str">
        <f>IF(Trades!$A396="","",IFERROR(INDEX(Trades!$V$2:$V$14,MATCH(Trades!$E396,Trades!$U$2:$U$14,0)),""))</f>
        <v/>
      </c>
      <c r="G396" s="52" t="str">
        <f>IF(Trades!$A396="","",Trades!N396)</f>
        <v/>
      </c>
      <c r="H396" s="53" t="str">
        <f>IF(Trades!$A396="","",Trades!F396)</f>
        <v/>
      </c>
      <c r="I396" s="55" t="str">
        <f>IF(Trades!$A396="","",Trades!G396)</f>
        <v/>
      </c>
      <c r="J396" s="55" t="str">
        <f>IF(Trades!$A396="","",Trades!I396)</f>
        <v/>
      </c>
      <c r="K396" s="55" t="str">
        <f>IF(Trades!$A396="","",Trades!Q396)</f>
        <v/>
      </c>
      <c r="L396" s="53" t="str">
        <f>IF(Trades!$A396="","",Trades!F396)</f>
        <v/>
      </c>
      <c r="M396" s="55" t="str">
        <f>IF(Trades!$A396="","",Trades!M396)</f>
        <v/>
      </c>
      <c r="N396" s="55" t="str">
        <f>IF(Trades!$A396="","",Trades!R396)</f>
        <v/>
      </c>
      <c r="O396" s="55" t="str">
        <f>IF(Trades!$A396="","",Trades!J396)</f>
        <v/>
      </c>
      <c r="P396" s="54" t="str">
        <f>IF(Trades!$A396="","",Trades!H396)</f>
        <v/>
      </c>
      <c r="Q396" s="52" t="str">
        <f>IF(Trades!$A396="","",Trades!P396)</f>
        <v/>
      </c>
      <c r="R396" s="56" t="str">
        <f t="shared" si="102"/>
        <v/>
      </c>
      <c r="S396" s="56" t="str">
        <f t="shared" si="103"/>
        <v/>
      </c>
      <c r="T396" s="57" t="str">
        <f>IF(OR($A396="",$B396=""),"",IF(AND(IFERROR(LOOKUP(2,1/($B$9:$B$395=$B396),$AR$9:$AR395),1),NOT(AND(OR($F396="dividend",$F396="fee"),IFERROR(LOOKUP(2,1/($B$9:$B$395=$B396),$T$9:$T395),0)&gt;0))),IFERROR(LOOKUP(2,1/($B$9:$B$395=$B396),$T$9:$T395),0)+1,IFERROR(LOOKUP(2,1/($B$9:$B$395=$B396),$T$9:$T395),0)))</f>
        <v/>
      </c>
      <c r="U396" s="58" t="str">
        <f t="shared" si="104"/>
        <v/>
      </c>
      <c r="V396" s="58" t="str">
        <f>IF($A396="","",IF(OR($B396="",$C396="",$D396="",$E396="",$F396=""),"Missing required field",IF(COUNTIFS($A$9:$A396,$A396,$B$9:$B396,$B396)&gt;1,"Duplicate event ID",IF(AND($E396&lt;&gt;IFERROR(LOOKUP(2,1/($B$9:$B$395=$B396),$E$9:$E395),0),IFERROR(LOOKUP(2,1/($B$9:$B$395=$B396),$E$9:$E395),0)&gt;$E396),"Date out of order",IF(AND(OR($F396="buy_to_close",$F396="expire",$F396="roll",$F396="assignment",$F396="called_away"),$AF396=0),"Unknown lot",IF(OR(AND($F396="assignment",$AF396&gt;0,IF($AF396&gt;0,INDEX($AG$9:$AG$395,$AF396),"")&lt;&gt;"put"),AND($F396="called_away",$AF396&gt;0,IF($AF396&gt;0,INDEX($AG$9:$AG$395,$AF396),"")&lt;&gt;"call")),"Wrong option leg",IF(OR(AND(OR($F396="sell_put",$F396="sell_call"),OR($H396&lt;=0,$I396&lt;=0,$J396&lt;0)),AND(OR($F396="buy_to_close",$F396="expire",$F396="assignment",$F396="called_away"),OR($H396&lt;=0,$J396&lt;0)),AND($F396="roll",OR($H396&lt;=0,$I396&lt;=0,$J396&lt;0,$K396&lt;0)),AND(OR($F396="buy_shares",$F396="sell_shares"),OR($L396&lt;=0,$M396&lt;0)),AND(OR($F396="dividend",$F396="fee"),$N396&lt;0)),"Invalid value",IF(AND(OR($F396="sell_shares",$F396="called_away"),$AL396&lt;IF($F396="called_away",$AE396*$D396,$L396)),"Insufficient shares (capped)",IF(AND(OR($F396="buy_to_close",$F396="expire",$F396="roll",$F396="assignment",$F396="called_away"),$AF396&gt;0,$H396&gt;IF($AF396&gt;0,MAX(0,INDEX($AI$9:$AI$395,$AF396)-SUMIFS($AE$9:$AE$395,$G$9:$G$395,$G396,$B$9:$B$395,$B396)),0)),"Close quantity capped","OK")))))))))</f>
        <v/>
      </c>
      <c r="W396" s="59" t="str">
        <f t="shared" si="105"/>
        <v/>
      </c>
      <c r="X396" s="60" t="str">
        <f t="shared" si="106"/>
        <v/>
      </c>
      <c r="Y396" s="50" t="str">
        <f t="shared" si="107"/>
        <v/>
      </c>
      <c r="Z396" s="50" t="str">
        <f t="shared" si="108"/>
        <v/>
      </c>
      <c r="AA396" s="50" t="str">
        <f t="shared" si="109"/>
        <v/>
      </c>
      <c r="AB396" s="50" t="str">
        <f t="shared" si="110"/>
        <v/>
      </c>
      <c r="AC396" s="50" t="str">
        <f>IF($A396="","",IF($F396="assignment",IF($AF396&gt;0,INDEX($AH$9:$AH$395,$AF396),0)*$AE396*$D396,IF($F396="buy_shares",$M396*$AL396,0)))</f>
        <v/>
      </c>
      <c r="AD396" s="50" t="str">
        <f>IF($A396="","",IF($F396="called_away",IF($AF396&gt;0,INDEX($AH$9:$AH$395,$AF396),0)*$AL396,IF($F396="sell_shares",$M396*$AL396,0)))</f>
        <v/>
      </c>
      <c r="AE396" s="51" t="str">
        <f>IF($A396="","",IF(OR($F396="sell_put",$F396="sell_call"),IF(AND($H396&gt;0,$I396&gt;0,$J396&gt;=0),$H396,0),IF(OR($F396="buy_to_close",$F396="expire",$F396="roll",$F396="assignment",$F396="called_away"),IF(AND($AF396&gt;0,$H396&gt;0,IF($F396="assignment",IF($AF396&gt;0,INDEX($AG$9:$AG$395,$AF396),"")="put",TRUE),IF($F396="called_away",IF($AF396&gt;0,INDEX($AG$9:$AG$395,$AF396),"")="call",TRUE)),MIN($H396,IF($AF396&gt;0,MAX(0,INDEX($AI$9:$AI$395,$AF396)-SUMIFS($AE$9:$AE$395,$G$9:$G$395,$G396,$B$9:$B$395,$B396)),0)),0),0)))</f>
        <v/>
      </c>
      <c r="AF396" t="str">
        <f>IF($A396="","",IFERROR(MATCH(LEN($B396)&amp;":"&amp;$B396&amp;$G396,$AY$9:$AY$395,0),0))</f>
        <v/>
      </c>
      <c r="AG396" t="str">
        <f>IF($A396="","",IF($F396="sell_put","put",IF($F396="sell_call","call",IF($F396="roll",IF($AF396&gt;0,IF($AF396&gt;0,INDEX($AG$9:$AG$395,$AF396),""),""),IF($AF396&gt;0,IF($AF396&gt;0,INDEX($AG$9:$AG$395,$AF396),""),"")))))</f>
        <v/>
      </c>
      <c r="AH396" t="str">
        <f>IF($A396="","",IF(OR($F396="sell_put",$F396="sell_call",$F396="roll"),$I396,IF($AF396&gt;0,IF($AF396&gt;0,INDEX($AH$9:$AH$395,$AF396),0),0)))</f>
        <v/>
      </c>
      <c r="AI396" s="51" t="str">
        <f t="shared" si="111"/>
        <v/>
      </c>
      <c r="AJ396" s="51" t="str">
        <f>IF($A396="","",IFERROR(LOOKUP(2,1/($B$9:$B$395=$B396),$AM$9:$AM395),0))</f>
        <v/>
      </c>
      <c r="AK396" t="str">
        <f>IF($A396="","",IFERROR(LOOKUP(2,1/($B$9:$B$395=$B396),$AN$9:$AN395),0))</f>
        <v/>
      </c>
      <c r="AL396" s="51" t="str">
        <f t="shared" si="112"/>
        <v/>
      </c>
      <c r="AM396" s="51" t="str">
        <f t="shared" si="113"/>
        <v/>
      </c>
      <c r="AN396" t="str">
        <f t="shared" si="114"/>
        <v/>
      </c>
      <c r="AO396" s="50" t="str">
        <f>IF($A396="","",IFERROR(LOOKUP(2,1/($B$9:$B$395=$B396),$AO$9:$AO395),0)+IF($F396="sell_put",$I396*$AE396*$D396,IF($F396="roll",IF($AG396="put",($I396-IF($AF396&gt;0,INDEX($AH$9:$AH$395,$AF396),0))*$AE396*$D396,0),IF(AND(OR($F396="buy_to_close",$F396="expire",$F396="roll",$F396="assignment",$F396="called_away"),$F396&lt;&gt;"roll",$AG396="put"),-IF($AF396&gt;0,INDEX($AH$9:$AH$395,$AF396),0)*$AE396*$D396,0))))</f>
        <v/>
      </c>
      <c r="AP396" s="51" t="str">
        <f>IF($A396="","",IFERROR(LOOKUP(2,1/($B$9:$B$395=$B396),$AP$9:$AP395),0)+IF($F396="sell_put",$AE396*$D396,IF(AND(OR($F396="buy_to_close",$F396="expire",$F396="roll",$F396="assignment",$F396="called_away"),$F396&lt;&gt;"roll",$AG396="put"),-$AE396*$D396,0)))</f>
        <v/>
      </c>
      <c r="AQ396" s="51" t="str">
        <f>IF($A396="","",IFERROR(LOOKUP(2,1/($B$9:$B$395=$B396),$AQ$9:$AQ395),0)+IF(OR($F396="sell_put",$F396="sell_call"),$AE396,0)-IF(AND(OR($F396="buy_to_close",$F396="expire",$F396="roll",$F396="assignment",$F396="called_away"),$F396&lt;&gt;"roll"),$AE396,0))</f>
        <v/>
      </c>
      <c r="AR396" t="str">
        <f t="shared" si="115"/>
        <v/>
      </c>
      <c r="AS396" s="50" t="str">
        <f t="shared" si="116"/>
        <v/>
      </c>
      <c r="AT396" s="50" t="str">
        <f>IF($A396="","",MAX(IF($T396=IFERROR(LOOKUP(2,1/($B$9:$B$395=$B396),$T$9:$T395),0),IFERROR(LOOKUP(2,1/($B$9:$B$395=$B396),$AT$9:$AT395),0),0),$AS396))</f>
        <v/>
      </c>
      <c r="AU396" t="str">
        <f t="shared" si="117"/>
        <v/>
      </c>
      <c r="AV396" s="51">
        <f>IF($AU396="",0,IF(AND(IFERROR(LOOKUP(2,1/($B$9:$B$395=$B396),$AR$9:$AR395),1),NOT(AND(OR($F396="dividend",$F396="fee"),IFERROR(LOOKUP(2,1/($B$9:$B$395=$B396),$T$9:$T395),0)&gt;0))),ROW(),0))</f>
        <v>0</v>
      </c>
      <c r="AW396">
        <f>IF($A396="",0,IF($AV396&gt;0,MAX($AW$9:$AW$395)+1,MAX($AW$9:$AW$395)))</f>
        <v>0</v>
      </c>
      <c r="AX396">
        <f>IF($AU396="",0,IF(AND($AR396,OR(NOT(IFERROR(LOOKUP(2,1/($B$9:$B$395=$B396),$AR$9:$AR395),1)),IFERROR(LOOKUP(2,1/($B$9:$B$395=$B396),$T$9:$T395),0)=0)),ROW(),0))</f>
        <v>0</v>
      </c>
      <c r="AY396" t="str">
        <f t="shared" si="118"/>
        <v/>
      </c>
    </row>
    <row r="397" spans="1:51" ht="15" x14ac:dyDescent="0.25">
      <c r="A397" s="41" t="str">
        <f>IF(Trades!$A397="","",Trades!O397)</f>
        <v/>
      </c>
      <c r="B397" s="41" t="str">
        <f>IF(Trades!$A397="","",Trades!B397)</f>
        <v/>
      </c>
      <c r="C397" s="41" t="str">
        <f>IF(Trades!$A397="","",Trades!C397)</f>
        <v/>
      </c>
      <c r="D397" s="42" t="str">
        <f>IF(Trades!$A397="","",IF(Trades!$L397&gt;0,Trades!$L397,Trades!$C$6))</f>
        <v/>
      </c>
      <c r="E397" s="43" t="str">
        <f>IF(Trades!$A397="","",Trades!A397)</f>
        <v/>
      </c>
      <c r="F397" s="41" t="str">
        <f>IF(Trades!$A397="","",IFERROR(INDEX(Trades!$V$2:$V$14,MATCH(Trades!$E397,Trades!$U$2:$U$14,0)),""))</f>
        <v/>
      </c>
      <c r="G397" s="41" t="str">
        <f>IF(Trades!$A397="","",Trades!N397)</f>
        <v/>
      </c>
      <c r="H397" s="42" t="str">
        <f>IF(Trades!$A397="","",Trades!F397)</f>
        <v/>
      </c>
      <c r="I397" s="44" t="str">
        <f>IF(Trades!$A397="","",Trades!G397)</f>
        <v/>
      </c>
      <c r="J397" s="44" t="str">
        <f>IF(Trades!$A397="","",Trades!I397)</f>
        <v/>
      </c>
      <c r="K397" s="44" t="str">
        <f>IF(Trades!$A397="","",Trades!Q397)</f>
        <v/>
      </c>
      <c r="L397" s="42" t="str">
        <f>IF(Trades!$A397="","",Trades!F397)</f>
        <v/>
      </c>
      <c r="M397" s="44" t="str">
        <f>IF(Trades!$A397="","",Trades!M397)</f>
        <v/>
      </c>
      <c r="N397" s="44" t="str">
        <f>IF(Trades!$A397="","",Trades!R397)</f>
        <v/>
      </c>
      <c r="O397" s="44" t="str">
        <f>IF(Trades!$A397="","",Trades!J397)</f>
        <v/>
      </c>
      <c r="P397" s="43" t="str">
        <f>IF(Trades!$A397="","",Trades!H397)</f>
        <v/>
      </c>
      <c r="Q397" s="41" t="str">
        <f>IF(Trades!$A397="","",Trades!P397)</f>
        <v/>
      </c>
      <c r="R397" s="45" t="str">
        <f t="shared" si="102"/>
        <v/>
      </c>
      <c r="S397" s="45" t="str">
        <f t="shared" si="103"/>
        <v/>
      </c>
      <c r="T397" s="46" t="str">
        <f>IF(OR($A397="",$B397=""),"",IF(AND(IFERROR(LOOKUP(2,1/($B$9:$B$396=$B397),$AR$9:$AR396),1),NOT(AND(OR($F397="dividend",$F397="fee"),IFERROR(LOOKUP(2,1/($B$9:$B$396=$B397),$T$9:$T396),0)&gt;0))),IFERROR(LOOKUP(2,1/($B$9:$B$396=$B397),$T$9:$T396),0)+1,IFERROR(LOOKUP(2,1/($B$9:$B$396=$B397),$T$9:$T396),0)))</f>
        <v/>
      </c>
      <c r="U397" s="47" t="str">
        <f t="shared" si="104"/>
        <v/>
      </c>
      <c r="V397" s="47" t="str">
        <f>IF($A397="","",IF(OR($B397="",$C397="",$D397="",$E397="",$F397=""),"Missing required field",IF(COUNTIFS($A$9:$A397,$A397,$B$9:$B397,$B397)&gt;1,"Duplicate event ID",IF(AND($E397&lt;&gt;IFERROR(LOOKUP(2,1/($B$9:$B$396=$B397),$E$9:$E396),0),IFERROR(LOOKUP(2,1/($B$9:$B$396=$B397),$E$9:$E396),0)&gt;$E397),"Date out of order",IF(AND(OR($F397="buy_to_close",$F397="expire",$F397="roll",$F397="assignment",$F397="called_away"),$AF397=0),"Unknown lot",IF(OR(AND($F397="assignment",$AF397&gt;0,IF($AF397&gt;0,INDEX($AG$9:$AG$396,$AF397),"")&lt;&gt;"put"),AND($F397="called_away",$AF397&gt;0,IF($AF397&gt;0,INDEX($AG$9:$AG$396,$AF397),"")&lt;&gt;"call")),"Wrong option leg",IF(OR(AND(OR($F397="sell_put",$F397="sell_call"),OR($H397&lt;=0,$I397&lt;=0,$J397&lt;0)),AND(OR($F397="buy_to_close",$F397="expire",$F397="assignment",$F397="called_away"),OR($H397&lt;=0,$J397&lt;0)),AND($F397="roll",OR($H397&lt;=0,$I397&lt;=0,$J397&lt;0,$K397&lt;0)),AND(OR($F397="buy_shares",$F397="sell_shares"),OR($L397&lt;=0,$M397&lt;0)),AND(OR($F397="dividend",$F397="fee"),$N397&lt;0)),"Invalid value",IF(AND(OR($F397="sell_shares",$F397="called_away"),$AL397&lt;IF($F397="called_away",$AE397*$D397,$L397)),"Insufficient shares (capped)",IF(AND(OR($F397="buy_to_close",$F397="expire",$F397="roll",$F397="assignment",$F397="called_away"),$AF397&gt;0,$H397&gt;IF($AF397&gt;0,MAX(0,INDEX($AI$9:$AI$396,$AF397)-SUMIFS($AE$9:$AE$396,$G$9:$G$396,$G397,$B$9:$B$396,$B397)),0)),"Close quantity capped","OK")))))))))</f>
        <v/>
      </c>
      <c r="W397" s="48" t="str">
        <f t="shared" si="105"/>
        <v/>
      </c>
      <c r="X397" s="49" t="str">
        <f t="shared" si="106"/>
        <v/>
      </c>
      <c r="Y397" s="50" t="str">
        <f t="shared" si="107"/>
        <v/>
      </c>
      <c r="Z397" s="50" t="str">
        <f t="shared" si="108"/>
        <v/>
      </c>
      <c r="AA397" s="50" t="str">
        <f t="shared" si="109"/>
        <v/>
      </c>
      <c r="AB397" s="50" t="str">
        <f t="shared" si="110"/>
        <v/>
      </c>
      <c r="AC397" s="50" t="str">
        <f>IF($A397="","",IF($F397="assignment",IF($AF397&gt;0,INDEX($AH$9:$AH$396,$AF397),0)*$AE397*$D397,IF($F397="buy_shares",$M397*$AL397,0)))</f>
        <v/>
      </c>
      <c r="AD397" s="50" t="str">
        <f>IF($A397="","",IF($F397="called_away",IF($AF397&gt;0,INDEX($AH$9:$AH$396,$AF397),0)*$AL397,IF($F397="sell_shares",$M397*$AL397,0)))</f>
        <v/>
      </c>
      <c r="AE397" s="51" t="str">
        <f>IF($A397="","",IF(OR($F397="sell_put",$F397="sell_call"),IF(AND($H397&gt;0,$I397&gt;0,$J397&gt;=0),$H397,0),IF(OR($F397="buy_to_close",$F397="expire",$F397="roll",$F397="assignment",$F397="called_away"),IF(AND($AF397&gt;0,$H397&gt;0,IF($F397="assignment",IF($AF397&gt;0,INDEX($AG$9:$AG$396,$AF397),"")="put",TRUE),IF($F397="called_away",IF($AF397&gt;0,INDEX($AG$9:$AG$396,$AF397),"")="call",TRUE)),MIN($H397,IF($AF397&gt;0,MAX(0,INDEX($AI$9:$AI$396,$AF397)-SUMIFS($AE$9:$AE$396,$G$9:$G$396,$G397,$B$9:$B$396,$B397)),0)),0),0)))</f>
        <v/>
      </c>
      <c r="AF397" t="str">
        <f>IF($A397="","",IFERROR(MATCH(LEN($B397)&amp;":"&amp;$B397&amp;$G397,$AY$9:$AY$396,0),0))</f>
        <v/>
      </c>
      <c r="AG397" t="str">
        <f>IF($A397="","",IF($F397="sell_put","put",IF($F397="sell_call","call",IF($F397="roll",IF($AF397&gt;0,IF($AF397&gt;0,INDEX($AG$9:$AG$396,$AF397),""),""),IF($AF397&gt;0,IF($AF397&gt;0,INDEX($AG$9:$AG$396,$AF397),""),"")))))</f>
        <v/>
      </c>
      <c r="AH397" t="str">
        <f>IF($A397="","",IF(OR($F397="sell_put",$F397="sell_call",$F397="roll"),$I397,IF($AF397&gt;0,IF($AF397&gt;0,INDEX($AH$9:$AH$396,$AF397),0),0)))</f>
        <v/>
      </c>
      <c r="AI397" s="51" t="str">
        <f t="shared" si="111"/>
        <v/>
      </c>
      <c r="AJ397" s="51" t="str">
        <f>IF($A397="","",IFERROR(LOOKUP(2,1/($B$9:$B$396=$B397),$AM$9:$AM396),0))</f>
        <v/>
      </c>
      <c r="AK397" t="str">
        <f>IF($A397="","",IFERROR(LOOKUP(2,1/($B$9:$B$396=$B397),$AN$9:$AN396),0))</f>
        <v/>
      </c>
      <c r="AL397" s="51" t="str">
        <f t="shared" si="112"/>
        <v/>
      </c>
      <c r="AM397" s="51" t="str">
        <f t="shared" si="113"/>
        <v/>
      </c>
      <c r="AN397" t="str">
        <f t="shared" si="114"/>
        <v/>
      </c>
      <c r="AO397" s="50" t="str">
        <f>IF($A397="","",IFERROR(LOOKUP(2,1/($B$9:$B$396=$B397),$AO$9:$AO396),0)+IF($F397="sell_put",$I397*$AE397*$D397,IF($F397="roll",IF($AG397="put",($I397-IF($AF397&gt;0,INDEX($AH$9:$AH$396,$AF397),0))*$AE397*$D397,0),IF(AND(OR($F397="buy_to_close",$F397="expire",$F397="roll",$F397="assignment",$F397="called_away"),$F397&lt;&gt;"roll",$AG397="put"),-IF($AF397&gt;0,INDEX($AH$9:$AH$396,$AF397),0)*$AE397*$D397,0))))</f>
        <v/>
      </c>
      <c r="AP397" s="51" t="str">
        <f>IF($A397="","",IFERROR(LOOKUP(2,1/($B$9:$B$396=$B397),$AP$9:$AP396),0)+IF($F397="sell_put",$AE397*$D397,IF(AND(OR($F397="buy_to_close",$F397="expire",$F397="roll",$F397="assignment",$F397="called_away"),$F397&lt;&gt;"roll",$AG397="put"),-$AE397*$D397,0)))</f>
        <v/>
      </c>
      <c r="AQ397" s="51" t="str">
        <f>IF($A397="","",IFERROR(LOOKUP(2,1/($B$9:$B$396=$B397),$AQ$9:$AQ396),0)+IF(OR($F397="sell_put",$F397="sell_call"),$AE397,0)-IF(AND(OR($F397="buy_to_close",$F397="expire",$F397="roll",$F397="assignment",$F397="called_away"),$F397&lt;&gt;"roll"),$AE397,0))</f>
        <v/>
      </c>
      <c r="AR397" t="str">
        <f t="shared" si="115"/>
        <v/>
      </c>
      <c r="AS397" s="50" t="str">
        <f t="shared" si="116"/>
        <v/>
      </c>
      <c r="AT397" s="50" t="str">
        <f>IF($A397="","",MAX(IF($T397=IFERROR(LOOKUP(2,1/($B$9:$B$396=$B397),$T$9:$T396),0),IFERROR(LOOKUP(2,1/($B$9:$B$396=$B397),$AT$9:$AT396),0),0),$AS397))</f>
        <v/>
      </c>
      <c r="AU397" t="str">
        <f t="shared" si="117"/>
        <v/>
      </c>
      <c r="AV397" s="51">
        <f>IF($AU397="",0,IF(AND(IFERROR(LOOKUP(2,1/($B$9:$B$396=$B397),$AR$9:$AR396),1),NOT(AND(OR($F397="dividend",$F397="fee"),IFERROR(LOOKUP(2,1/($B$9:$B$396=$B397),$T$9:$T396),0)&gt;0))),ROW(),0))</f>
        <v>0</v>
      </c>
      <c r="AW397">
        <f>IF($A397="",0,IF($AV397&gt;0,MAX($AW$9:$AW$396)+1,MAX($AW$9:$AW$396)))</f>
        <v>0</v>
      </c>
      <c r="AX397">
        <f>IF($AU397="",0,IF(AND($AR397,OR(NOT(IFERROR(LOOKUP(2,1/($B$9:$B$396=$B397),$AR$9:$AR396),1)),IFERROR(LOOKUP(2,1/($B$9:$B$396=$B397),$T$9:$T396),0)=0)),ROW(),0))</f>
        <v>0</v>
      </c>
      <c r="AY397" t="str">
        <f t="shared" si="118"/>
        <v/>
      </c>
    </row>
    <row r="398" spans="1:51" ht="15" x14ac:dyDescent="0.25">
      <c r="A398" s="52" t="str">
        <f>IF(Trades!$A398="","",Trades!O398)</f>
        <v/>
      </c>
      <c r="B398" s="52" t="str">
        <f>IF(Trades!$A398="","",Trades!B398)</f>
        <v/>
      </c>
      <c r="C398" s="52" t="str">
        <f>IF(Trades!$A398="","",Trades!C398)</f>
        <v/>
      </c>
      <c r="D398" s="53" t="str">
        <f>IF(Trades!$A398="","",IF(Trades!$L398&gt;0,Trades!$L398,Trades!$C$6))</f>
        <v/>
      </c>
      <c r="E398" s="54" t="str">
        <f>IF(Trades!$A398="","",Trades!A398)</f>
        <v/>
      </c>
      <c r="F398" s="52" t="str">
        <f>IF(Trades!$A398="","",IFERROR(INDEX(Trades!$V$2:$V$14,MATCH(Trades!$E398,Trades!$U$2:$U$14,0)),""))</f>
        <v/>
      </c>
      <c r="G398" s="52" t="str">
        <f>IF(Trades!$A398="","",Trades!N398)</f>
        <v/>
      </c>
      <c r="H398" s="53" t="str">
        <f>IF(Trades!$A398="","",Trades!F398)</f>
        <v/>
      </c>
      <c r="I398" s="55" t="str">
        <f>IF(Trades!$A398="","",Trades!G398)</f>
        <v/>
      </c>
      <c r="J398" s="55" t="str">
        <f>IF(Trades!$A398="","",Trades!I398)</f>
        <v/>
      </c>
      <c r="K398" s="55" t="str">
        <f>IF(Trades!$A398="","",Trades!Q398)</f>
        <v/>
      </c>
      <c r="L398" s="53" t="str">
        <f>IF(Trades!$A398="","",Trades!F398)</f>
        <v/>
      </c>
      <c r="M398" s="55" t="str">
        <f>IF(Trades!$A398="","",Trades!M398)</f>
        <v/>
      </c>
      <c r="N398" s="55" t="str">
        <f>IF(Trades!$A398="","",Trades!R398)</f>
        <v/>
      </c>
      <c r="O398" s="55" t="str">
        <f>IF(Trades!$A398="","",Trades!J398)</f>
        <v/>
      </c>
      <c r="P398" s="54" t="str">
        <f>IF(Trades!$A398="","",Trades!H398)</f>
        <v/>
      </c>
      <c r="Q398" s="52" t="str">
        <f>IF(Trades!$A398="","",Trades!P398)</f>
        <v/>
      </c>
      <c r="R398" s="56" t="str">
        <f t="shared" si="102"/>
        <v/>
      </c>
      <c r="S398" s="56" t="str">
        <f t="shared" si="103"/>
        <v/>
      </c>
      <c r="T398" s="57" t="str">
        <f>IF(OR($A398="",$B398=""),"",IF(AND(IFERROR(LOOKUP(2,1/($B$9:$B$397=$B398),$AR$9:$AR397),1),NOT(AND(OR($F398="dividend",$F398="fee"),IFERROR(LOOKUP(2,1/($B$9:$B$397=$B398),$T$9:$T397),0)&gt;0))),IFERROR(LOOKUP(2,1/($B$9:$B$397=$B398),$T$9:$T397),0)+1,IFERROR(LOOKUP(2,1/($B$9:$B$397=$B398),$T$9:$T397),0)))</f>
        <v/>
      </c>
      <c r="U398" s="58" t="str">
        <f t="shared" si="104"/>
        <v/>
      </c>
      <c r="V398" s="58" t="str">
        <f>IF($A398="","",IF(OR($B398="",$C398="",$D398="",$E398="",$F398=""),"Missing required field",IF(COUNTIFS($A$9:$A398,$A398,$B$9:$B398,$B398)&gt;1,"Duplicate event ID",IF(AND($E398&lt;&gt;IFERROR(LOOKUP(2,1/($B$9:$B$397=$B398),$E$9:$E397),0),IFERROR(LOOKUP(2,1/($B$9:$B$397=$B398),$E$9:$E397),0)&gt;$E398),"Date out of order",IF(AND(OR($F398="buy_to_close",$F398="expire",$F398="roll",$F398="assignment",$F398="called_away"),$AF398=0),"Unknown lot",IF(OR(AND($F398="assignment",$AF398&gt;0,IF($AF398&gt;0,INDEX($AG$9:$AG$397,$AF398),"")&lt;&gt;"put"),AND($F398="called_away",$AF398&gt;0,IF($AF398&gt;0,INDEX($AG$9:$AG$397,$AF398),"")&lt;&gt;"call")),"Wrong option leg",IF(OR(AND(OR($F398="sell_put",$F398="sell_call"),OR($H398&lt;=0,$I398&lt;=0,$J398&lt;0)),AND(OR($F398="buy_to_close",$F398="expire",$F398="assignment",$F398="called_away"),OR($H398&lt;=0,$J398&lt;0)),AND($F398="roll",OR($H398&lt;=0,$I398&lt;=0,$J398&lt;0,$K398&lt;0)),AND(OR($F398="buy_shares",$F398="sell_shares"),OR($L398&lt;=0,$M398&lt;0)),AND(OR($F398="dividend",$F398="fee"),$N398&lt;0)),"Invalid value",IF(AND(OR($F398="sell_shares",$F398="called_away"),$AL398&lt;IF($F398="called_away",$AE398*$D398,$L398)),"Insufficient shares (capped)",IF(AND(OR($F398="buy_to_close",$F398="expire",$F398="roll",$F398="assignment",$F398="called_away"),$AF398&gt;0,$H398&gt;IF($AF398&gt;0,MAX(0,INDEX($AI$9:$AI$397,$AF398)-SUMIFS($AE$9:$AE$397,$G$9:$G$397,$G398,$B$9:$B$397,$B398)),0)),"Close quantity capped","OK")))))))))</f>
        <v/>
      </c>
      <c r="W398" s="59" t="str">
        <f t="shared" si="105"/>
        <v/>
      </c>
      <c r="X398" s="60" t="str">
        <f t="shared" si="106"/>
        <v/>
      </c>
      <c r="Y398" s="50" t="str">
        <f t="shared" si="107"/>
        <v/>
      </c>
      <c r="Z398" s="50" t="str">
        <f t="shared" si="108"/>
        <v/>
      </c>
      <c r="AA398" s="50" t="str">
        <f t="shared" si="109"/>
        <v/>
      </c>
      <c r="AB398" s="50" t="str">
        <f t="shared" si="110"/>
        <v/>
      </c>
      <c r="AC398" s="50" t="str">
        <f>IF($A398="","",IF($F398="assignment",IF($AF398&gt;0,INDEX($AH$9:$AH$397,$AF398),0)*$AE398*$D398,IF($F398="buy_shares",$M398*$AL398,0)))</f>
        <v/>
      </c>
      <c r="AD398" s="50" t="str">
        <f>IF($A398="","",IF($F398="called_away",IF($AF398&gt;0,INDEX($AH$9:$AH$397,$AF398),0)*$AL398,IF($F398="sell_shares",$M398*$AL398,0)))</f>
        <v/>
      </c>
      <c r="AE398" s="51" t="str">
        <f>IF($A398="","",IF(OR($F398="sell_put",$F398="sell_call"),IF(AND($H398&gt;0,$I398&gt;0,$J398&gt;=0),$H398,0),IF(OR($F398="buy_to_close",$F398="expire",$F398="roll",$F398="assignment",$F398="called_away"),IF(AND($AF398&gt;0,$H398&gt;0,IF($F398="assignment",IF($AF398&gt;0,INDEX($AG$9:$AG$397,$AF398),"")="put",TRUE),IF($F398="called_away",IF($AF398&gt;0,INDEX($AG$9:$AG$397,$AF398),"")="call",TRUE)),MIN($H398,IF($AF398&gt;0,MAX(0,INDEX($AI$9:$AI$397,$AF398)-SUMIFS($AE$9:$AE$397,$G$9:$G$397,$G398,$B$9:$B$397,$B398)),0)),0),0)))</f>
        <v/>
      </c>
      <c r="AF398" t="str">
        <f>IF($A398="","",IFERROR(MATCH(LEN($B398)&amp;":"&amp;$B398&amp;$G398,$AY$9:$AY$397,0),0))</f>
        <v/>
      </c>
      <c r="AG398" t="str">
        <f>IF($A398="","",IF($F398="sell_put","put",IF($F398="sell_call","call",IF($F398="roll",IF($AF398&gt;0,IF($AF398&gt;0,INDEX($AG$9:$AG$397,$AF398),""),""),IF($AF398&gt;0,IF($AF398&gt;0,INDEX($AG$9:$AG$397,$AF398),""),"")))))</f>
        <v/>
      </c>
      <c r="AH398" t="str">
        <f>IF($A398="","",IF(OR($F398="sell_put",$F398="sell_call",$F398="roll"),$I398,IF($AF398&gt;0,IF($AF398&gt;0,INDEX($AH$9:$AH$397,$AF398),0),0)))</f>
        <v/>
      </c>
      <c r="AI398" s="51" t="str">
        <f t="shared" si="111"/>
        <v/>
      </c>
      <c r="AJ398" s="51" t="str">
        <f>IF($A398="","",IFERROR(LOOKUP(2,1/($B$9:$B$397=$B398),$AM$9:$AM397),0))</f>
        <v/>
      </c>
      <c r="AK398" t="str">
        <f>IF($A398="","",IFERROR(LOOKUP(2,1/($B$9:$B$397=$B398),$AN$9:$AN397),0))</f>
        <v/>
      </c>
      <c r="AL398" s="51" t="str">
        <f t="shared" si="112"/>
        <v/>
      </c>
      <c r="AM398" s="51" t="str">
        <f t="shared" si="113"/>
        <v/>
      </c>
      <c r="AN398" t="str">
        <f t="shared" si="114"/>
        <v/>
      </c>
      <c r="AO398" s="50" t="str">
        <f>IF($A398="","",IFERROR(LOOKUP(2,1/($B$9:$B$397=$B398),$AO$9:$AO397),0)+IF($F398="sell_put",$I398*$AE398*$D398,IF($F398="roll",IF($AG398="put",($I398-IF($AF398&gt;0,INDEX($AH$9:$AH$397,$AF398),0))*$AE398*$D398,0),IF(AND(OR($F398="buy_to_close",$F398="expire",$F398="roll",$F398="assignment",$F398="called_away"),$F398&lt;&gt;"roll",$AG398="put"),-IF($AF398&gt;0,INDEX($AH$9:$AH$397,$AF398),0)*$AE398*$D398,0))))</f>
        <v/>
      </c>
      <c r="AP398" s="51" t="str">
        <f>IF($A398="","",IFERROR(LOOKUP(2,1/($B$9:$B$397=$B398),$AP$9:$AP397),0)+IF($F398="sell_put",$AE398*$D398,IF(AND(OR($F398="buy_to_close",$F398="expire",$F398="roll",$F398="assignment",$F398="called_away"),$F398&lt;&gt;"roll",$AG398="put"),-$AE398*$D398,0)))</f>
        <v/>
      </c>
      <c r="AQ398" s="51" t="str">
        <f>IF($A398="","",IFERROR(LOOKUP(2,1/($B$9:$B$397=$B398),$AQ$9:$AQ397),0)+IF(OR($F398="sell_put",$F398="sell_call"),$AE398,0)-IF(AND(OR($F398="buy_to_close",$F398="expire",$F398="roll",$F398="assignment",$F398="called_away"),$F398&lt;&gt;"roll"),$AE398,0))</f>
        <v/>
      </c>
      <c r="AR398" t="str">
        <f t="shared" si="115"/>
        <v/>
      </c>
      <c r="AS398" s="50" t="str">
        <f t="shared" si="116"/>
        <v/>
      </c>
      <c r="AT398" s="50" t="str">
        <f>IF($A398="","",MAX(IF($T398=IFERROR(LOOKUP(2,1/($B$9:$B$397=$B398),$T$9:$T397),0),IFERROR(LOOKUP(2,1/($B$9:$B$397=$B398),$AT$9:$AT397),0),0),$AS398))</f>
        <v/>
      </c>
      <c r="AU398" t="str">
        <f t="shared" si="117"/>
        <v/>
      </c>
      <c r="AV398" s="51">
        <f>IF($AU398="",0,IF(AND(IFERROR(LOOKUP(2,1/($B$9:$B$397=$B398),$AR$9:$AR397),1),NOT(AND(OR($F398="dividend",$F398="fee"),IFERROR(LOOKUP(2,1/($B$9:$B$397=$B398),$T$9:$T397),0)&gt;0))),ROW(),0))</f>
        <v>0</v>
      </c>
      <c r="AW398">
        <f>IF($A398="",0,IF($AV398&gt;0,MAX($AW$9:$AW$397)+1,MAX($AW$9:$AW$397)))</f>
        <v>0</v>
      </c>
      <c r="AX398">
        <f>IF($AU398="",0,IF(AND($AR398,OR(NOT(IFERROR(LOOKUP(2,1/($B$9:$B$397=$B398),$AR$9:$AR397),1)),IFERROR(LOOKUP(2,1/($B$9:$B$397=$B398),$T$9:$T397),0)=0)),ROW(),0))</f>
        <v>0</v>
      </c>
      <c r="AY398" t="str">
        <f t="shared" si="118"/>
        <v/>
      </c>
    </row>
    <row r="399" spans="1:51" ht="15" x14ac:dyDescent="0.25">
      <c r="A399" s="41" t="str">
        <f>IF(Trades!$A399="","",Trades!O399)</f>
        <v/>
      </c>
      <c r="B399" s="41" t="str">
        <f>IF(Trades!$A399="","",Trades!B399)</f>
        <v/>
      </c>
      <c r="C399" s="41" t="str">
        <f>IF(Trades!$A399="","",Trades!C399)</f>
        <v/>
      </c>
      <c r="D399" s="42" t="str">
        <f>IF(Trades!$A399="","",IF(Trades!$L399&gt;0,Trades!$L399,Trades!$C$6))</f>
        <v/>
      </c>
      <c r="E399" s="43" t="str">
        <f>IF(Trades!$A399="","",Trades!A399)</f>
        <v/>
      </c>
      <c r="F399" s="41" t="str">
        <f>IF(Trades!$A399="","",IFERROR(INDEX(Trades!$V$2:$V$14,MATCH(Trades!$E399,Trades!$U$2:$U$14,0)),""))</f>
        <v/>
      </c>
      <c r="G399" s="41" t="str">
        <f>IF(Trades!$A399="","",Trades!N399)</f>
        <v/>
      </c>
      <c r="H399" s="42" t="str">
        <f>IF(Trades!$A399="","",Trades!F399)</f>
        <v/>
      </c>
      <c r="I399" s="44" t="str">
        <f>IF(Trades!$A399="","",Trades!G399)</f>
        <v/>
      </c>
      <c r="J399" s="44" t="str">
        <f>IF(Trades!$A399="","",Trades!I399)</f>
        <v/>
      </c>
      <c r="K399" s="44" t="str">
        <f>IF(Trades!$A399="","",Trades!Q399)</f>
        <v/>
      </c>
      <c r="L399" s="42" t="str">
        <f>IF(Trades!$A399="","",Trades!F399)</f>
        <v/>
      </c>
      <c r="M399" s="44" t="str">
        <f>IF(Trades!$A399="","",Trades!M399)</f>
        <v/>
      </c>
      <c r="N399" s="44" t="str">
        <f>IF(Trades!$A399="","",Trades!R399)</f>
        <v/>
      </c>
      <c r="O399" s="44" t="str">
        <f>IF(Trades!$A399="","",Trades!J399)</f>
        <v/>
      </c>
      <c r="P399" s="43" t="str">
        <f>IF(Trades!$A399="","",Trades!H399)</f>
        <v/>
      </c>
      <c r="Q399" s="41" t="str">
        <f>IF(Trades!$A399="","",Trades!P399)</f>
        <v/>
      </c>
      <c r="R399" s="45" t="str">
        <f t="shared" si="102"/>
        <v/>
      </c>
      <c r="S399" s="45" t="str">
        <f t="shared" si="103"/>
        <v/>
      </c>
      <c r="T399" s="46" t="str">
        <f>IF(OR($A399="",$B399=""),"",IF(AND(IFERROR(LOOKUP(2,1/($B$9:$B$398=$B399),$AR$9:$AR398),1),NOT(AND(OR($F399="dividend",$F399="fee"),IFERROR(LOOKUP(2,1/($B$9:$B$398=$B399),$T$9:$T398),0)&gt;0))),IFERROR(LOOKUP(2,1/($B$9:$B$398=$B399),$T$9:$T398),0)+1,IFERROR(LOOKUP(2,1/($B$9:$B$398=$B399),$T$9:$T398),0)))</f>
        <v/>
      </c>
      <c r="U399" s="47" t="str">
        <f t="shared" si="104"/>
        <v/>
      </c>
      <c r="V399" s="47" t="str">
        <f>IF($A399="","",IF(OR($B399="",$C399="",$D399="",$E399="",$F399=""),"Missing required field",IF(COUNTIFS($A$9:$A399,$A399,$B$9:$B399,$B399)&gt;1,"Duplicate event ID",IF(AND($E399&lt;&gt;IFERROR(LOOKUP(2,1/($B$9:$B$398=$B399),$E$9:$E398),0),IFERROR(LOOKUP(2,1/($B$9:$B$398=$B399),$E$9:$E398),0)&gt;$E399),"Date out of order",IF(AND(OR($F399="buy_to_close",$F399="expire",$F399="roll",$F399="assignment",$F399="called_away"),$AF399=0),"Unknown lot",IF(OR(AND($F399="assignment",$AF399&gt;0,IF($AF399&gt;0,INDEX($AG$9:$AG$398,$AF399),"")&lt;&gt;"put"),AND($F399="called_away",$AF399&gt;0,IF($AF399&gt;0,INDEX($AG$9:$AG$398,$AF399),"")&lt;&gt;"call")),"Wrong option leg",IF(OR(AND(OR($F399="sell_put",$F399="sell_call"),OR($H399&lt;=0,$I399&lt;=0,$J399&lt;0)),AND(OR($F399="buy_to_close",$F399="expire",$F399="assignment",$F399="called_away"),OR($H399&lt;=0,$J399&lt;0)),AND($F399="roll",OR($H399&lt;=0,$I399&lt;=0,$J399&lt;0,$K399&lt;0)),AND(OR($F399="buy_shares",$F399="sell_shares"),OR($L399&lt;=0,$M399&lt;0)),AND(OR($F399="dividend",$F399="fee"),$N399&lt;0)),"Invalid value",IF(AND(OR($F399="sell_shares",$F399="called_away"),$AL399&lt;IF($F399="called_away",$AE399*$D399,$L399)),"Insufficient shares (capped)",IF(AND(OR($F399="buy_to_close",$F399="expire",$F399="roll",$F399="assignment",$F399="called_away"),$AF399&gt;0,$H399&gt;IF($AF399&gt;0,MAX(0,INDEX($AI$9:$AI$398,$AF399)-SUMIFS($AE$9:$AE$398,$G$9:$G$398,$G399,$B$9:$B$398,$B399)),0)),"Close quantity capped","OK")))))))))</f>
        <v/>
      </c>
      <c r="W399" s="48" t="str">
        <f t="shared" si="105"/>
        <v/>
      </c>
      <c r="X399" s="49" t="str">
        <f t="shared" si="106"/>
        <v/>
      </c>
      <c r="Y399" s="50" t="str">
        <f t="shared" si="107"/>
        <v/>
      </c>
      <c r="Z399" s="50" t="str">
        <f t="shared" si="108"/>
        <v/>
      </c>
      <c r="AA399" s="50" t="str">
        <f t="shared" si="109"/>
        <v/>
      </c>
      <c r="AB399" s="50" t="str">
        <f t="shared" si="110"/>
        <v/>
      </c>
      <c r="AC399" s="50" t="str">
        <f>IF($A399="","",IF($F399="assignment",IF($AF399&gt;0,INDEX($AH$9:$AH$398,$AF399),0)*$AE399*$D399,IF($F399="buy_shares",$M399*$AL399,0)))</f>
        <v/>
      </c>
      <c r="AD399" s="50" t="str">
        <f>IF($A399="","",IF($F399="called_away",IF($AF399&gt;0,INDEX($AH$9:$AH$398,$AF399),0)*$AL399,IF($F399="sell_shares",$M399*$AL399,0)))</f>
        <v/>
      </c>
      <c r="AE399" s="51" t="str">
        <f>IF($A399="","",IF(OR($F399="sell_put",$F399="sell_call"),IF(AND($H399&gt;0,$I399&gt;0,$J399&gt;=0),$H399,0),IF(OR($F399="buy_to_close",$F399="expire",$F399="roll",$F399="assignment",$F399="called_away"),IF(AND($AF399&gt;0,$H399&gt;0,IF($F399="assignment",IF($AF399&gt;0,INDEX($AG$9:$AG$398,$AF399),"")="put",TRUE),IF($F399="called_away",IF($AF399&gt;0,INDEX($AG$9:$AG$398,$AF399),"")="call",TRUE)),MIN($H399,IF($AF399&gt;0,MAX(0,INDEX($AI$9:$AI$398,$AF399)-SUMIFS($AE$9:$AE$398,$G$9:$G$398,$G399,$B$9:$B$398,$B399)),0)),0),0)))</f>
        <v/>
      </c>
      <c r="AF399" t="str">
        <f>IF($A399="","",IFERROR(MATCH(LEN($B399)&amp;":"&amp;$B399&amp;$G399,$AY$9:$AY$398,0),0))</f>
        <v/>
      </c>
      <c r="AG399" t="str">
        <f>IF($A399="","",IF($F399="sell_put","put",IF($F399="sell_call","call",IF($F399="roll",IF($AF399&gt;0,IF($AF399&gt;0,INDEX($AG$9:$AG$398,$AF399),""),""),IF($AF399&gt;0,IF($AF399&gt;0,INDEX($AG$9:$AG$398,$AF399),""),"")))))</f>
        <v/>
      </c>
      <c r="AH399" t="str">
        <f>IF($A399="","",IF(OR($F399="sell_put",$F399="sell_call",$F399="roll"),$I399,IF($AF399&gt;0,IF($AF399&gt;0,INDEX($AH$9:$AH$398,$AF399),0),0)))</f>
        <v/>
      </c>
      <c r="AI399" s="51" t="str">
        <f t="shared" si="111"/>
        <v/>
      </c>
      <c r="AJ399" s="51" t="str">
        <f>IF($A399="","",IFERROR(LOOKUP(2,1/($B$9:$B$398=$B399),$AM$9:$AM398),0))</f>
        <v/>
      </c>
      <c r="AK399" t="str">
        <f>IF($A399="","",IFERROR(LOOKUP(2,1/($B$9:$B$398=$B399),$AN$9:$AN398),0))</f>
        <v/>
      </c>
      <c r="AL399" s="51" t="str">
        <f t="shared" si="112"/>
        <v/>
      </c>
      <c r="AM399" s="51" t="str">
        <f t="shared" si="113"/>
        <v/>
      </c>
      <c r="AN399" t="str">
        <f t="shared" si="114"/>
        <v/>
      </c>
      <c r="AO399" s="50" t="str">
        <f>IF($A399="","",IFERROR(LOOKUP(2,1/($B$9:$B$398=$B399),$AO$9:$AO398),0)+IF($F399="sell_put",$I399*$AE399*$D399,IF($F399="roll",IF($AG399="put",($I399-IF($AF399&gt;0,INDEX($AH$9:$AH$398,$AF399),0))*$AE399*$D399,0),IF(AND(OR($F399="buy_to_close",$F399="expire",$F399="roll",$F399="assignment",$F399="called_away"),$F399&lt;&gt;"roll",$AG399="put"),-IF($AF399&gt;0,INDEX($AH$9:$AH$398,$AF399),0)*$AE399*$D399,0))))</f>
        <v/>
      </c>
      <c r="AP399" s="51" t="str">
        <f>IF($A399="","",IFERROR(LOOKUP(2,1/($B$9:$B$398=$B399),$AP$9:$AP398),0)+IF($F399="sell_put",$AE399*$D399,IF(AND(OR($F399="buy_to_close",$F399="expire",$F399="roll",$F399="assignment",$F399="called_away"),$F399&lt;&gt;"roll",$AG399="put"),-$AE399*$D399,0)))</f>
        <v/>
      </c>
      <c r="AQ399" s="51" t="str">
        <f>IF($A399="","",IFERROR(LOOKUP(2,1/($B$9:$B$398=$B399),$AQ$9:$AQ398),0)+IF(OR($F399="sell_put",$F399="sell_call"),$AE399,0)-IF(AND(OR($F399="buy_to_close",$F399="expire",$F399="roll",$F399="assignment",$F399="called_away"),$F399&lt;&gt;"roll"),$AE399,0))</f>
        <v/>
      </c>
      <c r="AR399" t="str">
        <f t="shared" si="115"/>
        <v/>
      </c>
      <c r="AS399" s="50" t="str">
        <f t="shared" si="116"/>
        <v/>
      </c>
      <c r="AT399" s="50" t="str">
        <f>IF($A399="","",MAX(IF($T399=IFERROR(LOOKUP(2,1/($B$9:$B$398=$B399),$T$9:$T398),0),IFERROR(LOOKUP(2,1/($B$9:$B$398=$B399),$AT$9:$AT398),0),0),$AS399))</f>
        <v/>
      </c>
      <c r="AU399" t="str">
        <f t="shared" si="117"/>
        <v/>
      </c>
      <c r="AV399" s="51">
        <f>IF($AU399="",0,IF(AND(IFERROR(LOOKUP(2,1/($B$9:$B$398=$B399),$AR$9:$AR398),1),NOT(AND(OR($F399="dividend",$F399="fee"),IFERROR(LOOKUP(2,1/($B$9:$B$398=$B399),$T$9:$T398),0)&gt;0))),ROW(),0))</f>
        <v>0</v>
      </c>
      <c r="AW399">
        <f>IF($A399="",0,IF($AV399&gt;0,MAX($AW$9:$AW$398)+1,MAX($AW$9:$AW$398)))</f>
        <v>0</v>
      </c>
      <c r="AX399">
        <f>IF($AU399="",0,IF(AND($AR399,OR(NOT(IFERROR(LOOKUP(2,1/($B$9:$B$398=$B399),$AR$9:$AR398),1)),IFERROR(LOOKUP(2,1/($B$9:$B$398=$B399),$T$9:$T398),0)=0)),ROW(),0))</f>
        <v>0</v>
      </c>
      <c r="AY399" t="str">
        <f t="shared" si="118"/>
        <v/>
      </c>
    </row>
    <row r="400" spans="1:51" ht="15" x14ac:dyDescent="0.25">
      <c r="A400" s="52" t="str">
        <f>IF(Trades!$A400="","",Trades!O400)</f>
        <v/>
      </c>
      <c r="B400" s="52" t="str">
        <f>IF(Trades!$A400="","",Trades!B400)</f>
        <v/>
      </c>
      <c r="C400" s="52" t="str">
        <f>IF(Trades!$A400="","",Trades!C400)</f>
        <v/>
      </c>
      <c r="D400" s="53" t="str">
        <f>IF(Trades!$A400="","",IF(Trades!$L400&gt;0,Trades!$L400,Trades!$C$6))</f>
        <v/>
      </c>
      <c r="E400" s="54" t="str">
        <f>IF(Trades!$A400="","",Trades!A400)</f>
        <v/>
      </c>
      <c r="F400" s="52" t="str">
        <f>IF(Trades!$A400="","",IFERROR(INDEX(Trades!$V$2:$V$14,MATCH(Trades!$E400,Trades!$U$2:$U$14,0)),""))</f>
        <v/>
      </c>
      <c r="G400" s="52" t="str">
        <f>IF(Trades!$A400="","",Trades!N400)</f>
        <v/>
      </c>
      <c r="H400" s="53" t="str">
        <f>IF(Trades!$A400="","",Trades!F400)</f>
        <v/>
      </c>
      <c r="I400" s="55" t="str">
        <f>IF(Trades!$A400="","",Trades!G400)</f>
        <v/>
      </c>
      <c r="J400" s="55" t="str">
        <f>IF(Trades!$A400="","",Trades!I400)</f>
        <v/>
      </c>
      <c r="K400" s="55" t="str">
        <f>IF(Trades!$A400="","",Trades!Q400)</f>
        <v/>
      </c>
      <c r="L400" s="53" t="str">
        <f>IF(Trades!$A400="","",Trades!F400)</f>
        <v/>
      </c>
      <c r="M400" s="55" t="str">
        <f>IF(Trades!$A400="","",Trades!M400)</f>
        <v/>
      </c>
      <c r="N400" s="55" t="str">
        <f>IF(Trades!$A400="","",Trades!R400)</f>
        <v/>
      </c>
      <c r="O400" s="55" t="str">
        <f>IF(Trades!$A400="","",Trades!J400)</f>
        <v/>
      </c>
      <c r="P400" s="54" t="str">
        <f>IF(Trades!$A400="","",Trades!H400)</f>
        <v/>
      </c>
      <c r="Q400" s="52" t="str">
        <f>IF(Trades!$A400="","",Trades!P400)</f>
        <v/>
      </c>
      <c r="R400" s="56" t="str">
        <f t="shared" si="102"/>
        <v/>
      </c>
      <c r="S400" s="56" t="str">
        <f t="shared" si="103"/>
        <v/>
      </c>
      <c r="T400" s="57" t="str">
        <f>IF(OR($A400="",$B400=""),"",IF(AND(IFERROR(LOOKUP(2,1/($B$9:$B$399=$B400),$AR$9:$AR399),1),NOT(AND(OR($F400="dividend",$F400="fee"),IFERROR(LOOKUP(2,1/($B$9:$B$399=$B400),$T$9:$T399),0)&gt;0))),IFERROR(LOOKUP(2,1/($B$9:$B$399=$B400),$T$9:$T399),0)+1,IFERROR(LOOKUP(2,1/($B$9:$B$399=$B400),$T$9:$T399),0)))</f>
        <v/>
      </c>
      <c r="U400" s="58" t="str">
        <f t="shared" si="104"/>
        <v/>
      </c>
      <c r="V400" s="58" t="str">
        <f>IF($A400="","",IF(OR($B400="",$C400="",$D400="",$E400="",$F400=""),"Missing required field",IF(COUNTIFS($A$9:$A400,$A400,$B$9:$B400,$B400)&gt;1,"Duplicate event ID",IF(AND($E400&lt;&gt;IFERROR(LOOKUP(2,1/($B$9:$B$399=$B400),$E$9:$E399),0),IFERROR(LOOKUP(2,1/($B$9:$B$399=$B400),$E$9:$E399),0)&gt;$E400),"Date out of order",IF(AND(OR($F400="buy_to_close",$F400="expire",$F400="roll",$F400="assignment",$F400="called_away"),$AF400=0),"Unknown lot",IF(OR(AND($F400="assignment",$AF400&gt;0,IF($AF400&gt;0,INDEX($AG$9:$AG$399,$AF400),"")&lt;&gt;"put"),AND($F400="called_away",$AF400&gt;0,IF($AF400&gt;0,INDEX($AG$9:$AG$399,$AF400),"")&lt;&gt;"call")),"Wrong option leg",IF(OR(AND(OR($F400="sell_put",$F400="sell_call"),OR($H400&lt;=0,$I400&lt;=0,$J400&lt;0)),AND(OR($F400="buy_to_close",$F400="expire",$F400="assignment",$F400="called_away"),OR($H400&lt;=0,$J400&lt;0)),AND($F400="roll",OR($H400&lt;=0,$I400&lt;=0,$J400&lt;0,$K400&lt;0)),AND(OR($F400="buy_shares",$F400="sell_shares"),OR($L400&lt;=0,$M400&lt;0)),AND(OR($F400="dividend",$F400="fee"),$N400&lt;0)),"Invalid value",IF(AND(OR($F400="sell_shares",$F400="called_away"),$AL400&lt;IF($F400="called_away",$AE400*$D400,$L400)),"Insufficient shares (capped)",IF(AND(OR($F400="buy_to_close",$F400="expire",$F400="roll",$F400="assignment",$F400="called_away"),$AF400&gt;0,$H400&gt;IF($AF400&gt;0,MAX(0,INDEX($AI$9:$AI$399,$AF400)-SUMIFS($AE$9:$AE$399,$G$9:$G$399,$G400,$B$9:$B$399,$B400)),0)),"Close quantity capped","OK")))))))))</f>
        <v/>
      </c>
      <c r="W400" s="59" t="str">
        <f t="shared" si="105"/>
        <v/>
      </c>
      <c r="X400" s="60" t="str">
        <f t="shared" si="106"/>
        <v/>
      </c>
      <c r="Y400" s="50" t="str">
        <f t="shared" si="107"/>
        <v/>
      </c>
      <c r="Z400" s="50" t="str">
        <f t="shared" si="108"/>
        <v/>
      </c>
      <c r="AA400" s="50" t="str">
        <f t="shared" si="109"/>
        <v/>
      </c>
      <c r="AB400" s="50" t="str">
        <f t="shared" si="110"/>
        <v/>
      </c>
      <c r="AC400" s="50" t="str">
        <f>IF($A400="","",IF($F400="assignment",IF($AF400&gt;0,INDEX($AH$9:$AH$399,$AF400),0)*$AE400*$D400,IF($F400="buy_shares",$M400*$AL400,0)))</f>
        <v/>
      </c>
      <c r="AD400" s="50" t="str">
        <f>IF($A400="","",IF($F400="called_away",IF($AF400&gt;0,INDEX($AH$9:$AH$399,$AF400),0)*$AL400,IF($F400="sell_shares",$M400*$AL400,0)))</f>
        <v/>
      </c>
      <c r="AE400" s="51" t="str">
        <f>IF($A400="","",IF(OR($F400="sell_put",$F400="sell_call"),IF(AND($H400&gt;0,$I400&gt;0,$J400&gt;=0),$H400,0),IF(OR($F400="buy_to_close",$F400="expire",$F400="roll",$F400="assignment",$F400="called_away"),IF(AND($AF400&gt;0,$H400&gt;0,IF($F400="assignment",IF($AF400&gt;0,INDEX($AG$9:$AG$399,$AF400),"")="put",TRUE),IF($F400="called_away",IF($AF400&gt;0,INDEX($AG$9:$AG$399,$AF400),"")="call",TRUE)),MIN($H400,IF($AF400&gt;0,MAX(0,INDEX($AI$9:$AI$399,$AF400)-SUMIFS($AE$9:$AE$399,$G$9:$G$399,$G400,$B$9:$B$399,$B400)),0)),0),0)))</f>
        <v/>
      </c>
      <c r="AF400" t="str">
        <f>IF($A400="","",IFERROR(MATCH(LEN($B400)&amp;":"&amp;$B400&amp;$G400,$AY$9:$AY$399,0),0))</f>
        <v/>
      </c>
      <c r="AG400" t="str">
        <f>IF($A400="","",IF($F400="sell_put","put",IF($F400="sell_call","call",IF($F400="roll",IF($AF400&gt;0,IF($AF400&gt;0,INDEX($AG$9:$AG$399,$AF400),""),""),IF($AF400&gt;0,IF($AF400&gt;0,INDEX($AG$9:$AG$399,$AF400),""),"")))))</f>
        <v/>
      </c>
      <c r="AH400" t="str">
        <f>IF($A400="","",IF(OR($F400="sell_put",$F400="sell_call",$F400="roll"),$I400,IF($AF400&gt;0,IF($AF400&gt;0,INDEX($AH$9:$AH$399,$AF400),0),0)))</f>
        <v/>
      </c>
      <c r="AI400" s="51" t="str">
        <f t="shared" si="111"/>
        <v/>
      </c>
      <c r="AJ400" s="51" t="str">
        <f>IF($A400="","",IFERROR(LOOKUP(2,1/($B$9:$B$399=$B400),$AM$9:$AM399),0))</f>
        <v/>
      </c>
      <c r="AK400" t="str">
        <f>IF($A400="","",IFERROR(LOOKUP(2,1/($B$9:$B$399=$B400),$AN$9:$AN399),0))</f>
        <v/>
      </c>
      <c r="AL400" s="51" t="str">
        <f t="shared" si="112"/>
        <v/>
      </c>
      <c r="AM400" s="51" t="str">
        <f t="shared" si="113"/>
        <v/>
      </c>
      <c r="AN400" t="str">
        <f t="shared" si="114"/>
        <v/>
      </c>
      <c r="AO400" s="50" t="str">
        <f>IF($A400="","",IFERROR(LOOKUP(2,1/($B$9:$B$399=$B400),$AO$9:$AO399),0)+IF($F400="sell_put",$I400*$AE400*$D400,IF($F400="roll",IF($AG400="put",($I400-IF($AF400&gt;0,INDEX($AH$9:$AH$399,$AF400),0))*$AE400*$D400,0),IF(AND(OR($F400="buy_to_close",$F400="expire",$F400="roll",$F400="assignment",$F400="called_away"),$F400&lt;&gt;"roll",$AG400="put"),-IF($AF400&gt;0,INDEX($AH$9:$AH$399,$AF400),0)*$AE400*$D400,0))))</f>
        <v/>
      </c>
      <c r="AP400" s="51" t="str">
        <f>IF($A400="","",IFERROR(LOOKUP(2,1/($B$9:$B$399=$B400),$AP$9:$AP399),0)+IF($F400="sell_put",$AE400*$D400,IF(AND(OR($F400="buy_to_close",$F400="expire",$F400="roll",$F400="assignment",$F400="called_away"),$F400&lt;&gt;"roll",$AG400="put"),-$AE400*$D400,0)))</f>
        <v/>
      </c>
      <c r="AQ400" s="51" t="str">
        <f>IF($A400="","",IFERROR(LOOKUP(2,1/($B$9:$B$399=$B400),$AQ$9:$AQ399),0)+IF(OR($F400="sell_put",$F400="sell_call"),$AE400,0)-IF(AND(OR($F400="buy_to_close",$F400="expire",$F400="roll",$F400="assignment",$F400="called_away"),$F400&lt;&gt;"roll"),$AE400,0))</f>
        <v/>
      </c>
      <c r="AR400" t="str">
        <f t="shared" si="115"/>
        <v/>
      </c>
      <c r="AS400" s="50" t="str">
        <f t="shared" si="116"/>
        <v/>
      </c>
      <c r="AT400" s="50" t="str">
        <f>IF($A400="","",MAX(IF($T400=IFERROR(LOOKUP(2,1/($B$9:$B$399=$B400),$T$9:$T399),0),IFERROR(LOOKUP(2,1/($B$9:$B$399=$B400),$AT$9:$AT399),0),0),$AS400))</f>
        <v/>
      </c>
      <c r="AU400" t="str">
        <f t="shared" si="117"/>
        <v/>
      </c>
      <c r="AV400" s="51">
        <f>IF($AU400="",0,IF(AND(IFERROR(LOOKUP(2,1/($B$9:$B$399=$B400),$AR$9:$AR399),1),NOT(AND(OR($F400="dividend",$F400="fee"),IFERROR(LOOKUP(2,1/($B$9:$B$399=$B400),$T$9:$T399),0)&gt;0))),ROW(),0))</f>
        <v>0</v>
      </c>
      <c r="AW400">
        <f>IF($A400="",0,IF($AV400&gt;0,MAX($AW$9:$AW$399)+1,MAX($AW$9:$AW$399)))</f>
        <v>0</v>
      </c>
      <c r="AX400">
        <f>IF($AU400="",0,IF(AND($AR400,OR(NOT(IFERROR(LOOKUP(2,1/($B$9:$B$399=$B400),$AR$9:$AR399),1)),IFERROR(LOOKUP(2,1/($B$9:$B$399=$B400),$T$9:$T399),0)=0)),ROW(),0))</f>
        <v>0</v>
      </c>
      <c r="AY400" t="str">
        <f t="shared" si="118"/>
        <v/>
      </c>
    </row>
    <row r="401" spans="1:51" ht="15" x14ac:dyDescent="0.25">
      <c r="A401" s="41" t="str">
        <f>IF(Trades!$A401="","",Trades!O401)</f>
        <v/>
      </c>
      <c r="B401" s="41" t="str">
        <f>IF(Trades!$A401="","",Trades!B401)</f>
        <v/>
      </c>
      <c r="C401" s="41" t="str">
        <f>IF(Trades!$A401="","",Trades!C401)</f>
        <v/>
      </c>
      <c r="D401" s="42" t="str">
        <f>IF(Trades!$A401="","",IF(Trades!$L401&gt;0,Trades!$L401,Trades!$C$6))</f>
        <v/>
      </c>
      <c r="E401" s="43" t="str">
        <f>IF(Trades!$A401="","",Trades!A401)</f>
        <v/>
      </c>
      <c r="F401" s="41" t="str">
        <f>IF(Trades!$A401="","",IFERROR(INDEX(Trades!$V$2:$V$14,MATCH(Trades!$E401,Trades!$U$2:$U$14,0)),""))</f>
        <v/>
      </c>
      <c r="G401" s="41" t="str">
        <f>IF(Trades!$A401="","",Trades!N401)</f>
        <v/>
      </c>
      <c r="H401" s="42" t="str">
        <f>IF(Trades!$A401="","",Trades!F401)</f>
        <v/>
      </c>
      <c r="I401" s="44" t="str">
        <f>IF(Trades!$A401="","",Trades!G401)</f>
        <v/>
      </c>
      <c r="J401" s="44" t="str">
        <f>IF(Trades!$A401="","",Trades!I401)</f>
        <v/>
      </c>
      <c r="K401" s="44" t="str">
        <f>IF(Trades!$A401="","",Trades!Q401)</f>
        <v/>
      </c>
      <c r="L401" s="42" t="str">
        <f>IF(Trades!$A401="","",Trades!F401)</f>
        <v/>
      </c>
      <c r="M401" s="44" t="str">
        <f>IF(Trades!$A401="","",Trades!M401)</f>
        <v/>
      </c>
      <c r="N401" s="44" t="str">
        <f>IF(Trades!$A401="","",Trades!R401)</f>
        <v/>
      </c>
      <c r="O401" s="44" t="str">
        <f>IF(Trades!$A401="","",Trades!J401)</f>
        <v/>
      </c>
      <c r="P401" s="43" t="str">
        <f>IF(Trades!$A401="","",Trades!H401)</f>
        <v/>
      </c>
      <c r="Q401" s="41" t="str">
        <f>IF(Trades!$A401="","",Trades!P401)</f>
        <v/>
      </c>
      <c r="R401" s="45" t="str">
        <f t="shared" si="102"/>
        <v/>
      </c>
      <c r="S401" s="45" t="str">
        <f t="shared" si="103"/>
        <v/>
      </c>
      <c r="T401" s="46" t="str">
        <f>IF(OR($A401="",$B401=""),"",IF(AND(IFERROR(LOOKUP(2,1/($B$9:$B$400=$B401),$AR$9:$AR400),1),NOT(AND(OR($F401="dividend",$F401="fee"),IFERROR(LOOKUP(2,1/($B$9:$B$400=$B401),$T$9:$T400),0)&gt;0))),IFERROR(LOOKUP(2,1/($B$9:$B$400=$B401),$T$9:$T400),0)+1,IFERROR(LOOKUP(2,1/($B$9:$B$400=$B401),$T$9:$T400),0)))</f>
        <v/>
      </c>
      <c r="U401" s="47" t="str">
        <f t="shared" si="104"/>
        <v/>
      </c>
      <c r="V401" s="47" t="str">
        <f>IF($A401="","",IF(OR($B401="",$C401="",$D401="",$E401="",$F401=""),"Missing required field",IF(COUNTIFS($A$9:$A401,$A401,$B$9:$B401,$B401)&gt;1,"Duplicate event ID",IF(AND($E401&lt;&gt;IFERROR(LOOKUP(2,1/($B$9:$B$400=$B401),$E$9:$E400),0),IFERROR(LOOKUP(2,1/($B$9:$B$400=$B401),$E$9:$E400),0)&gt;$E401),"Date out of order",IF(AND(OR($F401="buy_to_close",$F401="expire",$F401="roll",$F401="assignment",$F401="called_away"),$AF401=0),"Unknown lot",IF(OR(AND($F401="assignment",$AF401&gt;0,IF($AF401&gt;0,INDEX($AG$9:$AG$400,$AF401),"")&lt;&gt;"put"),AND($F401="called_away",$AF401&gt;0,IF($AF401&gt;0,INDEX($AG$9:$AG$400,$AF401),"")&lt;&gt;"call")),"Wrong option leg",IF(OR(AND(OR($F401="sell_put",$F401="sell_call"),OR($H401&lt;=0,$I401&lt;=0,$J401&lt;0)),AND(OR($F401="buy_to_close",$F401="expire",$F401="assignment",$F401="called_away"),OR($H401&lt;=0,$J401&lt;0)),AND($F401="roll",OR($H401&lt;=0,$I401&lt;=0,$J401&lt;0,$K401&lt;0)),AND(OR($F401="buy_shares",$F401="sell_shares"),OR($L401&lt;=0,$M401&lt;0)),AND(OR($F401="dividend",$F401="fee"),$N401&lt;0)),"Invalid value",IF(AND(OR($F401="sell_shares",$F401="called_away"),$AL401&lt;IF($F401="called_away",$AE401*$D401,$L401)),"Insufficient shares (capped)",IF(AND(OR($F401="buy_to_close",$F401="expire",$F401="roll",$F401="assignment",$F401="called_away"),$AF401&gt;0,$H401&gt;IF($AF401&gt;0,MAX(0,INDEX($AI$9:$AI$400,$AF401)-SUMIFS($AE$9:$AE$400,$G$9:$G$400,$G401,$B$9:$B$400,$B401)),0)),"Close quantity capped","OK")))))))))</f>
        <v/>
      </c>
      <c r="W401" s="48" t="str">
        <f t="shared" si="105"/>
        <v/>
      </c>
      <c r="X401" s="49" t="str">
        <f t="shared" si="106"/>
        <v/>
      </c>
      <c r="Y401" s="50" t="str">
        <f t="shared" si="107"/>
        <v/>
      </c>
      <c r="Z401" s="50" t="str">
        <f t="shared" si="108"/>
        <v/>
      </c>
      <c r="AA401" s="50" t="str">
        <f t="shared" si="109"/>
        <v/>
      </c>
      <c r="AB401" s="50" t="str">
        <f t="shared" si="110"/>
        <v/>
      </c>
      <c r="AC401" s="50" t="str">
        <f>IF($A401="","",IF($F401="assignment",IF($AF401&gt;0,INDEX($AH$9:$AH$400,$AF401),0)*$AE401*$D401,IF($F401="buy_shares",$M401*$AL401,0)))</f>
        <v/>
      </c>
      <c r="AD401" s="50" t="str">
        <f>IF($A401="","",IF($F401="called_away",IF($AF401&gt;0,INDEX($AH$9:$AH$400,$AF401),0)*$AL401,IF($F401="sell_shares",$M401*$AL401,0)))</f>
        <v/>
      </c>
      <c r="AE401" s="51" t="str">
        <f>IF($A401="","",IF(OR($F401="sell_put",$F401="sell_call"),IF(AND($H401&gt;0,$I401&gt;0,$J401&gt;=0),$H401,0),IF(OR($F401="buy_to_close",$F401="expire",$F401="roll",$F401="assignment",$F401="called_away"),IF(AND($AF401&gt;0,$H401&gt;0,IF($F401="assignment",IF($AF401&gt;0,INDEX($AG$9:$AG$400,$AF401),"")="put",TRUE),IF($F401="called_away",IF($AF401&gt;0,INDEX($AG$9:$AG$400,$AF401),"")="call",TRUE)),MIN($H401,IF($AF401&gt;0,MAX(0,INDEX($AI$9:$AI$400,$AF401)-SUMIFS($AE$9:$AE$400,$G$9:$G$400,$G401,$B$9:$B$400,$B401)),0)),0),0)))</f>
        <v/>
      </c>
      <c r="AF401" t="str">
        <f>IF($A401="","",IFERROR(MATCH(LEN($B401)&amp;":"&amp;$B401&amp;$G401,$AY$9:$AY$400,0),0))</f>
        <v/>
      </c>
      <c r="AG401" t="str">
        <f>IF($A401="","",IF($F401="sell_put","put",IF($F401="sell_call","call",IF($F401="roll",IF($AF401&gt;0,IF($AF401&gt;0,INDEX($AG$9:$AG$400,$AF401),""),""),IF($AF401&gt;0,IF($AF401&gt;0,INDEX($AG$9:$AG$400,$AF401),""),"")))))</f>
        <v/>
      </c>
      <c r="AH401" t="str">
        <f>IF($A401="","",IF(OR($F401="sell_put",$F401="sell_call",$F401="roll"),$I401,IF($AF401&gt;0,IF($AF401&gt;0,INDEX($AH$9:$AH$400,$AF401),0),0)))</f>
        <v/>
      </c>
      <c r="AI401" s="51" t="str">
        <f t="shared" si="111"/>
        <v/>
      </c>
      <c r="AJ401" s="51" t="str">
        <f>IF($A401="","",IFERROR(LOOKUP(2,1/($B$9:$B$400=$B401),$AM$9:$AM400),0))</f>
        <v/>
      </c>
      <c r="AK401" t="str">
        <f>IF($A401="","",IFERROR(LOOKUP(2,1/($B$9:$B$400=$B401),$AN$9:$AN400),0))</f>
        <v/>
      </c>
      <c r="AL401" s="51" t="str">
        <f t="shared" si="112"/>
        <v/>
      </c>
      <c r="AM401" s="51" t="str">
        <f t="shared" si="113"/>
        <v/>
      </c>
      <c r="AN401" t="str">
        <f t="shared" si="114"/>
        <v/>
      </c>
      <c r="AO401" s="50" t="str">
        <f>IF($A401="","",IFERROR(LOOKUP(2,1/($B$9:$B$400=$B401),$AO$9:$AO400),0)+IF($F401="sell_put",$I401*$AE401*$D401,IF($F401="roll",IF($AG401="put",($I401-IF($AF401&gt;0,INDEX($AH$9:$AH$400,$AF401),0))*$AE401*$D401,0),IF(AND(OR($F401="buy_to_close",$F401="expire",$F401="roll",$F401="assignment",$F401="called_away"),$F401&lt;&gt;"roll",$AG401="put"),-IF($AF401&gt;0,INDEX($AH$9:$AH$400,$AF401),0)*$AE401*$D401,0))))</f>
        <v/>
      </c>
      <c r="AP401" s="51" t="str">
        <f>IF($A401="","",IFERROR(LOOKUP(2,1/($B$9:$B$400=$B401),$AP$9:$AP400),0)+IF($F401="sell_put",$AE401*$D401,IF(AND(OR($F401="buy_to_close",$F401="expire",$F401="roll",$F401="assignment",$F401="called_away"),$F401&lt;&gt;"roll",$AG401="put"),-$AE401*$D401,0)))</f>
        <v/>
      </c>
      <c r="AQ401" s="51" t="str">
        <f>IF($A401="","",IFERROR(LOOKUP(2,1/($B$9:$B$400=$B401),$AQ$9:$AQ400),0)+IF(OR($F401="sell_put",$F401="sell_call"),$AE401,0)-IF(AND(OR($F401="buy_to_close",$F401="expire",$F401="roll",$F401="assignment",$F401="called_away"),$F401&lt;&gt;"roll"),$AE401,0))</f>
        <v/>
      </c>
      <c r="AR401" t="str">
        <f t="shared" si="115"/>
        <v/>
      </c>
      <c r="AS401" s="50" t="str">
        <f t="shared" si="116"/>
        <v/>
      </c>
      <c r="AT401" s="50" t="str">
        <f>IF($A401="","",MAX(IF($T401=IFERROR(LOOKUP(2,1/($B$9:$B$400=$B401),$T$9:$T400),0),IFERROR(LOOKUP(2,1/($B$9:$B$400=$B401),$AT$9:$AT400),0),0),$AS401))</f>
        <v/>
      </c>
      <c r="AU401" t="str">
        <f t="shared" si="117"/>
        <v/>
      </c>
      <c r="AV401" s="51">
        <f>IF($AU401="",0,IF(AND(IFERROR(LOOKUP(2,1/($B$9:$B$400=$B401),$AR$9:$AR400),1),NOT(AND(OR($F401="dividend",$F401="fee"),IFERROR(LOOKUP(2,1/($B$9:$B$400=$B401),$T$9:$T400),0)&gt;0))),ROW(),0))</f>
        <v>0</v>
      </c>
      <c r="AW401">
        <f>IF($A401="",0,IF($AV401&gt;0,MAX($AW$9:$AW$400)+1,MAX($AW$9:$AW$400)))</f>
        <v>0</v>
      </c>
      <c r="AX401">
        <f>IF($AU401="",0,IF(AND($AR401,OR(NOT(IFERROR(LOOKUP(2,1/($B$9:$B$400=$B401),$AR$9:$AR400),1)),IFERROR(LOOKUP(2,1/($B$9:$B$400=$B401),$T$9:$T400),0)=0)),ROW(),0))</f>
        <v>0</v>
      </c>
      <c r="AY401" t="str">
        <f t="shared" si="118"/>
        <v/>
      </c>
    </row>
    <row r="402" spans="1:51" ht="15" x14ac:dyDescent="0.25">
      <c r="A402" s="52" t="str">
        <f>IF(Trades!$A402="","",Trades!O402)</f>
        <v/>
      </c>
      <c r="B402" s="52" t="str">
        <f>IF(Trades!$A402="","",Trades!B402)</f>
        <v/>
      </c>
      <c r="C402" s="52" t="str">
        <f>IF(Trades!$A402="","",Trades!C402)</f>
        <v/>
      </c>
      <c r="D402" s="53" t="str">
        <f>IF(Trades!$A402="","",IF(Trades!$L402&gt;0,Trades!$L402,Trades!$C$6))</f>
        <v/>
      </c>
      <c r="E402" s="54" t="str">
        <f>IF(Trades!$A402="","",Trades!A402)</f>
        <v/>
      </c>
      <c r="F402" s="52" t="str">
        <f>IF(Trades!$A402="","",IFERROR(INDEX(Trades!$V$2:$V$14,MATCH(Trades!$E402,Trades!$U$2:$U$14,0)),""))</f>
        <v/>
      </c>
      <c r="G402" s="52" t="str">
        <f>IF(Trades!$A402="","",Trades!N402)</f>
        <v/>
      </c>
      <c r="H402" s="53" t="str">
        <f>IF(Trades!$A402="","",Trades!F402)</f>
        <v/>
      </c>
      <c r="I402" s="55" t="str">
        <f>IF(Trades!$A402="","",Trades!G402)</f>
        <v/>
      </c>
      <c r="J402" s="55" t="str">
        <f>IF(Trades!$A402="","",Trades!I402)</f>
        <v/>
      </c>
      <c r="K402" s="55" t="str">
        <f>IF(Trades!$A402="","",Trades!Q402)</f>
        <v/>
      </c>
      <c r="L402" s="53" t="str">
        <f>IF(Trades!$A402="","",Trades!F402)</f>
        <v/>
      </c>
      <c r="M402" s="55" t="str">
        <f>IF(Trades!$A402="","",Trades!M402)</f>
        <v/>
      </c>
      <c r="N402" s="55" t="str">
        <f>IF(Trades!$A402="","",Trades!R402)</f>
        <v/>
      </c>
      <c r="O402" s="55" t="str">
        <f>IF(Trades!$A402="","",Trades!J402)</f>
        <v/>
      </c>
      <c r="P402" s="54" t="str">
        <f>IF(Trades!$A402="","",Trades!H402)</f>
        <v/>
      </c>
      <c r="Q402" s="52" t="str">
        <f>IF(Trades!$A402="","",Trades!P402)</f>
        <v/>
      </c>
      <c r="R402" s="56" t="str">
        <f t="shared" si="102"/>
        <v/>
      </c>
      <c r="S402" s="56" t="str">
        <f t="shared" si="103"/>
        <v/>
      </c>
      <c r="T402" s="57" t="str">
        <f>IF(OR($A402="",$B402=""),"",IF(AND(IFERROR(LOOKUP(2,1/($B$9:$B$401=$B402),$AR$9:$AR401),1),NOT(AND(OR($F402="dividend",$F402="fee"),IFERROR(LOOKUP(2,1/($B$9:$B$401=$B402),$T$9:$T401),0)&gt;0))),IFERROR(LOOKUP(2,1/($B$9:$B$401=$B402),$T$9:$T401),0)+1,IFERROR(LOOKUP(2,1/($B$9:$B$401=$B402),$T$9:$T401),0)))</f>
        <v/>
      </c>
      <c r="U402" s="58" t="str">
        <f t="shared" si="104"/>
        <v/>
      </c>
      <c r="V402" s="58" t="str">
        <f>IF($A402="","",IF(OR($B402="",$C402="",$D402="",$E402="",$F402=""),"Missing required field",IF(COUNTIFS($A$9:$A402,$A402,$B$9:$B402,$B402)&gt;1,"Duplicate event ID",IF(AND($E402&lt;&gt;IFERROR(LOOKUP(2,1/($B$9:$B$401=$B402),$E$9:$E401),0),IFERROR(LOOKUP(2,1/($B$9:$B$401=$B402),$E$9:$E401),0)&gt;$E402),"Date out of order",IF(AND(OR($F402="buy_to_close",$F402="expire",$F402="roll",$F402="assignment",$F402="called_away"),$AF402=0),"Unknown lot",IF(OR(AND($F402="assignment",$AF402&gt;0,IF($AF402&gt;0,INDEX($AG$9:$AG$401,$AF402),"")&lt;&gt;"put"),AND($F402="called_away",$AF402&gt;0,IF($AF402&gt;0,INDEX($AG$9:$AG$401,$AF402),"")&lt;&gt;"call")),"Wrong option leg",IF(OR(AND(OR($F402="sell_put",$F402="sell_call"),OR($H402&lt;=0,$I402&lt;=0,$J402&lt;0)),AND(OR($F402="buy_to_close",$F402="expire",$F402="assignment",$F402="called_away"),OR($H402&lt;=0,$J402&lt;0)),AND($F402="roll",OR($H402&lt;=0,$I402&lt;=0,$J402&lt;0,$K402&lt;0)),AND(OR($F402="buy_shares",$F402="sell_shares"),OR($L402&lt;=0,$M402&lt;0)),AND(OR($F402="dividend",$F402="fee"),$N402&lt;0)),"Invalid value",IF(AND(OR($F402="sell_shares",$F402="called_away"),$AL402&lt;IF($F402="called_away",$AE402*$D402,$L402)),"Insufficient shares (capped)",IF(AND(OR($F402="buy_to_close",$F402="expire",$F402="roll",$F402="assignment",$F402="called_away"),$AF402&gt;0,$H402&gt;IF($AF402&gt;0,MAX(0,INDEX($AI$9:$AI$401,$AF402)-SUMIFS($AE$9:$AE$401,$G$9:$G$401,$G402,$B$9:$B$401,$B402)),0)),"Close quantity capped","OK")))))))))</f>
        <v/>
      </c>
      <c r="W402" s="59" t="str">
        <f t="shared" si="105"/>
        <v/>
      </c>
      <c r="X402" s="60" t="str">
        <f t="shared" si="106"/>
        <v/>
      </c>
      <c r="Y402" s="50" t="str">
        <f t="shared" si="107"/>
        <v/>
      </c>
      <c r="Z402" s="50" t="str">
        <f t="shared" si="108"/>
        <v/>
      </c>
      <c r="AA402" s="50" t="str">
        <f t="shared" si="109"/>
        <v/>
      </c>
      <c r="AB402" s="50" t="str">
        <f t="shared" si="110"/>
        <v/>
      </c>
      <c r="AC402" s="50" t="str">
        <f>IF($A402="","",IF($F402="assignment",IF($AF402&gt;0,INDEX($AH$9:$AH$401,$AF402),0)*$AE402*$D402,IF($F402="buy_shares",$M402*$AL402,0)))</f>
        <v/>
      </c>
      <c r="AD402" s="50" t="str">
        <f>IF($A402="","",IF($F402="called_away",IF($AF402&gt;0,INDEX($AH$9:$AH$401,$AF402),0)*$AL402,IF($F402="sell_shares",$M402*$AL402,0)))</f>
        <v/>
      </c>
      <c r="AE402" s="51" t="str">
        <f>IF($A402="","",IF(OR($F402="sell_put",$F402="sell_call"),IF(AND($H402&gt;0,$I402&gt;0,$J402&gt;=0),$H402,0),IF(OR($F402="buy_to_close",$F402="expire",$F402="roll",$F402="assignment",$F402="called_away"),IF(AND($AF402&gt;0,$H402&gt;0,IF($F402="assignment",IF($AF402&gt;0,INDEX($AG$9:$AG$401,$AF402),"")="put",TRUE),IF($F402="called_away",IF($AF402&gt;0,INDEX($AG$9:$AG$401,$AF402),"")="call",TRUE)),MIN($H402,IF($AF402&gt;0,MAX(0,INDEX($AI$9:$AI$401,$AF402)-SUMIFS($AE$9:$AE$401,$G$9:$G$401,$G402,$B$9:$B$401,$B402)),0)),0),0)))</f>
        <v/>
      </c>
      <c r="AF402" t="str">
        <f>IF($A402="","",IFERROR(MATCH(LEN($B402)&amp;":"&amp;$B402&amp;$G402,$AY$9:$AY$401,0),0))</f>
        <v/>
      </c>
      <c r="AG402" t="str">
        <f>IF($A402="","",IF($F402="sell_put","put",IF($F402="sell_call","call",IF($F402="roll",IF($AF402&gt;0,IF($AF402&gt;0,INDEX($AG$9:$AG$401,$AF402),""),""),IF($AF402&gt;0,IF($AF402&gt;0,INDEX($AG$9:$AG$401,$AF402),""),"")))))</f>
        <v/>
      </c>
      <c r="AH402" t="str">
        <f>IF($A402="","",IF(OR($F402="sell_put",$F402="sell_call",$F402="roll"),$I402,IF($AF402&gt;0,IF($AF402&gt;0,INDEX($AH$9:$AH$401,$AF402),0),0)))</f>
        <v/>
      </c>
      <c r="AI402" s="51" t="str">
        <f t="shared" si="111"/>
        <v/>
      </c>
      <c r="AJ402" s="51" t="str">
        <f>IF($A402="","",IFERROR(LOOKUP(2,1/($B$9:$B$401=$B402),$AM$9:$AM401),0))</f>
        <v/>
      </c>
      <c r="AK402" t="str">
        <f>IF($A402="","",IFERROR(LOOKUP(2,1/($B$9:$B$401=$B402),$AN$9:$AN401),0))</f>
        <v/>
      </c>
      <c r="AL402" s="51" t="str">
        <f t="shared" si="112"/>
        <v/>
      </c>
      <c r="AM402" s="51" t="str">
        <f t="shared" si="113"/>
        <v/>
      </c>
      <c r="AN402" t="str">
        <f t="shared" si="114"/>
        <v/>
      </c>
      <c r="AO402" s="50" t="str">
        <f>IF($A402="","",IFERROR(LOOKUP(2,1/($B$9:$B$401=$B402),$AO$9:$AO401),0)+IF($F402="sell_put",$I402*$AE402*$D402,IF($F402="roll",IF($AG402="put",($I402-IF($AF402&gt;0,INDEX($AH$9:$AH$401,$AF402),0))*$AE402*$D402,0),IF(AND(OR($F402="buy_to_close",$F402="expire",$F402="roll",$F402="assignment",$F402="called_away"),$F402&lt;&gt;"roll",$AG402="put"),-IF($AF402&gt;0,INDEX($AH$9:$AH$401,$AF402),0)*$AE402*$D402,0))))</f>
        <v/>
      </c>
      <c r="AP402" s="51" t="str">
        <f>IF($A402="","",IFERROR(LOOKUP(2,1/($B$9:$B$401=$B402),$AP$9:$AP401),0)+IF($F402="sell_put",$AE402*$D402,IF(AND(OR($F402="buy_to_close",$F402="expire",$F402="roll",$F402="assignment",$F402="called_away"),$F402&lt;&gt;"roll",$AG402="put"),-$AE402*$D402,0)))</f>
        <v/>
      </c>
      <c r="AQ402" s="51" t="str">
        <f>IF($A402="","",IFERROR(LOOKUP(2,1/($B$9:$B$401=$B402),$AQ$9:$AQ401),0)+IF(OR($F402="sell_put",$F402="sell_call"),$AE402,0)-IF(AND(OR($F402="buy_to_close",$F402="expire",$F402="roll",$F402="assignment",$F402="called_away"),$F402&lt;&gt;"roll"),$AE402,0))</f>
        <v/>
      </c>
      <c r="AR402" t="str">
        <f t="shared" si="115"/>
        <v/>
      </c>
      <c r="AS402" s="50" t="str">
        <f t="shared" si="116"/>
        <v/>
      </c>
      <c r="AT402" s="50" t="str">
        <f>IF($A402="","",MAX(IF($T402=IFERROR(LOOKUP(2,1/($B$9:$B$401=$B402),$T$9:$T401),0),IFERROR(LOOKUP(2,1/($B$9:$B$401=$B402),$AT$9:$AT401),0),0),$AS402))</f>
        <v/>
      </c>
      <c r="AU402" t="str">
        <f t="shared" si="117"/>
        <v/>
      </c>
      <c r="AV402" s="51">
        <f>IF($AU402="",0,IF(AND(IFERROR(LOOKUP(2,1/($B$9:$B$401=$B402),$AR$9:$AR401),1),NOT(AND(OR($F402="dividend",$F402="fee"),IFERROR(LOOKUP(2,1/($B$9:$B$401=$B402),$T$9:$T401),0)&gt;0))),ROW(),0))</f>
        <v>0</v>
      </c>
      <c r="AW402">
        <f>IF($A402="",0,IF($AV402&gt;0,MAX($AW$9:$AW$401)+1,MAX($AW$9:$AW$401)))</f>
        <v>0</v>
      </c>
      <c r="AX402">
        <f>IF($AU402="",0,IF(AND($AR402,OR(NOT(IFERROR(LOOKUP(2,1/($B$9:$B$401=$B402),$AR$9:$AR401),1)),IFERROR(LOOKUP(2,1/($B$9:$B$401=$B402),$T$9:$T401),0)=0)),ROW(),0))</f>
        <v>0</v>
      </c>
      <c r="AY402" t="str">
        <f t="shared" si="118"/>
        <v/>
      </c>
    </row>
    <row r="403" spans="1:51" ht="15" x14ac:dyDescent="0.25">
      <c r="A403" s="41" t="str">
        <f>IF(Trades!$A403="","",Trades!O403)</f>
        <v/>
      </c>
      <c r="B403" s="41" t="str">
        <f>IF(Trades!$A403="","",Trades!B403)</f>
        <v/>
      </c>
      <c r="C403" s="41" t="str">
        <f>IF(Trades!$A403="","",Trades!C403)</f>
        <v/>
      </c>
      <c r="D403" s="42" t="str">
        <f>IF(Trades!$A403="","",IF(Trades!$L403&gt;0,Trades!$L403,Trades!$C$6))</f>
        <v/>
      </c>
      <c r="E403" s="43" t="str">
        <f>IF(Trades!$A403="","",Trades!A403)</f>
        <v/>
      </c>
      <c r="F403" s="41" t="str">
        <f>IF(Trades!$A403="","",IFERROR(INDEX(Trades!$V$2:$V$14,MATCH(Trades!$E403,Trades!$U$2:$U$14,0)),""))</f>
        <v/>
      </c>
      <c r="G403" s="41" t="str">
        <f>IF(Trades!$A403="","",Trades!N403)</f>
        <v/>
      </c>
      <c r="H403" s="42" t="str">
        <f>IF(Trades!$A403="","",Trades!F403)</f>
        <v/>
      </c>
      <c r="I403" s="44" t="str">
        <f>IF(Trades!$A403="","",Trades!G403)</f>
        <v/>
      </c>
      <c r="J403" s="44" t="str">
        <f>IF(Trades!$A403="","",Trades!I403)</f>
        <v/>
      </c>
      <c r="K403" s="44" t="str">
        <f>IF(Trades!$A403="","",Trades!Q403)</f>
        <v/>
      </c>
      <c r="L403" s="42" t="str">
        <f>IF(Trades!$A403="","",Trades!F403)</f>
        <v/>
      </c>
      <c r="M403" s="44" t="str">
        <f>IF(Trades!$A403="","",Trades!M403)</f>
        <v/>
      </c>
      <c r="N403" s="44" t="str">
        <f>IF(Trades!$A403="","",Trades!R403)</f>
        <v/>
      </c>
      <c r="O403" s="44" t="str">
        <f>IF(Trades!$A403="","",Trades!J403)</f>
        <v/>
      </c>
      <c r="P403" s="43" t="str">
        <f>IF(Trades!$A403="","",Trades!H403)</f>
        <v/>
      </c>
      <c r="Q403" s="41" t="str">
        <f>IF(Trades!$A403="","",Trades!P403)</f>
        <v/>
      </c>
      <c r="R403" s="45" t="str">
        <f t="shared" si="102"/>
        <v/>
      </c>
      <c r="S403" s="45" t="str">
        <f t="shared" si="103"/>
        <v/>
      </c>
      <c r="T403" s="46" t="str">
        <f>IF(OR($A403="",$B403=""),"",IF(AND(IFERROR(LOOKUP(2,1/($B$9:$B$402=$B403),$AR$9:$AR402),1),NOT(AND(OR($F403="dividend",$F403="fee"),IFERROR(LOOKUP(2,1/($B$9:$B$402=$B403),$T$9:$T402),0)&gt;0))),IFERROR(LOOKUP(2,1/($B$9:$B$402=$B403),$T$9:$T402),0)+1,IFERROR(LOOKUP(2,1/($B$9:$B$402=$B403),$T$9:$T402),0)))</f>
        <v/>
      </c>
      <c r="U403" s="47" t="str">
        <f t="shared" si="104"/>
        <v/>
      </c>
      <c r="V403" s="47" t="str">
        <f>IF($A403="","",IF(OR($B403="",$C403="",$D403="",$E403="",$F403=""),"Missing required field",IF(COUNTIFS($A$9:$A403,$A403,$B$9:$B403,$B403)&gt;1,"Duplicate event ID",IF(AND($E403&lt;&gt;IFERROR(LOOKUP(2,1/($B$9:$B$402=$B403),$E$9:$E402),0),IFERROR(LOOKUP(2,1/($B$9:$B$402=$B403),$E$9:$E402),0)&gt;$E403),"Date out of order",IF(AND(OR($F403="buy_to_close",$F403="expire",$F403="roll",$F403="assignment",$F403="called_away"),$AF403=0),"Unknown lot",IF(OR(AND($F403="assignment",$AF403&gt;0,IF($AF403&gt;0,INDEX($AG$9:$AG$402,$AF403),"")&lt;&gt;"put"),AND($F403="called_away",$AF403&gt;0,IF($AF403&gt;0,INDEX($AG$9:$AG$402,$AF403),"")&lt;&gt;"call")),"Wrong option leg",IF(OR(AND(OR($F403="sell_put",$F403="sell_call"),OR($H403&lt;=0,$I403&lt;=0,$J403&lt;0)),AND(OR($F403="buy_to_close",$F403="expire",$F403="assignment",$F403="called_away"),OR($H403&lt;=0,$J403&lt;0)),AND($F403="roll",OR($H403&lt;=0,$I403&lt;=0,$J403&lt;0,$K403&lt;0)),AND(OR($F403="buy_shares",$F403="sell_shares"),OR($L403&lt;=0,$M403&lt;0)),AND(OR($F403="dividend",$F403="fee"),$N403&lt;0)),"Invalid value",IF(AND(OR($F403="sell_shares",$F403="called_away"),$AL403&lt;IF($F403="called_away",$AE403*$D403,$L403)),"Insufficient shares (capped)",IF(AND(OR($F403="buy_to_close",$F403="expire",$F403="roll",$F403="assignment",$F403="called_away"),$AF403&gt;0,$H403&gt;IF($AF403&gt;0,MAX(0,INDEX($AI$9:$AI$402,$AF403)-SUMIFS($AE$9:$AE$402,$G$9:$G$402,$G403,$B$9:$B$402,$B403)),0)),"Close quantity capped","OK")))))))))</f>
        <v/>
      </c>
      <c r="W403" s="48" t="str">
        <f t="shared" si="105"/>
        <v/>
      </c>
      <c r="X403" s="49" t="str">
        <f t="shared" si="106"/>
        <v/>
      </c>
      <c r="Y403" s="50" t="str">
        <f t="shared" si="107"/>
        <v/>
      </c>
      <c r="Z403" s="50" t="str">
        <f t="shared" si="108"/>
        <v/>
      </c>
      <c r="AA403" s="50" t="str">
        <f t="shared" si="109"/>
        <v/>
      </c>
      <c r="AB403" s="50" t="str">
        <f t="shared" si="110"/>
        <v/>
      </c>
      <c r="AC403" s="50" t="str">
        <f>IF($A403="","",IF($F403="assignment",IF($AF403&gt;0,INDEX($AH$9:$AH$402,$AF403),0)*$AE403*$D403,IF($F403="buy_shares",$M403*$AL403,0)))</f>
        <v/>
      </c>
      <c r="AD403" s="50" t="str">
        <f>IF($A403="","",IF($F403="called_away",IF($AF403&gt;0,INDEX($AH$9:$AH$402,$AF403),0)*$AL403,IF($F403="sell_shares",$M403*$AL403,0)))</f>
        <v/>
      </c>
      <c r="AE403" s="51" t="str">
        <f>IF($A403="","",IF(OR($F403="sell_put",$F403="sell_call"),IF(AND($H403&gt;0,$I403&gt;0,$J403&gt;=0),$H403,0),IF(OR($F403="buy_to_close",$F403="expire",$F403="roll",$F403="assignment",$F403="called_away"),IF(AND($AF403&gt;0,$H403&gt;0,IF($F403="assignment",IF($AF403&gt;0,INDEX($AG$9:$AG$402,$AF403),"")="put",TRUE),IF($F403="called_away",IF($AF403&gt;0,INDEX($AG$9:$AG$402,$AF403),"")="call",TRUE)),MIN($H403,IF($AF403&gt;0,MAX(0,INDEX($AI$9:$AI$402,$AF403)-SUMIFS($AE$9:$AE$402,$G$9:$G$402,$G403,$B$9:$B$402,$B403)),0)),0),0)))</f>
        <v/>
      </c>
      <c r="AF403" t="str">
        <f>IF($A403="","",IFERROR(MATCH(LEN($B403)&amp;":"&amp;$B403&amp;$G403,$AY$9:$AY$402,0),0))</f>
        <v/>
      </c>
      <c r="AG403" t="str">
        <f>IF($A403="","",IF($F403="sell_put","put",IF($F403="sell_call","call",IF($F403="roll",IF($AF403&gt;0,IF($AF403&gt;0,INDEX($AG$9:$AG$402,$AF403),""),""),IF($AF403&gt;0,IF($AF403&gt;0,INDEX($AG$9:$AG$402,$AF403),""),"")))))</f>
        <v/>
      </c>
      <c r="AH403" t="str">
        <f>IF($A403="","",IF(OR($F403="sell_put",$F403="sell_call",$F403="roll"),$I403,IF($AF403&gt;0,IF($AF403&gt;0,INDEX($AH$9:$AH$402,$AF403),0),0)))</f>
        <v/>
      </c>
      <c r="AI403" s="51" t="str">
        <f t="shared" si="111"/>
        <v/>
      </c>
      <c r="AJ403" s="51" t="str">
        <f>IF($A403="","",IFERROR(LOOKUP(2,1/($B$9:$B$402=$B403),$AM$9:$AM402),0))</f>
        <v/>
      </c>
      <c r="AK403" t="str">
        <f>IF($A403="","",IFERROR(LOOKUP(2,1/($B$9:$B$402=$B403),$AN$9:$AN402),0))</f>
        <v/>
      </c>
      <c r="AL403" s="51" t="str">
        <f t="shared" si="112"/>
        <v/>
      </c>
      <c r="AM403" s="51" t="str">
        <f t="shared" si="113"/>
        <v/>
      </c>
      <c r="AN403" t="str">
        <f t="shared" si="114"/>
        <v/>
      </c>
      <c r="AO403" s="50" t="str">
        <f>IF($A403="","",IFERROR(LOOKUP(2,1/($B$9:$B$402=$B403),$AO$9:$AO402),0)+IF($F403="sell_put",$I403*$AE403*$D403,IF($F403="roll",IF($AG403="put",($I403-IF($AF403&gt;0,INDEX($AH$9:$AH$402,$AF403),0))*$AE403*$D403,0),IF(AND(OR($F403="buy_to_close",$F403="expire",$F403="roll",$F403="assignment",$F403="called_away"),$F403&lt;&gt;"roll",$AG403="put"),-IF($AF403&gt;0,INDEX($AH$9:$AH$402,$AF403),0)*$AE403*$D403,0))))</f>
        <v/>
      </c>
      <c r="AP403" s="51" t="str">
        <f>IF($A403="","",IFERROR(LOOKUP(2,1/($B$9:$B$402=$B403),$AP$9:$AP402),0)+IF($F403="sell_put",$AE403*$D403,IF(AND(OR($F403="buy_to_close",$F403="expire",$F403="roll",$F403="assignment",$F403="called_away"),$F403&lt;&gt;"roll",$AG403="put"),-$AE403*$D403,0)))</f>
        <v/>
      </c>
      <c r="AQ403" s="51" t="str">
        <f>IF($A403="","",IFERROR(LOOKUP(2,1/($B$9:$B$402=$B403),$AQ$9:$AQ402),0)+IF(OR($F403="sell_put",$F403="sell_call"),$AE403,0)-IF(AND(OR($F403="buy_to_close",$F403="expire",$F403="roll",$F403="assignment",$F403="called_away"),$F403&lt;&gt;"roll"),$AE403,0))</f>
        <v/>
      </c>
      <c r="AR403" t="str">
        <f t="shared" si="115"/>
        <v/>
      </c>
      <c r="AS403" s="50" t="str">
        <f t="shared" si="116"/>
        <v/>
      </c>
      <c r="AT403" s="50" t="str">
        <f>IF($A403="","",MAX(IF($T403=IFERROR(LOOKUP(2,1/($B$9:$B$402=$B403),$T$9:$T402),0),IFERROR(LOOKUP(2,1/($B$9:$B$402=$B403),$AT$9:$AT402),0),0),$AS403))</f>
        <v/>
      </c>
      <c r="AU403" t="str">
        <f t="shared" si="117"/>
        <v/>
      </c>
      <c r="AV403" s="51">
        <f>IF($AU403="",0,IF(AND(IFERROR(LOOKUP(2,1/($B$9:$B$402=$B403),$AR$9:$AR402),1),NOT(AND(OR($F403="dividend",$F403="fee"),IFERROR(LOOKUP(2,1/($B$9:$B$402=$B403),$T$9:$T402),0)&gt;0))),ROW(),0))</f>
        <v>0</v>
      </c>
      <c r="AW403">
        <f>IF($A403="",0,IF($AV403&gt;0,MAX($AW$9:$AW$402)+1,MAX($AW$9:$AW$402)))</f>
        <v>0</v>
      </c>
      <c r="AX403">
        <f>IF($AU403="",0,IF(AND($AR403,OR(NOT(IFERROR(LOOKUP(2,1/($B$9:$B$402=$B403),$AR$9:$AR402),1)),IFERROR(LOOKUP(2,1/($B$9:$B$402=$B403),$T$9:$T402),0)=0)),ROW(),0))</f>
        <v>0</v>
      </c>
      <c r="AY403" t="str">
        <f t="shared" si="118"/>
        <v/>
      </c>
    </row>
    <row r="404" spans="1:51" ht="15" x14ac:dyDescent="0.25">
      <c r="A404" s="52" t="str">
        <f>IF(Trades!$A404="","",Trades!O404)</f>
        <v/>
      </c>
      <c r="B404" s="52" t="str">
        <f>IF(Trades!$A404="","",Trades!B404)</f>
        <v/>
      </c>
      <c r="C404" s="52" t="str">
        <f>IF(Trades!$A404="","",Trades!C404)</f>
        <v/>
      </c>
      <c r="D404" s="53" t="str">
        <f>IF(Trades!$A404="","",IF(Trades!$L404&gt;0,Trades!$L404,Trades!$C$6))</f>
        <v/>
      </c>
      <c r="E404" s="54" t="str">
        <f>IF(Trades!$A404="","",Trades!A404)</f>
        <v/>
      </c>
      <c r="F404" s="52" t="str">
        <f>IF(Trades!$A404="","",IFERROR(INDEX(Trades!$V$2:$V$14,MATCH(Trades!$E404,Trades!$U$2:$U$14,0)),""))</f>
        <v/>
      </c>
      <c r="G404" s="52" t="str">
        <f>IF(Trades!$A404="","",Trades!N404)</f>
        <v/>
      </c>
      <c r="H404" s="53" t="str">
        <f>IF(Trades!$A404="","",Trades!F404)</f>
        <v/>
      </c>
      <c r="I404" s="55" t="str">
        <f>IF(Trades!$A404="","",Trades!G404)</f>
        <v/>
      </c>
      <c r="J404" s="55" t="str">
        <f>IF(Trades!$A404="","",Trades!I404)</f>
        <v/>
      </c>
      <c r="K404" s="55" t="str">
        <f>IF(Trades!$A404="","",Trades!Q404)</f>
        <v/>
      </c>
      <c r="L404" s="53" t="str">
        <f>IF(Trades!$A404="","",Trades!F404)</f>
        <v/>
      </c>
      <c r="M404" s="55" t="str">
        <f>IF(Trades!$A404="","",Trades!M404)</f>
        <v/>
      </c>
      <c r="N404" s="55" t="str">
        <f>IF(Trades!$A404="","",Trades!R404)</f>
        <v/>
      </c>
      <c r="O404" s="55" t="str">
        <f>IF(Trades!$A404="","",Trades!J404)</f>
        <v/>
      </c>
      <c r="P404" s="54" t="str">
        <f>IF(Trades!$A404="","",Trades!H404)</f>
        <v/>
      </c>
      <c r="Q404" s="52" t="str">
        <f>IF(Trades!$A404="","",Trades!P404)</f>
        <v/>
      </c>
      <c r="R404" s="56" t="str">
        <f t="shared" si="102"/>
        <v/>
      </c>
      <c r="S404" s="56" t="str">
        <f t="shared" si="103"/>
        <v/>
      </c>
      <c r="T404" s="57" t="str">
        <f>IF(OR($A404="",$B404=""),"",IF(AND(IFERROR(LOOKUP(2,1/($B$9:$B$403=$B404),$AR$9:$AR403),1),NOT(AND(OR($F404="dividend",$F404="fee"),IFERROR(LOOKUP(2,1/($B$9:$B$403=$B404),$T$9:$T403),0)&gt;0))),IFERROR(LOOKUP(2,1/($B$9:$B$403=$B404),$T$9:$T403),0)+1,IFERROR(LOOKUP(2,1/($B$9:$B$403=$B404),$T$9:$T403),0)))</f>
        <v/>
      </c>
      <c r="U404" s="58" t="str">
        <f t="shared" si="104"/>
        <v/>
      </c>
      <c r="V404" s="58" t="str">
        <f>IF($A404="","",IF(OR($B404="",$C404="",$D404="",$E404="",$F404=""),"Missing required field",IF(COUNTIFS($A$9:$A404,$A404,$B$9:$B404,$B404)&gt;1,"Duplicate event ID",IF(AND($E404&lt;&gt;IFERROR(LOOKUP(2,1/($B$9:$B$403=$B404),$E$9:$E403),0),IFERROR(LOOKUP(2,1/($B$9:$B$403=$B404),$E$9:$E403),0)&gt;$E404),"Date out of order",IF(AND(OR($F404="buy_to_close",$F404="expire",$F404="roll",$F404="assignment",$F404="called_away"),$AF404=0),"Unknown lot",IF(OR(AND($F404="assignment",$AF404&gt;0,IF($AF404&gt;0,INDEX($AG$9:$AG$403,$AF404),"")&lt;&gt;"put"),AND($F404="called_away",$AF404&gt;0,IF($AF404&gt;0,INDEX($AG$9:$AG$403,$AF404),"")&lt;&gt;"call")),"Wrong option leg",IF(OR(AND(OR($F404="sell_put",$F404="sell_call"),OR($H404&lt;=0,$I404&lt;=0,$J404&lt;0)),AND(OR($F404="buy_to_close",$F404="expire",$F404="assignment",$F404="called_away"),OR($H404&lt;=0,$J404&lt;0)),AND($F404="roll",OR($H404&lt;=0,$I404&lt;=0,$J404&lt;0,$K404&lt;0)),AND(OR($F404="buy_shares",$F404="sell_shares"),OR($L404&lt;=0,$M404&lt;0)),AND(OR($F404="dividend",$F404="fee"),$N404&lt;0)),"Invalid value",IF(AND(OR($F404="sell_shares",$F404="called_away"),$AL404&lt;IF($F404="called_away",$AE404*$D404,$L404)),"Insufficient shares (capped)",IF(AND(OR($F404="buy_to_close",$F404="expire",$F404="roll",$F404="assignment",$F404="called_away"),$AF404&gt;0,$H404&gt;IF($AF404&gt;0,MAX(0,INDEX($AI$9:$AI$403,$AF404)-SUMIFS($AE$9:$AE$403,$G$9:$G$403,$G404,$B$9:$B$403,$B404)),0)),"Close quantity capped","OK")))))))))</f>
        <v/>
      </c>
      <c r="W404" s="59" t="str">
        <f t="shared" si="105"/>
        <v/>
      </c>
      <c r="X404" s="60" t="str">
        <f t="shared" si="106"/>
        <v/>
      </c>
      <c r="Y404" s="50" t="str">
        <f t="shared" si="107"/>
        <v/>
      </c>
      <c r="Z404" s="50" t="str">
        <f t="shared" si="108"/>
        <v/>
      </c>
      <c r="AA404" s="50" t="str">
        <f t="shared" si="109"/>
        <v/>
      </c>
      <c r="AB404" s="50" t="str">
        <f t="shared" si="110"/>
        <v/>
      </c>
      <c r="AC404" s="50" t="str">
        <f>IF($A404="","",IF($F404="assignment",IF($AF404&gt;0,INDEX($AH$9:$AH$403,$AF404),0)*$AE404*$D404,IF($F404="buy_shares",$M404*$AL404,0)))</f>
        <v/>
      </c>
      <c r="AD404" s="50" t="str">
        <f>IF($A404="","",IF($F404="called_away",IF($AF404&gt;0,INDEX($AH$9:$AH$403,$AF404),0)*$AL404,IF($F404="sell_shares",$M404*$AL404,0)))</f>
        <v/>
      </c>
      <c r="AE404" s="51" t="str">
        <f>IF($A404="","",IF(OR($F404="sell_put",$F404="sell_call"),IF(AND($H404&gt;0,$I404&gt;0,$J404&gt;=0),$H404,0),IF(OR($F404="buy_to_close",$F404="expire",$F404="roll",$F404="assignment",$F404="called_away"),IF(AND($AF404&gt;0,$H404&gt;0,IF($F404="assignment",IF($AF404&gt;0,INDEX($AG$9:$AG$403,$AF404),"")="put",TRUE),IF($F404="called_away",IF($AF404&gt;0,INDEX($AG$9:$AG$403,$AF404),"")="call",TRUE)),MIN($H404,IF($AF404&gt;0,MAX(0,INDEX($AI$9:$AI$403,$AF404)-SUMIFS($AE$9:$AE$403,$G$9:$G$403,$G404,$B$9:$B$403,$B404)),0)),0),0)))</f>
        <v/>
      </c>
      <c r="AF404" t="str">
        <f>IF($A404="","",IFERROR(MATCH(LEN($B404)&amp;":"&amp;$B404&amp;$G404,$AY$9:$AY$403,0),0))</f>
        <v/>
      </c>
      <c r="AG404" t="str">
        <f>IF($A404="","",IF($F404="sell_put","put",IF($F404="sell_call","call",IF($F404="roll",IF($AF404&gt;0,IF($AF404&gt;0,INDEX($AG$9:$AG$403,$AF404),""),""),IF($AF404&gt;0,IF($AF404&gt;0,INDEX($AG$9:$AG$403,$AF404),""),"")))))</f>
        <v/>
      </c>
      <c r="AH404" t="str">
        <f>IF($A404="","",IF(OR($F404="sell_put",$F404="sell_call",$F404="roll"),$I404,IF($AF404&gt;0,IF($AF404&gt;0,INDEX($AH$9:$AH$403,$AF404),0),0)))</f>
        <v/>
      </c>
      <c r="AI404" s="51" t="str">
        <f t="shared" si="111"/>
        <v/>
      </c>
      <c r="AJ404" s="51" t="str">
        <f>IF($A404="","",IFERROR(LOOKUP(2,1/($B$9:$B$403=$B404),$AM$9:$AM403),0))</f>
        <v/>
      </c>
      <c r="AK404" t="str">
        <f>IF($A404="","",IFERROR(LOOKUP(2,1/($B$9:$B$403=$B404),$AN$9:$AN403),0))</f>
        <v/>
      </c>
      <c r="AL404" s="51" t="str">
        <f t="shared" si="112"/>
        <v/>
      </c>
      <c r="AM404" s="51" t="str">
        <f t="shared" si="113"/>
        <v/>
      </c>
      <c r="AN404" t="str">
        <f t="shared" si="114"/>
        <v/>
      </c>
      <c r="AO404" s="50" t="str">
        <f>IF($A404="","",IFERROR(LOOKUP(2,1/($B$9:$B$403=$B404),$AO$9:$AO403),0)+IF($F404="sell_put",$I404*$AE404*$D404,IF($F404="roll",IF($AG404="put",($I404-IF($AF404&gt;0,INDEX($AH$9:$AH$403,$AF404),0))*$AE404*$D404,0),IF(AND(OR($F404="buy_to_close",$F404="expire",$F404="roll",$F404="assignment",$F404="called_away"),$F404&lt;&gt;"roll",$AG404="put"),-IF($AF404&gt;0,INDEX($AH$9:$AH$403,$AF404),0)*$AE404*$D404,0))))</f>
        <v/>
      </c>
      <c r="AP404" s="51" t="str">
        <f>IF($A404="","",IFERROR(LOOKUP(2,1/($B$9:$B$403=$B404),$AP$9:$AP403),0)+IF($F404="sell_put",$AE404*$D404,IF(AND(OR($F404="buy_to_close",$F404="expire",$F404="roll",$F404="assignment",$F404="called_away"),$F404&lt;&gt;"roll",$AG404="put"),-$AE404*$D404,0)))</f>
        <v/>
      </c>
      <c r="AQ404" s="51" t="str">
        <f>IF($A404="","",IFERROR(LOOKUP(2,1/($B$9:$B$403=$B404),$AQ$9:$AQ403),0)+IF(OR($F404="sell_put",$F404="sell_call"),$AE404,0)-IF(AND(OR($F404="buy_to_close",$F404="expire",$F404="roll",$F404="assignment",$F404="called_away"),$F404&lt;&gt;"roll"),$AE404,0))</f>
        <v/>
      </c>
      <c r="AR404" t="str">
        <f t="shared" si="115"/>
        <v/>
      </c>
      <c r="AS404" s="50" t="str">
        <f t="shared" si="116"/>
        <v/>
      </c>
      <c r="AT404" s="50" t="str">
        <f>IF($A404="","",MAX(IF($T404=IFERROR(LOOKUP(2,1/($B$9:$B$403=$B404),$T$9:$T403),0),IFERROR(LOOKUP(2,1/($B$9:$B$403=$B404),$AT$9:$AT403),0),0),$AS404))</f>
        <v/>
      </c>
      <c r="AU404" t="str">
        <f t="shared" si="117"/>
        <v/>
      </c>
      <c r="AV404" s="51">
        <f>IF($AU404="",0,IF(AND(IFERROR(LOOKUP(2,1/($B$9:$B$403=$B404),$AR$9:$AR403),1),NOT(AND(OR($F404="dividend",$F404="fee"),IFERROR(LOOKUP(2,1/($B$9:$B$403=$B404),$T$9:$T403),0)&gt;0))),ROW(),0))</f>
        <v>0</v>
      </c>
      <c r="AW404">
        <f>IF($A404="",0,IF($AV404&gt;0,MAX($AW$9:$AW$403)+1,MAX($AW$9:$AW$403)))</f>
        <v>0</v>
      </c>
      <c r="AX404">
        <f>IF($AU404="",0,IF(AND($AR404,OR(NOT(IFERROR(LOOKUP(2,1/($B$9:$B$403=$B404),$AR$9:$AR403),1)),IFERROR(LOOKUP(2,1/($B$9:$B$403=$B404),$T$9:$T403),0)=0)),ROW(),0))</f>
        <v>0</v>
      </c>
      <c r="AY404" t="str">
        <f t="shared" si="118"/>
        <v/>
      </c>
    </row>
    <row r="405" spans="1:51" ht="15" x14ac:dyDescent="0.25">
      <c r="A405" s="41" t="str">
        <f>IF(Trades!$A405="","",Trades!O405)</f>
        <v/>
      </c>
      <c r="B405" s="41" t="str">
        <f>IF(Trades!$A405="","",Trades!B405)</f>
        <v/>
      </c>
      <c r="C405" s="41" t="str">
        <f>IF(Trades!$A405="","",Trades!C405)</f>
        <v/>
      </c>
      <c r="D405" s="42" t="str">
        <f>IF(Trades!$A405="","",IF(Trades!$L405&gt;0,Trades!$L405,Trades!$C$6))</f>
        <v/>
      </c>
      <c r="E405" s="43" t="str">
        <f>IF(Trades!$A405="","",Trades!A405)</f>
        <v/>
      </c>
      <c r="F405" s="41" t="str">
        <f>IF(Trades!$A405="","",IFERROR(INDEX(Trades!$V$2:$V$14,MATCH(Trades!$E405,Trades!$U$2:$U$14,0)),""))</f>
        <v/>
      </c>
      <c r="G405" s="41" t="str">
        <f>IF(Trades!$A405="","",Trades!N405)</f>
        <v/>
      </c>
      <c r="H405" s="42" t="str">
        <f>IF(Trades!$A405="","",Trades!F405)</f>
        <v/>
      </c>
      <c r="I405" s="44" t="str">
        <f>IF(Trades!$A405="","",Trades!G405)</f>
        <v/>
      </c>
      <c r="J405" s="44" t="str">
        <f>IF(Trades!$A405="","",Trades!I405)</f>
        <v/>
      </c>
      <c r="K405" s="44" t="str">
        <f>IF(Trades!$A405="","",Trades!Q405)</f>
        <v/>
      </c>
      <c r="L405" s="42" t="str">
        <f>IF(Trades!$A405="","",Trades!F405)</f>
        <v/>
      </c>
      <c r="M405" s="44" t="str">
        <f>IF(Trades!$A405="","",Trades!M405)</f>
        <v/>
      </c>
      <c r="N405" s="44" t="str">
        <f>IF(Trades!$A405="","",Trades!R405)</f>
        <v/>
      </c>
      <c r="O405" s="44" t="str">
        <f>IF(Trades!$A405="","",Trades!J405)</f>
        <v/>
      </c>
      <c r="P405" s="43" t="str">
        <f>IF(Trades!$A405="","",Trades!H405)</f>
        <v/>
      </c>
      <c r="Q405" s="41" t="str">
        <f>IF(Trades!$A405="","",Trades!P405)</f>
        <v/>
      </c>
      <c r="R405" s="45" t="str">
        <f t="shared" si="102"/>
        <v/>
      </c>
      <c r="S405" s="45" t="str">
        <f t="shared" si="103"/>
        <v/>
      </c>
      <c r="T405" s="46" t="str">
        <f>IF(OR($A405="",$B405=""),"",IF(AND(IFERROR(LOOKUP(2,1/($B$9:$B$404=$B405),$AR$9:$AR404),1),NOT(AND(OR($F405="dividend",$F405="fee"),IFERROR(LOOKUP(2,1/($B$9:$B$404=$B405),$T$9:$T404),0)&gt;0))),IFERROR(LOOKUP(2,1/($B$9:$B$404=$B405),$T$9:$T404),0)+1,IFERROR(LOOKUP(2,1/($B$9:$B$404=$B405),$T$9:$T404),0)))</f>
        <v/>
      </c>
      <c r="U405" s="47" t="str">
        <f t="shared" si="104"/>
        <v/>
      </c>
      <c r="V405" s="47" t="str">
        <f>IF($A405="","",IF(OR($B405="",$C405="",$D405="",$E405="",$F405=""),"Missing required field",IF(COUNTIFS($A$9:$A405,$A405,$B$9:$B405,$B405)&gt;1,"Duplicate event ID",IF(AND($E405&lt;&gt;IFERROR(LOOKUP(2,1/($B$9:$B$404=$B405),$E$9:$E404),0),IFERROR(LOOKUP(2,1/($B$9:$B$404=$B405),$E$9:$E404),0)&gt;$E405),"Date out of order",IF(AND(OR($F405="buy_to_close",$F405="expire",$F405="roll",$F405="assignment",$F405="called_away"),$AF405=0),"Unknown lot",IF(OR(AND($F405="assignment",$AF405&gt;0,IF($AF405&gt;0,INDEX($AG$9:$AG$404,$AF405),"")&lt;&gt;"put"),AND($F405="called_away",$AF405&gt;0,IF($AF405&gt;0,INDEX($AG$9:$AG$404,$AF405),"")&lt;&gt;"call")),"Wrong option leg",IF(OR(AND(OR($F405="sell_put",$F405="sell_call"),OR($H405&lt;=0,$I405&lt;=0,$J405&lt;0)),AND(OR($F405="buy_to_close",$F405="expire",$F405="assignment",$F405="called_away"),OR($H405&lt;=0,$J405&lt;0)),AND($F405="roll",OR($H405&lt;=0,$I405&lt;=0,$J405&lt;0,$K405&lt;0)),AND(OR($F405="buy_shares",$F405="sell_shares"),OR($L405&lt;=0,$M405&lt;0)),AND(OR($F405="dividend",$F405="fee"),$N405&lt;0)),"Invalid value",IF(AND(OR($F405="sell_shares",$F405="called_away"),$AL405&lt;IF($F405="called_away",$AE405*$D405,$L405)),"Insufficient shares (capped)",IF(AND(OR($F405="buy_to_close",$F405="expire",$F405="roll",$F405="assignment",$F405="called_away"),$AF405&gt;0,$H405&gt;IF($AF405&gt;0,MAX(0,INDEX($AI$9:$AI$404,$AF405)-SUMIFS($AE$9:$AE$404,$G$9:$G$404,$G405,$B$9:$B$404,$B405)),0)),"Close quantity capped","OK")))))))))</f>
        <v/>
      </c>
      <c r="W405" s="48" t="str">
        <f t="shared" si="105"/>
        <v/>
      </c>
      <c r="X405" s="49" t="str">
        <f t="shared" si="106"/>
        <v/>
      </c>
      <c r="Y405" s="50" t="str">
        <f t="shared" si="107"/>
        <v/>
      </c>
      <c r="Z405" s="50" t="str">
        <f t="shared" si="108"/>
        <v/>
      </c>
      <c r="AA405" s="50" t="str">
        <f t="shared" si="109"/>
        <v/>
      </c>
      <c r="AB405" s="50" t="str">
        <f t="shared" si="110"/>
        <v/>
      </c>
      <c r="AC405" s="50" t="str">
        <f>IF($A405="","",IF($F405="assignment",IF($AF405&gt;0,INDEX($AH$9:$AH$404,$AF405),0)*$AE405*$D405,IF($F405="buy_shares",$M405*$AL405,0)))</f>
        <v/>
      </c>
      <c r="AD405" s="50" t="str">
        <f>IF($A405="","",IF($F405="called_away",IF($AF405&gt;0,INDEX($AH$9:$AH$404,$AF405),0)*$AL405,IF($F405="sell_shares",$M405*$AL405,0)))</f>
        <v/>
      </c>
      <c r="AE405" s="51" t="str">
        <f>IF($A405="","",IF(OR($F405="sell_put",$F405="sell_call"),IF(AND($H405&gt;0,$I405&gt;0,$J405&gt;=0),$H405,0),IF(OR($F405="buy_to_close",$F405="expire",$F405="roll",$F405="assignment",$F405="called_away"),IF(AND($AF405&gt;0,$H405&gt;0,IF($F405="assignment",IF($AF405&gt;0,INDEX($AG$9:$AG$404,$AF405),"")="put",TRUE),IF($F405="called_away",IF($AF405&gt;0,INDEX($AG$9:$AG$404,$AF405),"")="call",TRUE)),MIN($H405,IF($AF405&gt;0,MAX(0,INDEX($AI$9:$AI$404,$AF405)-SUMIFS($AE$9:$AE$404,$G$9:$G$404,$G405,$B$9:$B$404,$B405)),0)),0),0)))</f>
        <v/>
      </c>
      <c r="AF405" t="str">
        <f>IF($A405="","",IFERROR(MATCH(LEN($B405)&amp;":"&amp;$B405&amp;$G405,$AY$9:$AY$404,0),0))</f>
        <v/>
      </c>
      <c r="AG405" t="str">
        <f>IF($A405="","",IF($F405="sell_put","put",IF($F405="sell_call","call",IF($F405="roll",IF($AF405&gt;0,IF($AF405&gt;0,INDEX($AG$9:$AG$404,$AF405),""),""),IF($AF405&gt;0,IF($AF405&gt;0,INDEX($AG$9:$AG$404,$AF405),""),"")))))</f>
        <v/>
      </c>
      <c r="AH405" t="str">
        <f>IF($A405="","",IF(OR($F405="sell_put",$F405="sell_call",$F405="roll"),$I405,IF($AF405&gt;0,IF($AF405&gt;0,INDEX($AH$9:$AH$404,$AF405),0),0)))</f>
        <v/>
      </c>
      <c r="AI405" s="51" t="str">
        <f t="shared" si="111"/>
        <v/>
      </c>
      <c r="AJ405" s="51" t="str">
        <f>IF($A405="","",IFERROR(LOOKUP(2,1/($B$9:$B$404=$B405),$AM$9:$AM404),0))</f>
        <v/>
      </c>
      <c r="AK405" t="str">
        <f>IF($A405="","",IFERROR(LOOKUP(2,1/($B$9:$B$404=$B405),$AN$9:$AN404),0))</f>
        <v/>
      </c>
      <c r="AL405" s="51" t="str">
        <f t="shared" si="112"/>
        <v/>
      </c>
      <c r="AM405" s="51" t="str">
        <f t="shared" si="113"/>
        <v/>
      </c>
      <c r="AN405" t="str">
        <f t="shared" si="114"/>
        <v/>
      </c>
      <c r="AO405" s="50" t="str">
        <f>IF($A405="","",IFERROR(LOOKUP(2,1/($B$9:$B$404=$B405),$AO$9:$AO404),0)+IF($F405="sell_put",$I405*$AE405*$D405,IF($F405="roll",IF($AG405="put",($I405-IF($AF405&gt;0,INDEX($AH$9:$AH$404,$AF405),0))*$AE405*$D405,0),IF(AND(OR($F405="buy_to_close",$F405="expire",$F405="roll",$F405="assignment",$F405="called_away"),$F405&lt;&gt;"roll",$AG405="put"),-IF($AF405&gt;0,INDEX($AH$9:$AH$404,$AF405),0)*$AE405*$D405,0))))</f>
        <v/>
      </c>
      <c r="AP405" s="51" t="str">
        <f>IF($A405="","",IFERROR(LOOKUP(2,1/($B$9:$B$404=$B405),$AP$9:$AP404),0)+IF($F405="sell_put",$AE405*$D405,IF(AND(OR($F405="buy_to_close",$F405="expire",$F405="roll",$F405="assignment",$F405="called_away"),$F405&lt;&gt;"roll",$AG405="put"),-$AE405*$D405,0)))</f>
        <v/>
      </c>
      <c r="AQ405" s="51" t="str">
        <f>IF($A405="","",IFERROR(LOOKUP(2,1/($B$9:$B$404=$B405),$AQ$9:$AQ404),0)+IF(OR($F405="sell_put",$F405="sell_call"),$AE405,0)-IF(AND(OR($F405="buy_to_close",$F405="expire",$F405="roll",$F405="assignment",$F405="called_away"),$F405&lt;&gt;"roll"),$AE405,0))</f>
        <v/>
      </c>
      <c r="AR405" t="str">
        <f t="shared" si="115"/>
        <v/>
      </c>
      <c r="AS405" s="50" t="str">
        <f t="shared" si="116"/>
        <v/>
      </c>
      <c r="AT405" s="50" t="str">
        <f>IF($A405="","",MAX(IF($T405=IFERROR(LOOKUP(2,1/($B$9:$B$404=$B405),$T$9:$T404),0),IFERROR(LOOKUP(2,1/($B$9:$B$404=$B405),$AT$9:$AT404),0),0),$AS405))</f>
        <v/>
      </c>
      <c r="AU405" t="str">
        <f t="shared" si="117"/>
        <v/>
      </c>
      <c r="AV405" s="51">
        <f>IF($AU405="",0,IF(AND(IFERROR(LOOKUP(2,1/($B$9:$B$404=$B405),$AR$9:$AR404),1),NOT(AND(OR($F405="dividend",$F405="fee"),IFERROR(LOOKUP(2,1/($B$9:$B$404=$B405),$T$9:$T404),0)&gt;0))),ROW(),0))</f>
        <v>0</v>
      </c>
      <c r="AW405">
        <f>IF($A405="",0,IF($AV405&gt;0,MAX($AW$9:$AW$404)+1,MAX($AW$9:$AW$404)))</f>
        <v>0</v>
      </c>
      <c r="AX405">
        <f>IF($AU405="",0,IF(AND($AR405,OR(NOT(IFERROR(LOOKUP(2,1/($B$9:$B$404=$B405),$AR$9:$AR404),1)),IFERROR(LOOKUP(2,1/($B$9:$B$404=$B405),$T$9:$T404),0)=0)),ROW(),0))</f>
        <v>0</v>
      </c>
      <c r="AY405" t="str">
        <f t="shared" si="118"/>
        <v/>
      </c>
    </row>
    <row r="406" spans="1:51" ht="15" x14ac:dyDescent="0.25">
      <c r="A406" s="52" t="str">
        <f>IF(Trades!$A406="","",Trades!O406)</f>
        <v/>
      </c>
      <c r="B406" s="52" t="str">
        <f>IF(Trades!$A406="","",Trades!B406)</f>
        <v/>
      </c>
      <c r="C406" s="52" t="str">
        <f>IF(Trades!$A406="","",Trades!C406)</f>
        <v/>
      </c>
      <c r="D406" s="53" t="str">
        <f>IF(Trades!$A406="","",IF(Trades!$L406&gt;0,Trades!$L406,Trades!$C$6))</f>
        <v/>
      </c>
      <c r="E406" s="54" t="str">
        <f>IF(Trades!$A406="","",Trades!A406)</f>
        <v/>
      </c>
      <c r="F406" s="52" t="str">
        <f>IF(Trades!$A406="","",IFERROR(INDEX(Trades!$V$2:$V$14,MATCH(Trades!$E406,Trades!$U$2:$U$14,0)),""))</f>
        <v/>
      </c>
      <c r="G406" s="52" t="str">
        <f>IF(Trades!$A406="","",Trades!N406)</f>
        <v/>
      </c>
      <c r="H406" s="53" t="str">
        <f>IF(Trades!$A406="","",Trades!F406)</f>
        <v/>
      </c>
      <c r="I406" s="55" t="str">
        <f>IF(Trades!$A406="","",Trades!G406)</f>
        <v/>
      </c>
      <c r="J406" s="55" t="str">
        <f>IF(Trades!$A406="","",Trades!I406)</f>
        <v/>
      </c>
      <c r="K406" s="55" t="str">
        <f>IF(Trades!$A406="","",Trades!Q406)</f>
        <v/>
      </c>
      <c r="L406" s="53" t="str">
        <f>IF(Trades!$A406="","",Trades!F406)</f>
        <v/>
      </c>
      <c r="M406" s="55" t="str">
        <f>IF(Trades!$A406="","",Trades!M406)</f>
        <v/>
      </c>
      <c r="N406" s="55" t="str">
        <f>IF(Trades!$A406="","",Trades!R406)</f>
        <v/>
      </c>
      <c r="O406" s="55" t="str">
        <f>IF(Trades!$A406="","",Trades!J406)</f>
        <v/>
      </c>
      <c r="P406" s="54" t="str">
        <f>IF(Trades!$A406="","",Trades!H406)</f>
        <v/>
      </c>
      <c r="Q406" s="52" t="str">
        <f>IF(Trades!$A406="","",Trades!P406)</f>
        <v/>
      </c>
      <c r="R406" s="56" t="str">
        <f t="shared" si="102"/>
        <v/>
      </c>
      <c r="S406" s="56" t="str">
        <f t="shared" si="103"/>
        <v/>
      </c>
      <c r="T406" s="57" t="str">
        <f>IF(OR($A406="",$B406=""),"",IF(AND(IFERROR(LOOKUP(2,1/($B$9:$B$405=$B406),$AR$9:$AR405),1),NOT(AND(OR($F406="dividend",$F406="fee"),IFERROR(LOOKUP(2,1/($B$9:$B$405=$B406),$T$9:$T405),0)&gt;0))),IFERROR(LOOKUP(2,1/($B$9:$B$405=$B406),$T$9:$T405),0)+1,IFERROR(LOOKUP(2,1/($B$9:$B$405=$B406),$T$9:$T405),0)))</f>
        <v/>
      </c>
      <c r="U406" s="58" t="str">
        <f t="shared" si="104"/>
        <v/>
      </c>
      <c r="V406" s="58" t="str">
        <f>IF($A406="","",IF(OR($B406="",$C406="",$D406="",$E406="",$F406=""),"Missing required field",IF(COUNTIFS($A$9:$A406,$A406,$B$9:$B406,$B406)&gt;1,"Duplicate event ID",IF(AND($E406&lt;&gt;IFERROR(LOOKUP(2,1/($B$9:$B$405=$B406),$E$9:$E405),0),IFERROR(LOOKUP(2,1/($B$9:$B$405=$B406),$E$9:$E405),0)&gt;$E406),"Date out of order",IF(AND(OR($F406="buy_to_close",$F406="expire",$F406="roll",$F406="assignment",$F406="called_away"),$AF406=0),"Unknown lot",IF(OR(AND($F406="assignment",$AF406&gt;0,IF($AF406&gt;0,INDEX($AG$9:$AG$405,$AF406),"")&lt;&gt;"put"),AND($F406="called_away",$AF406&gt;0,IF($AF406&gt;0,INDEX($AG$9:$AG$405,$AF406),"")&lt;&gt;"call")),"Wrong option leg",IF(OR(AND(OR($F406="sell_put",$F406="sell_call"),OR($H406&lt;=0,$I406&lt;=0,$J406&lt;0)),AND(OR($F406="buy_to_close",$F406="expire",$F406="assignment",$F406="called_away"),OR($H406&lt;=0,$J406&lt;0)),AND($F406="roll",OR($H406&lt;=0,$I406&lt;=0,$J406&lt;0,$K406&lt;0)),AND(OR($F406="buy_shares",$F406="sell_shares"),OR($L406&lt;=0,$M406&lt;0)),AND(OR($F406="dividend",$F406="fee"),$N406&lt;0)),"Invalid value",IF(AND(OR($F406="sell_shares",$F406="called_away"),$AL406&lt;IF($F406="called_away",$AE406*$D406,$L406)),"Insufficient shares (capped)",IF(AND(OR($F406="buy_to_close",$F406="expire",$F406="roll",$F406="assignment",$F406="called_away"),$AF406&gt;0,$H406&gt;IF($AF406&gt;0,MAX(0,INDEX($AI$9:$AI$405,$AF406)-SUMIFS($AE$9:$AE$405,$G$9:$G$405,$G406,$B$9:$B$405,$B406)),0)),"Close quantity capped","OK")))))))))</f>
        <v/>
      </c>
      <c r="W406" s="59" t="str">
        <f t="shared" si="105"/>
        <v/>
      </c>
      <c r="X406" s="60" t="str">
        <f t="shared" si="106"/>
        <v/>
      </c>
      <c r="Y406" s="50" t="str">
        <f t="shared" si="107"/>
        <v/>
      </c>
      <c r="Z406" s="50" t="str">
        <f t="shared" si="108"/>
        <v/>
      </c>
      <c r="AA406" s="50" t="str">
        <f t="shared" si="109"/>
        <v/>
      </c>
      <c r="AB406" s="50" t="str">
        <f t="shared" si="110"/>
        <v/>
      </c>
      <c r="AC406" s="50" t="str">
        <f>IF($A406="","",IF($F406="assignment",IF($AF406&gt;0,INDEX($AH$9:$AH$405,$AF406),0)*$AE406*$D406,IF($F406="buy_shares",$M406*$AL406,0)))</f>
        <v/>
      </c>
      <c r="AD406" s="50" t="str">
        <f>IF($A406="","",IF($F406="called_away",IF($AF406&gt;0,INDEX($AH$9:$AH$405,$AF406),0)*$AL406,IF($F406="sell_shares",$M406*$AL406,0)))</f>
        <v/>
      </c>
      <c r="AE406" s="51" t="str">
        <f>IF($A406="","",IF(OR($F406="sell_put",$F406="sell_call"),IF(AND($H406&gt;0,$I406&gt;0,$J406&gt;=0),$H406,0),IF(OR($F406="buy_to_close",$F406="expire",$F406="roll",$F406="assignment",$F406="called_away"),IF(AND($AF406&gt;0,$H406&gt;0,IF($F406="assignment",IF($AF406&gt;0,INDEX($AG$9:$AG$405,$AF406),"")="put",TRUE),IF($F406="called_away",IF($AF406&gt;0,INDEX($AG$9:$AG$405,$AF406),"")="call",TRUE)),MIN($H406,IF($AF406&gt;0,MAX(0,INDEX($AI$9:$AI$405,$AF406)-SUMIFS($AE$9:$AE$405,$G$9:$G$405,$G406,$B$9:$B$405,$B406)),0)),0),0)))</f>
        <v/>
      </c>
      <c r="AF406" t="str">
        <f>IF($A406="","",IFERROR(MATCH(LEN($B406)&amp;":"&amp;$B406&amp;$G406,$AY$9:$AY$405,0),0))</f>
        <v/>
      </c>
      <c r="AG406" t="str">
        <f>IF($A406="","",IF($F406="sell_put","put",IF($F406="sell_call","call",IF($F406="roll",IF($AF406&gt;0,IF($AF406&gt;0,INDEX($AG$9:$AG$405,$AF406),""),""),IF($AF406&gt;0,IF($AF406&gt;0,INDEX($AG$9:$AG$405,$AF406),""),"")))))</f>
        <v/>
      </c>
      <c r="AH406" t="str">
        <f>IF($A406="","",IF(OR($F406="sell_put",$F406="sell_call",$F406="roll"),$I406,IF($AF406&gt;0,IF($AF406&gt;0,INDEX($AH$9:$AH$405,$AF406),0),0)))</f>
        <v/>
      </c>
      <c r="AI406" s="51" t="str">
        <f t="shared" si="111"/>
        <v/>
      </c>
      <c r="AJ406" s="51" t="str">
        <f>IF($A406="","",IFERROR(LOOKUP(2,1/($B$9:$B$405=$B406),$AM$9:$AM405),0))</f>
        <v/>
      </c>
      <c r="AK406" t="str">
        <f>IF($A406="","",IFERROR(LOOKUP(2,1/($B$9:$B$405=$B406),$AN$9:$AN405),0))</f>
        <v/>
      </c>
      <c r="AL406" s="51" t="str">
        <f t="shared" si="112"/>
        <v/>
      </c>
      <c r="AM406" s="51" t="str">
        <f t="shared" si="113"/>
        <v/>
      </c>
      <c r="AN406" t="str">
        <f t="shared" si="114"/>
        <v/>
      </c>
      <c r="AO406" s="50" t="str">
        <f>IF($A406="","",IFERROR(LOOKUP(2,1/($B$9:$B$405=$B406),$AO$9:$AO405),0)+IF($F406="sell_put",$I406*$AE406*$D406,IF($F406="roll",IF($AG406="put",($I406-IF($AF406&gt;0,INDEX($AH$9:$AH$405,$AF406),0))*$AE406*$D406,0),IF(AND(OR($F406="buy_to_close",$F406="expire",$F406="roll",$F406="assignment",$F406="called_away"),$F406&lt;&gt;"roll",$AG406="put"),-IF($AF406&gt;0,INDEX($AH$9:$AH$405,$AF406),0)*$AE406*$D406,0))))</f>
        <v/>
      </c>
      <c r="AP406" s="51" t="str">
        <f>IF($A406="","",IFERROR(LOOKUP(2,1/($B$9:$B$405=$B406),$AP$9:$AP405),0)+IF($F406="sell_put",$AE406*$D406,IF(AND(OR($F406="buy_to_close",$F406="expire",$F406="roll",$F406="assignment",$F406="called_away"),$F406&lt;&gt;"roll",$AG406="put"),-$AE406*$D406,0)))</f>
        <v/>
      </c>
      <c r="AQ406" s="51" t="str">
        <f>IF($A406="","",IFERROR(LOOKUP(2,1/($B$9:$B$405=$B406),$AQ$9:$AQ405),0)+IF(OR($F406="sell_put",$F406="sell_call"),$AE406,0)-IF(AND(OR($F406="buy_to_close",$F406="expire",$F406="roll",$F406="assignment",$F406="called_away"),$F406&lt;&gt;"roll"),$AE406,0))</f>
        <v/>
      </c>
      <c r="AR406" t="str">
        <f t="shared" si="115"/>
        <v/>
      </c>
      <c r="AS406" s="50" t="str">
        <f t="shared" si="116"/>
        <v/>
      </c>
      <c r="AT406" s="50" t="str">
        <f>IF($A406="","",MAX(IF($T406=IFERROR(LOOKUP(2,1/($B$9:$B$405=$B406),$T$9:$T405),0),IFERROR(LOOKUP(2,1/($B$9:$B$405=$B406),$AT$9:$AT405),0),0),$AS406))</f>
        <v/>
      </c>
      <c r="AU406" t="str">
        <f t="shared" si="117"/>
        <v/>
      </c>
      <c r="AV406" s="51">
        <f>IF($AU406="",0,IF(AND(IFERROR(LOOKUP(2,1/($B$9:$B$405=$B406),$AR$9:$AR405),1),NOT(AND(OR($F406="dividend",$F406="fee"),IFERROR(LOOKUP(2,1/($B$9:$B$405=$B406),$T$9:$T405),0)&gt;0))),ROW(),0))</f>
        <v>0</v>
      </c>
      <c r="AW406">
        <f>IF($A406="",0,IF($AV406&gt;0,MAX($AW$9:$AW$405)+1,MAX($AW$9:$AW$405)))</f>
        <v>0</v>
      </c>
      <c r="AX406">
        <f>IF($AU406="",0,IF(AND($AR406,OR(NOT(IFERROR(LOOKUP(2,1/($B$9:$B$405=$B406),$AR$9:$AR405),1)),IFERROR(LOOKUP(2,1/($B$9:$B$405=$B406),$T$9:$T405),0)=0)),ROW(),0))</f>
        <v>0</v>
      </c>
      <c r="AY406" t="str">
        <f t="shared" si="118"/>
        <v/>
      </c>
    </row>
    <row r="407" spans="1:51" ht="15" x14ac:dyDescent="0.25">
      <c r="A407" s="41" t="str">
        <f>IF(Trades!$A407="","",Trades!O407)</f>
        <v/>
      </c>
      <c r="B407" s="41" t="str">
        <f>IF(Trades!$A407="","",Trades!B407)</f>
        <v/>
      </c>
      <c r="C407" s="41" t="str">
        <f>IF(Trades!$A407="","",Trades!C407)</f>
        <v/>
      </c>
      <c r="D407" s="42" t="str">
        <f>IF(Trades!$A407="","",IF(Trades!$L407&gt;0,Trades!$L407,Trades!$C$6))</f>
        <v/>
      </c>
      <c r="E407" s="43" t="str">
        <f>IF(Trades!$A407="","",Trades!A407)</f>
        <v/>
      </c>
      <c r="F407" s="41" t="str">
        <f>IF(Trades!$A407="","",IFERROR(INDEX(Trades!$V$2:$V$14,MATCH(Trades!$E407,Trades!$U$2:$U$14,0)),""))</f>
        <v/>
      </c>
      <c r="G407" s="41" t="str">
        <f>IF(Trades!$A407="","",Trades!N407)</f>
        <v/>
      </c>
      <c r="H407" s="42" t="str">
        <f>IF(Trades!$A407="","",Trades!F407)</f>
        <v/>
      </c>
      <c r="I407" s="44" t="str">
        <f>IF(Trades!$A407="","",Trades!G407)</f>
        <v/>
      </c>
      <c r="J407" s="44" t="str">
        <f>IF(Trades!$A407="","",Trades!I407)</f>
        <v/>
      </c>
      <c r="K407" s="44" t="str">
        <f>IF(Trades!$A407="","",Trades!Q407)</f>
        <v/>
      </c>
      <c r="L407" s="42" t="str">
        <f>IF(Trades!$A407="","",Trades!F407)</f>
        <v/>
      </c>
      <c r="M407" s="44" t="str">
        <f>IF(Trades!$A407="","",Trades!M407)</f>
        <v/>
      </c>
      <c r="N407" s="44" t="str">
        <f>IF(Trades!$A407="","",Trades!R407)</f>
        <v/>
      </c>
      <c r="O407" s="44" t="str">
        <f>IF(Trades!$A407="","",Trades!J407)</f>
        <v/>
      </c>
      <c r="P407" s="43" t="str">
        <f>IF(Trades!$A407="","",Trades!H407)</f>
        <v/>
      </c>
      <c r="Q407" s="41" t="str">
        <f>IF(Trades!$A407="","",Trades!P407)</f>
        <v/>
      </c>
      <c r="R407" s="45" t="str">
        <f t="shared" si="102"/>
        <v/>
      </c>
      <c r="S407" s="45" t="str">
        <f t="shared" si="103"/>
        <v/>
      </c>
      <c r="T407" s="46" t="str">
        <f>IF(OR($A407="",$B407=""),"",IF(AND(IFERROR(LOOKUP(2,1/($B$9:$B$406=$B407),$AR$9:$AR406),1),NOT(AND(OR($F407="dividend",$F407="fee"),IFERROR(LOOKUP(2,1/($B$9:$B$406=$B407),$T$9:$T406),0)&gt;0))),IFERROR(LOOKUP(2,1/($B$9:$B$406=$B407),$T$9:$T406),0)+1,IFERROR(LOOKUP(2,1/($B$9:$B$406=$B407),$T$9:$T406),0)))</f>
        <v/>
      </c>
      <c r="U407" s="47" t="str">
        <f t="shared" si="104"/>
        <v/>
      </c>
      <c r="V407" s="47" t="str">
        <f>IF($A407="","",IF(OR($B407="",$C407="",$D407="",$E407="",$F407=""),"Missing required field",IF(COUNTIFS($A$9:$A407,$A407,$B$9:$B407,$B407)&gt;1,"Duplicate event ID",IF(AND($E407&lt;&gt;IFERROR(LOOKUP(2,1/($B$9:$B$406=$B407),$E$9:$E406),0),IFERROR(LOOKUP(2,1/($B$9:$B$406=$B407),$E$9:$E406),0)&gt;$E407),"Date out of order",IF(AND(OR($F407="buy_to_close",$F407="expire",$F407="roll",$F407="assignment",$F407="called_away"),$AF407=0),"Unknown lot",IF(OR(AND($F407="assignment",$AF407&gt;0,IF($AF407&gt;0,INDEX($AG$9:$AG$406,$AF407),"")&lt;&gt;"put"),AND($F407="called_away",$AF407&gt;0,IF($AF407&gt;0,INDEX($AG$9:$AG$406,$AF407),"")&lt;&gt;"call")),"Wrong option leg",IF(OR(AND(OR($F407="sell_put",$F407="sell_call"),OR($H407&lt;=0,$I407&lt;=0,$J407&lt;0)),AND(OR($F407="buy_to_close",$F407="expire",$F407="assignment",$F407="called_away"),OR($H407&lt;=0,$J407&lt;0)),AND($F407="roll",OR($H407&lt;=0,$I407&lt;=0,$J407&lt;0,$K407&lt;0)),AND(OR($F407="buy_shares",$F407="sell_shares"),OR($L407&lt;=0,$M407&lt;0)),AND(OR($F407="dividend",$F407="fee"),$N407&lt;0)),"Invalid value",IF(AND(OR($F407="sell_shares",$F407="called_away"),$AL407&lt;IF($F407="called_away",$AE407*$D407,$L407)),"Insufficient shares (capped)",IF(AND(OR($F407="buy_to_close",$F407="expire",$F407="roll",$F407="assignment",$F407="called_away"),$AF407&gt;0,$H407&gt;IF($AF407&gt;0,MAX(0,INDEX($AI$9:$AI$406,$AF407)-SUMIFS($AE$9:$AE$406,$G$9:$G$406,$G407,$B$9:$B$406,$B407)),0)),"Close quantity capped","OK")))))))))</f>
        <v/>
      </c>
      <c r="W407" s="48" t="str">
        <f t="shared" si="105"/>
        <v/>
      </c>
      <c r="X407" s="49" t="str">
        <f t="shared" si="106"/>
        <v/>
      </c>
      <c r="Y407" s="50" t="str">
        <f t="shared" si="107"/>
        <v/>
      </c>
      <c r="Z407" s="50" t="str">
        <f t="shared" si="108"/>
        <v/>
      </c>
      <c r="AA407" s="50" t="str">
        <f t="shared" si="109"/>
        <v/>
      </c>
      <c r="AB407" s="50" t="str">
        <f t="shared" si="110"/>
        <v/>
      </c>
      <c r="AC407" s="50" t="str">
        <f>IF($A407="","",IF($F407="assignment",IF($AF407&gt;0,INDEX($AH$9:$AH$406,$AF407),0)*$AE407*$D407,IF($F407="buy_shares",$M407*$AL407,0)))</f>
        <v/>
      </c>
      <c r="AD407" s="50" t="str">
        <f>IF($A407="","",IF($F407="called_away",IF($AF407&gt;0,INDEX($AH$9:$AH$406,$AF407),0)*$AL407,IF($F407="sell_shares",$M407*$AL407,0)))</f>
        <v/>
      </c>
      <c r="AE407" s="51" t="str">
        <f>IF($A407="","",IF(OR($F407="sell_put",$F407="sell_call"),IF(AND($H407&gt;0,$I407&gt;0,$J407&gt;=0),$H407,0),IF(OR($F407="buy_to_close",$F407="expire",$F407="roll",$F407="assignment",$F407="called_away"),IF(AND($AF407&gt;0,$H407&gt;0,IF($F407="assignment",IF($AF407&gt;0,INDEX($AG$9:$AG$406,$AF407),"")="put",TRUE),IF($F407="called_away",IF($AF407&gt;0,INDEX($AG$9:$AG$406,$AF407),"")="call",TRUE)),MIN($H407,IF($AF407&gt;0,MAX(0,INDEX($AI$9:$AI$406,$AF407)-SUMIFS($AE$9:$AE$406,$G$9:$G$406,$G407,$B$9:$B$406,$B407)),0)),0),0)))</f>
        <v/>
      </c>
      <c r="AF407" t="str">
        <f>IF($A407="","",IFERROR(MATCH(LEN($B407)&amp;":"&amp;$B407&amp;$G407,$AY$9:$AY$406,0),0))</f>
        <v/>
      </c>
      <c r="AG407" t="str">
        <f>IF($A407="","",IF($F407="sell_put","put",IF($F407="sell_call","call",IF($F407="roll",IF($AF407&gt;0,IF($AF407&gt;0,INDEX($AG$9:$AG$406,$AF407),""),""),IF($AF407&gt;0,IF($AF407&gt;0,INDEX($AG$9:$AG$406,$AF407),""),"")))))</f>
        <v/>
      </c>
      <c r="AH407" t="str">
        <f>IF($A407="","",IF(OR($F407="sell_put",$F407="sell_call",$F407="roll"),$I407,IF($AF407&gt;0,IF($AF407&gt;0,INDEX($AH$9:$AH$406,$AF407),0),0)))</f>
        <v/>
      </c>
      <c r="AI407" s="51" t="str">
        <f t="shared" si="111"/>
        <v/>
      </c>
      <c r="AJ407" s="51" t="str">
        <f>IF($A407="","",IFERROR(LOOKUP(2,1/($B$9:$B$406=$B407),$AM$9:$AM406),0))</f>
        <v/>
      </c>
      <c r="AK407" t="str">
        <f>IF($A407="","",IFERROR(LOOKUP(2,1/($B$9:$B$406=$B407),$AN$9:$AN406),0))</f>
        <v/>
      </c>
      <c r="AL407" s="51" t="str">
        <f t="shared" si="112"/>
        <v/>
      </c>
      <c r="AM407" s="51" t="str">
        <f t="shared" si="113"/>
        <v/>
      </c>
      <c r="AN407" t="str">
        <f t="shared" si="114"/>
        <v/>
      </c>
      <c r="AO407" s="50" t="str">
        <f>IF($A407="","",IFERROR(LOOKUP(2,1/($B$9:$B$406=$B407),$AO$9:$AO406),0)+IF($F407="sell_put",$I407*$AE407*$D407,IF($F407="roll",IF($AG407="put",($I407-IF($AF407&gt;0,INDEX($AH$9:$AH$406,$AF407),0))*$AE407*$D407,0),IF(AND(OR($F407="buy_to_close",$F407="expire",$F407="roll",$F407="assignment",$F407="called_away"),$F407&lt;&gt;"roll",$AG407="put"),-IF($AF407&gt;0,INDEX($AH$9:$AH$406,$AF407),0)*$AE407*$D407,0))))</f>
        <v/>
      </c>
      <c r="AP407" s="51" t="str">
        <f>IF($A407="","",IFERROR(LOOKUP(2,1/($B$9:$B$406=$B407),$AP$9:$AP406),0)+IF($F407="sell_put",$AE407*$D407,IF(AND(OR($F407="buy_to_close",$F407="expire",$F407="roll",$F407="assignment",$F407="called_away"),$F407&lt;&gt;"roll",$AG407="put"),-$AE407*$D407,0)))</f>
        <v/>
      </c>
      <c r="AQ407" s="51" t="str">
        <f>IF($A407="","",IFERROR(LOOKUP(2,1/($B$9:$B$406=$B407),$AQ$9:$AQ406),0)+IF(OR($F407="sell_put",$F407="sell_call"),$AE407,0)-IF(AND(OR($F407="buy_to_close",$F407="expire",$F407="roll",$F407="assignment",$F407="called_away"),$F407&lt;&gt;"roll"),$AE407,0))</f>
        <v/>
      </c>
      <c r="AR407" t="str">
        <f t="shared" si="115"/>
        <v/>
      </c>
      <c r="AS407" s="50" t="str">
        <f t="shared" si="116"/>
        <v/>
      </c>
      <c r="AT407" s="50" t="str">
        <f>IF($A407="","",MAX(IF($T407=IFERROR(LOOKUP(2,1/($B$9:$B$406=$B407),$T$9:$T406),0),IFERROR(LOOKUP(2,1/($B$9:$B$406=$B407),$AT$9:$AT406),0),0),$AS407))</f>
        <v/>
      </c>
      <c r="AU407" t="str">
        <f t="shared" si="117"/>
        <v/>
      </c>
      <c r="AV407" s="51">
        <f>IF($AU407="",0,IF(AND(IFERROR(LOOKUP(2,1/($B$9:$B$406=$B407),$AR$9:$AR406),1),NOT(AND(OR($F407="dividend",$F407="fee"),IFERROR(LOOKUP(2,1/($B$9:$B$406=$B407),$T$9:$T406),0)&gt;0))),ROW(),0))</f>
        <v>0</v>
      </c>
      <c r="AW407">
        <f>IF($A407="",0,IF($AV407&gt;0,MAX($AW$9:$AW$406)+1,MAX($AW$9:$AW$406)))</f>
        <v>0</v>
      </c>
      <c r="AX407">
        <f>IF($AU407="",0,IF(AND($AR407,OR(NOT(IFERROR(LOOKUP(2,1/($B$9:$B$406=$B407),$AR$9:$AR406),1)),IFERROR(LOOKUP(2,1/($B$9:$B$406=$B407),$T$9:$T406),0)=0)),ROW(),0))</f>
        <v>0</v>
      </c>
      <c r="AY407" t="str">
        <f t="shared" si="118"/>
        <v/>
      </c>
    </row>
    <row r="408" spans="1:51" ht="15" x14ac:dyDescent="0.25">
      <c r="A408" s="52" t="str">
        <f>IF(Trades!$A408="","",Trades!O408)</f>
        <v/>
      </c>
      <c r="B408" s="52" t="str">
        <f>IF(Trades!$A408="","",Trades!B408)</f>
        <v/>
      </c>
      <c r="C408" s="52" t="str">
        <f>IF(Trades!$A408="","",Trades!C408)</f>
        <v/>
      </c>
      <c r="D408" s="53" t="str">
        <f>IF(Trades!$A408="","",IF(Trades!$L408&gt;0,Trades!$L408,Trades!$C$6))</f>
        <v/>
      </c>
      <c r="E408" s="54" t="str">
        <f>IF(Trades!$A408="","",Trades!A408)</f>
        <v/>
      </c>
      <c r="F408" s="52" t="str">
        <f>IF(Trades!$A408="","",IFERROR(INDEX(Trades!$V$2:$V$14,MATCH(Trades!$E408,Trades!$U$2:$U$14,0)),""))</f>
        <v/>
      </c>
      <c r="G408" s="52" t="str">
        <f>IF(Trades!$A408="","",Trades!N408)</f>
        <v/>
      </c>
      <c r="H408" s="53" t="str">
        <f>IF(Trades!$A408="","",Trades!F408)</f>
        <v/>
      </c>
      <c r="I408" s="55" t="str">
        <f>IF(Trades!$A408="","",Trades!G408)</f>
        <v/>
      </c>
      <c r="J408" s="55" t="str">
        <f>IF(Trades!$A408="","",Trades!I408)</f>
        <v/>
      </c>
      <c r="K408" s="55" t="str">
        <f>IF(Trades!$A408="","",Trades!Q408)</f>
        <v/>
      </c>
      <c r="L408" s="53" t="str">
        <f>IF(Trades!$A408="","",Trades!F408)</f>
        <v/>
      </c>
      <c r="M408" s="55" t="str">
        <f>IF(Trades!$A408="","",Trades!M408)</f>
        <v/>
      </c>
      <c r="N408" s="55" t="str">
        <f>IF(Trades!$A408="","",Trades!R408)</f>
        <v/>
      </c>
      <c r="O408" s="55" t="str">
        <f>IF(Trades!$A408="","",Trades!J408)</f>
        <v/>
      </c>
      <c r="P408" s="54" t="str">
        <f>IF(Trades!$A408="","",Trades!H408)</f>
        <v/>
      </c>
      <c r="Q408" s="52" t="str">
        <f>IF(Trades!$A408="","",Trades!P408)</f>
        <v/>
      </c>
      <c r="R408" s="56" t="str">
        <f t="shared" si="102"/>
        <v/>
      </c>
      <c r="S408" s="56" t="str">
        <f t="shared" si="103"/>
        <v/>
      </c>
      <c r="T408" s="57" t="str">
        <f>IF(OR($A408="",$B408=""),"",IF(AND(IFERROR(LOOKUP(2,1/($B$9:$B$407=$B408),$AR$9:$AR407),1),NOT(AND(OR($F408="dividend",$F408="fee"),IFERROR(LOOKUP(2,1/($B$9:$B$407=$B408),$T$9:$T407),0)&gt;0))),IFERROR(LOOKUP(2,1/($B$9:$B$407=$B408),$T$9:$T407),0)+1,IFERROR(LOOKUP(2,1/($B$9:$B$407=$B408),$T$9:$T407),0)))</f>
        <v/>
      </c>
      <c r="U408" s="58" t="str">
        <f t="shared" si="104"/>
        <v/>
      </c>
      <c r="V408" s="58" t="str">
        <f>IF($A408="","",IF(OR($B408="",$C408="",$D408="",$E408="",$F408=""),"Missing required field",IF(COUNTIFS($A$9:$A408,$A408,$B$9:$B408,$B408)&gt;1,"Duplicate event ID",IF(AND($E408&lt;&gt;IFERROR(LOOKUP(2,1/($B$9:$B$407=$B408),$E$9:$E407),0),IFERROR(LOOKUP(2,1/($B$9:$B$407=$B408),$E$9:$E407),0)&gt;$E408),"Date out of order",IF(AND(OR($F408="buy_to_close",$F408="expire",$F408="roll",$F408="assignment",$F408="called_away"),$AF408=0),"Unknown lot",IF(OR(AND($F408="assignment",$AF408&gt;0,IF($AF408&gt;0,INDEX($AG$9:$AG$407,$AF408),"")&lt;&gt;"put"),AND($F408="called_away",$AF408&gt;0,IF($AF408&gt;0,INDEX($AG$9:$AG$407,$AF408),"")&lt;&gt;"call")),"Wrong option leg",IF(OR(AND(OR($F408="sell_put",$F408="sell_call"),OR($H408&lt;=0,$I408&lt;=0,$J408&lt;0)),AND(OR($F408="buy_to_close",$F408="expire",$F408="assignment",$F408="called_away"),OR($H408&lt;=0,$J408&lt;0)),AND($F408="roll",OR($H408&lt;=0,$I408&lt;=0,$J408&lt;0,$K408&lt;0)),AND(OR($F408="buy_shares",$F408="sell_shares"),OR($L408&lt;=0,$M408&lt;0)),AND(OR($F408="dividend",$F408="fee"),$N408&lt;0)),"Invalid value",IF(AND(OR($F408="sell_shares",$F408="called_away"),$AL408&lt;IF($F408="called_away",$AE408*$D408,$L408)),"Insufficient shares (capped)",IF(AND(OR($F408="buy_to_close",$F408="expire",$F408="roll",$F408="assignment",$F408="called_away"),$AF408&gt;0,$H408&gt;IF($AF408&gt;0,MAX(0,INDEX($AI$9:$AI$407,$AF408)-SUMIFS($AE$9:$AE$407,$G$9:$G$407,$G408,$B$9:$B$407,$B408)),0)),"Close quantity capped","OK")))))))))</f>
        <v/>
      </c>
      <c r="W408" s="59" t="str">
        <f t="shared" si="105"/>
        <v/>
      </c>
      <c r="X408" s="60" t="str">
        <f t="shared" si="106"/>
        <v/>
      </c>
      <c r="Y408" s="50" t="str">
        <f t="shared" si="107"/>
        <v/>
      </c>
      <c r="Z408" s="50" t="str">
        <f t="shared" si="108"/>
        <v/>
      </c>
      <c r="AA408" s="50" t="str">
        <f t="shared" si="109"/>
        <v/>
      </c>
      <c r="AB408" s="50" t="str">
        <f t="shared" si="110"/>
        <v/>
      </c>
      <c r="AC408" s="50" t="str">
        <f>IF($A408="","",IF($F408="assignment",IF($AF408&gt;0,INDEX($AH$9:$AH$407,$AF408),0)*$AE408*$D408,IF($F408="buy_shares",$M408*$AL408,0)))</f>
        <v/>
      </c>
      <c r="AD408" s="50" t="str">
        <f>IF($A408="","",IF($F408="called_away",IF($AF408&gt;0,INDEX($AH$9:$AH$407,$AF408),0)*$AL408,IF($F408="sell_shares",$M408*$AL408,0)))</f>
        <v/>
      </c>
      <c r="AE408" s="51" t="str">
        <f>IF($A408="","",IF(OR($F408="sell_put",$F408="sell_call"),IF(AND($H408&gt;0,$I408&gt;0,$J408&gt;=0),$H408,0),IF(OR($F408="buy_to_close",$F408="expire",$F408="roll",$F408="assignment",$F408="called_away"),IF(AND($AF408&gt;0,$H408&gt;0,IF($F408="assignment",IF($AF408&gt;0,INDEX($AG$9:$AG$407,$AF408),"")="put",TRUE),IF($F408="called_away",IF($AF408&gt;0,INDEX($AG$9:$AG$407,$AF408),"")="call",TRUE)),MIN($H408,IF($AF408&gt;0,MAX(0,INDEX($AI$9:$AI$407,$AF408)-SUMIFS($AE$9:$AE$407,$G$9:$G$407,$G408,$B$9:$B$407,$B408)),0)),0),0)))</f>
        <v/>
      </c>
      <c r="AF408" t="str">
        <f>IF($A408="","",IFERROR(MATCH(LEN($B408)&amp;":"&amp;$B408&amp;$G408,$AY$9:$AY$407,0),0))</f>
        <v/>
      </c>
      <c r="AG408" t="str">
        <f>IF($A408="","",IF($F408="sell_put","put",IF($F408="sell_call","call",IF($F408="roll",IF($AF408&gt;0,IF($AF408&gt;0,INDEX($AG$9:$AG$407,$AF408),""),""),IF($AF408&gt;0,IF($AF408&gt;0,INDEX($AG$9:$AG$407,$AF408),""),"")))))</f>
        <v/>
      </c>
      <c r="AH408" t="str">
        <f>IF($A408="","",IF(OR($F408="sell_put",$F408="sell_call",$F408="roll"),$I408,IF($AF408&gt;0,IF($AF408&gt;0,INDEX($AH$9:$AH$407,$AF408),0),0)))</f>
        <v/>
      </c>
      <c r="AI408" s="51" t="str">
        <f t="shared" si="111"/>
        <v/>
      </c>
      <c r="AJ408" s="51" t="str">
        <f>IF($A408="","",IFERROR(LOOKUP(2,1/($B$9:$B$407=$B408),$AM$9:$AM407),0))</f>
        <v/>
      </c>
      <c r="AK408" t="str">
        <f>IF($A408="","",IFERROR(LOOKUP(2,1/($B$9:$B$407=$B408),$AN$9:$AN407),0))</f>
        <v/>
      </c>
      <c r="AL408" s="51" t="str">
        <f t="shared" si="112"/>
        <v/>
      </c>
      <c r="AM408" s="51" t="str">
        <f t="shared" si="113"/>
        <v/>
      </c>
      <c r="AN408" t="str">
        <f t="shared" si="114"/>
        <v/>
      </c>
      <c r="AO408" s="50" t="str">
        <f>IF($A408="","",IFERROR(LOOKUP(2,1/($B$9:$B$407=$B408),$AO$9:$AO407),0)+IF($F408="sell_put",$I408*$AE408*$D408,IF($F408="roll",IF($AG408="put",($I408-IF($AF408&gt;0,INDEX($AH$9:$AH$407,$AF408),0))*$AE408*$D408,0),IF(AND(OR($F408="buy_to_close",$F408="expire",$F408="roll",$F408="assignment",$F408="called_away"),$F408&lt;&gt;"roll",$AG408="put"),-IF($AF408&gt;0,INDEX($AH$9:$AH$407,$AF408),0)*$AE408*$D408,0))))</f>
        <v/>
      </c>
      <c r="AP408" s="51" t="str">
        <f>IF($A408="","",IFERROR(LOOKUP(2,1/($B$9:$B$407=$B408),$AP$9:$AP407),0)+IF($F408="sell_put",$AE408*$D408,IF(AND(OR($F408="buy_to_close",$F408="expire",$F408="roll",$F408="assignment",$F408="called_away"),$F408&lt;&gt;"roll",$AG408="put"),-$AE408*$D408,0)))</f>
        <v/>
      </c>
      <c r="AQ408" s="51" t="str">
        <f>IF($A408="","",IFERROR(LOOKUP(2,1/($B$9:$B$407=$B408),$AQ$9:$AQ407),0)+IF(OR($F408="sell_put",$F408="sell_call"),$AE408,0)-IF(AND(OR($F408="buy_to_close",$F408="expire",$F408="roll",$F408="assignment",$F408="called_away"),$F408&lt;&gt;"roll"),$AE408,0))</f>
        <v/>
      </c>
      <c r="AR408" t="str">
        <f t="shared" si="115"/>
        <v/>
      </c>
      <c r="AS408" s="50" t="str">
        <f t="shared" si="116"/>
        <v/>
      </c>
      <c r="AT408" s="50" t="str">
        <f>IF($A408="","",MAX(IF($T408=IFERROR(LOOKUP(2,1/($B$9:$B$407=$B408),$T$9:$T407),0),IFERROR(LOOKUP(2,1/($B$9:$B$407=$B408),$AT$9:$AT407),0),0),$AS408))</f>
        <v/>
      </c>
      <c r="AU408" t="str">
        <f t="shared" si="117"/>
        <v/>
      </c>
      <c r="AV408" s="51">
        <f>IF($AU408="",0,IF(AND(IFERROR(LOOKUP(2,1/($B$9:$B$407=$B408),$AR$9:$AR407),1),NOT(AND(OR($F408="dividend",$F408="fee"),IFERROR(LOOKUP(2,1/($B$9:$B$407=$B408),$T$9:$T407),0)&gt;0))),ROW(),0))</f>
        <v>0</v>
      </c>
      <c r="AW408">
        <f>IF($A408="",0,IF($AV408&gt;0,MAX($AW$9:$AW$407)+1,MAX($AW$9:$AW$407)))</f>
        <v>0</v>
      </c>
      <c r="AX408">
        <f>IF($AU408="",0,IF(AND($AR408,OR(NOT(IFERROR(LOOKUP(2,1/($B$9:$B$407=$B408),$AR$9:$AR407),1)),IFERROR(LOOKUP(2,1/($B$9:$B$407=$B408),$T$9:$T407),0)=0)),ROW(),0))</f>
        <v>0</v>
      </c>
      <c r="AY408" t="str">
        <f t="shared" si="118"/>
        <v/>
      </c>
    </row>
    <row r="409" spans="1:51" ht="15" x14ac:dyDescent="0.25">
      <c r="A409" s="41" t="str">
        <f>IF(Trades!$A409="","",Trades!O409)</f>
        <v/>
      </c>
      <c r="B409" s="41" t="str">
        <f>IF(Trades!$A409="","",Trades!B409)</f>
        <v/>
      </c>
      <c r="C409" s="41" t="str">
        <f>IF(Trades!$A409="","",Trades!C409)</f>
        <v/>
      </c>
      <c r="D409" s="42" t="str">
        <f>IF(Trades!$A409="","",IF(Trades!$L409&gt;0,Trades!$L409,Trades!$C$6))</f>
        <v/>
      </c>
      <c r="E409" s="43" t="str">
        <f>IF(Trades!$A409="","",Trades!A409)</f>
        <v/>
      </c>
      <c r="F409" s="41" t="str">
        <f>IF(Trades!$A409="","",IFERROR(INDEX(Trades!$V$2:$V$14,MATCH(Trades!$E409,Trades!$U$2:$U$14,0)),""))</f>
        <v/>
      </c>
      <c r="G409" s="41" t="str">
        <f>IF(Trades!$A409="","",Trades!N409)</f>
        <v/>
      </c>
      <c r="H409" s="42" t="str">
        <f>IF(Trades!$A409="","",Trades!F409)</f>
        <v/>
      </c>
      <c r="I409" s="44" t="str">
        <f>IF(Trades!$A409="","",Trades!G409)</f>
        <v/>
      </c>
      <c r="J409" s="44" t="str">
        <f>IF(Trades!$A409="","",Trades!I409)</f>
        <v/>
      </c>
      <c r="K409" s="44" t="str">
        <f>IF(Trades!$A409="","",Trades!Q409)</f>
        <v/>
      </c>
      <c r="L409" s="42" t="str">
        <f>IF(Trades!$A409="","",Trades!F409)</f>
        <v/>
      </c>
      <c r="M409" s="44" t="str">
        <f>IF(Trades!$A409="","",Trades!M409)</f>
        <v/>
      </c>
      <c r="N409" s="44" t="str">
        <f>IF(Trades!$A409="","",Trades!R409)</f>
        <v/>
      </c>
      <c r="O409" s="44" t="str">
        <f>IF(Trades!$A409="","",Trades!J409)</f>
        <v/>
      </c>
      <c r="P409" s="43" t="str">
        <f>IF(Trades!$A409="","",Trades!H409)</f>
        <v/>
      </c>
      <c r="Q409" s="41" t="str">
        <f>IF(Trades!$A409="","",Trades!P409)</f>
        <v/>
      </c>
      <c r="R409" s="45" t="str">
        <f t="shared" si="102"/>
        <v/>
      </c>
      <c r="S409" s="45" t="str">
        <f t="shared" si="103"/>
        <v/>
      </c>
      <c r="T409" s="46" t="str">
        <f>IF(OR($A409="",$B409=""),"",IF(AND(IFERROR(LOOKUP(2,1/($B$9:$B$408=$B409),$AR$9:$AR408),1),NOT(AND(OR($F409="dividend",$F409="fee"),IFERROR(LOOKUP(2,1/($B$9:$B$408=$B409),$T$9:$T408),0)&gt;0))),IFERROR(LOOKUP(2,1/($B$9:$B$408=$B409),$T$9:$T408),0)+1,IFERROR(LOOKUP(2,1/($B$9:$B$408=$B409),$T$9:$T408),0)))</f>
        <v/>
      </c>
      <c r="U409" s="47" t="str">
        <f t="shared" si="104"/>
        <v/>
      </c>
      <c r="V409" s="47" t="str">
        <f>IF($A409="","",IF(OR($B409="",$C409="",$D409="",$E409="",$F409=""),"Missing required field",IF(COUNTIFS($A$9:$A409,$A409,$B$9:$B409,$B409)&gt;1,"Duplicate event ID",IF(AND($E409&lt;&gt;IFERROR(LOOKUP(2,1/($B$9:$B$408=$B409),$E$9:$E408),0),IFERROR(LOOKUP(2,1/($B$9:$B$408=$B409),$E$9:$E408),0)&gt;$E409),"Date out of order",IF(AND(OR($F409="buy_to_close",$F409="expire",$F409="roll",$F409="assignment",$F409="called_away"),$AF409=0),"Unknown lot",IF(OR(AND($F409="assignment",$AF409&gt;0,IF($AF409&gt;0,INDEX($AG$9:$AG$408,$AF409),"")&lt;&gt;"put"),AND($F409="called_away",$AF409&gt;0,IF($AF409&gt;0,INDEX($AG$9:$AG$408,$AF409),"")&lt;&gt;"call")),"Wrong option leg",IF(OR(AND(OR($F409="sell_put",$F409="sell_call"),OR($H409&lt;=0,$I409&lt;=0,$J409&lt;0)),AND(OR($F409="buy_to_close",$F409="expire",$F409="assignment",$F409="called_away"),OR($H409&lt;=0,$J409&lt;0)),AND($F409="roll",OR($H409&lt;=0,$I409&lt;=0,$J409&lt;0,$K409&lt;0)),AND(OR($F409="buy_shares",$F409="sell_shares"),OR($L409&lt;=0,$M409&lt;0)),AND(OR($F409="dividend",$F409="fee"),$N409&lt;0)),"Invalid value",IF(AND(OR($F409="sell_shares",$F409="called_away"),$AL409&lt;IF($F409="called_away",$AE409*$D409,$L409)),"Insufficient shares (capped)",IF(AND(OR($F409="buy_to_close",$F409="expire",$F409="roll",$F409="assignment",$F409="called_away"),$AF409&gt;0,$H409&gt;IF($AF409&gt;0,MAX(0,INDEX($AI$9:$AI$408,$AF409)-SUMIFS($AE$9:$AE$408,$G$9:$G$408,$G409,$B$9:$B$408,$B409)),0)),"Close quantity capped","OK")))))))))</f>
        <v/>
      </c>
      <c r="W409" s="48" t="str">
        <f t="shared" si="105"/>
        <v/>
      </c>
      <c r="X409" s="49" t="str">
        <f t="shared" si="106"/>
        <v/>
      </c>
      <c r="Y409" s="50" t="str">
        <f t="shared" si="107"/>
        <v/>
      </c>
      <c r="Z409" s="50" t="str">
        <f t="shared" si="108"/>
        <v/>
      </c>
      <c r="AA409" s="50" t="str">
        <f t="shared" si="109"/>
        <v/>
      </c>
      <c r="AB409" s="50" t="str">
        <f t="shared" si="110"/>
        <v/>
      </c>
      <c r="AC409" s="50" t="str">
        <f>IF($A409="","",IF($F409="assignment",IF($AF409&gt;0,INDEX($AH$9:$AH$408,$AF409),0)*$AE409*$D409,IF($F409="buy_shares",$M409*$AL409,0)))</f>
        <v/>
      </c>
      <c r="AD409" s="50" t="str">
        <f>IF($A409="","",IF($F409="called_away",IF($AF409&gt;0,INDEX($AH$9:$AH$408,$AF409),0)*$AL409,IF($F409="sell_shares",$M409*$AL409,0)))</f>
        <v/>
      </c>
      <c r="AE409" s="51" t="str">
        <f>IF($A409="","",IF(OR($F409="sell_put",$F409="sell_call"),IF(AND($H409&gt;0,$I409&gt;0,$J409&gt;=0),$H409,0),IF(OR($F409="buy_to_close",$F409="expire",$F409="roll",$F409="assignment",$F409="called_away"),IF(AND($AF409&gt;0,$H409&gt;0,IF($F409="assignment",IF($AF409&gt;0,INDEX($AG$9:$AG$408,$AF409),"")="put",TRUE),IF($F409="called_away",IF($AF409&gt;0,INDEX($AG$9:$AG$408,$AF409),"")="call",TRUE)),MIN($H409,IF($AF409&gt;0,MAX(0,INDEX($AI$9:$AI$408,$AF409)-SUMIFS($AE$9:$AE$408,$G$9:$G$408,$G409,$B$9:$B$408,$B409)),0)),0),0)))</f>
        <v/>
      </c>
      <c r="AF409" t="str">
        <f>IF($A409="","",IFERROR(MATCH(LEN($B409)&amp;":"&amp;$B409&amp;$G409,$AY$9:$AY$408,0),0))</f>
        <v/>
      </c>
      <c r="AG409" t="str">
        <f>IF($A409="","",IF($F409="sell_put","put",IF($F409="sell_call","call",IF($F409="roll",IF($AF409&gt;0,IF($AF409&gt;0,INDEX($AG$9:$AG$408,$AF409),""),""),IF($AF409&gt;0,IF($AF409&gt;0,INDEX($AG$9:$AG$408,$AF409),""),"")))))</f>
        <v/>
      </c>
      <c r="AH409" t="str">
        <f>IF($A409="","",IF(OR($F409="sell_put",$F409="sell_call",$F409="roll"),$I409,IF($AF409&gt;0,IF($AF409&gt;0,INDEX($AH$9:$AH$408,$AF409),0),0)))</f>
        <v/>
      </c>
      <c r="AI409" s="51" t="str">
        <f t="shared" si="111"/>
        <v/>
      </c>
      <c r="AJ409" s="51" t="str">
        <f>IF($A409="","",IFERROR(LOOKUP(2,1/($B$9:$B$408=$B409),$AM$9:$AM408),0))</f>
        <v/>
      </c>
      <c r="AK409" t="str">
        <f>IF($A409="","",IFERROR(LOOKUP(2,1/($B$9:$B$408=$B409),$AN$9:$AN408),0))</f>
        <v/>
      </c>
      <c r="AL409" s="51" t="str">
        <f t="shared" si="112"/>
        <v/>
      </c>
      <c r="AM409" s="51" t="str">
        <f t="shared" si="113"/>
        <v/>
      </c>
      <c r="AN409" t="str">
        <f t="shared" si="114"/>
        <v/>
      </c>
      <c r="AO409" s="50" t="str">
        <f>IF($A409="","",IFERROR(LOOKUP(2,1/($B$9:$B$408=$B409),$AO$9:$AO408),0)+IF($F409="sell_put",$I409*$AE409*$D409,IF($F409="roll",IF($AG409="put",($I409-IF($AF409&gt;0,INDEX($AH$9:$AH$408,$AF409),0))*$AE409*$D409,0),IF(AND(OR($F409="buy_to_close",$F409="expire",$F409="roll",$F409="assignment",$F409="called_away"),$F409&lt;&gt;"roll",$AG409="put"),-IF($AF409&gt;0,INDEX($AH$9:$AH$408,$AF409),0)*$AE409*$D409,0))))</f>
        <v/>
      </c>
      <c r="AP409" s="51" t="str">
        <f>IF($A409="","",IFERROR(LOOKUP(2,1/($B$9:$B$408=$B409),$AP$9:$AP408),0)+IF($F409="sell_put",$AE409*$D409,IF(AND(OR($F409="buy_to_close",$F409="expire",$F409="roll",$F409="assignment",$F409="called_away"),$F409&lt;&gt;"roll",$AG409="put"),-$AE409*$D409,0)))</f>
        <v/>
      </c>
      <c r="AQ409" s="51" t="str">
        <f>IF($A409="","",IFERROR(LOOKUP(2,1/($B$9:$B$408=$B409),$AQ$9:$AQ408),0)+IF(OR($F409="sell_put",$F409="sell_call"),$AE409,0)-IF(AND(OR($F409="buy_to_close",$F409="expire",$F409="roll",$F409="assignment",$F409="called_away"),$F409&lt;&gt;"roll"),$AE409,0))</f>
        <v/>
      </c>
      <c r="AR409" t="str">
        <f t="shared" si="115"/>
        <v/>
      </c>
      <c r="AS409" s="50" t="str">
        <f t="shared" si="116"/>
        <v/>
      </c>
      <c r="AT409" s="50" t="str">
        <f>IF($A409="","",MAX(IF($T409=IFERROR(LOOKUP(2,1/($B$9:$B$408=$B409),$T$9:$T408),0),IFERROR(LOOKUP(2,1/($B$9:$B$408=$B409),$AT$9:$AT408),0),0),$AS409))</f>
        <v/>
      </c>
      <c r="AU409" t="str">
        <f t="shared" si="117"/>
        <v/>
      </c>
      <c r="AV409" s="51">
        <f>IF($AU409="",0,IF(AND(IFERROR(LOOKUP(2,1/($B$9:$B$408=$B409),$AR$9:$AR408),1),NOT(AND(OR($F409="dividend",$F409="fee"),IFERROR(LOOKUP(2,1/($B$9:$B$408=$B409),$T$9:$T408),0)&gt;0))),ROW(),0))</f>
        <v>0</v>
      </c>
      <c r="AW409">
        <f>IF($A409="",0,IF($AV409&gt;0,MAX($AW$9:$AW$408)+1,MAX($AW$9:$AW$408)))</f>
        <v>0</v>
      </c>
      <c r="AX409">
        <f>IF($AU409="",0,IF(AND($AR409,OR(NOT(IFERROR(LOOKUP(2,1/($B$9:$B$408=$B409),$AR$9:$AR408),1)),IFERROR(LOOKUP(2,1/($B$9:$B$408=$B409),$T$9:$T408),0)=0)),ROW(),0))</f>
        <v>0</v>
      </c>
      <c r="AY409" t="str">
        <f t="shared" si="118"/>
        <v/>
      </c>
    </row>
    <row r="410" spans="1:51" ht="15" x14ac:dyDescent="0.25">
      <c r="A410" s="52" t="str">
        <f>IF(Trades!$A410="","",Trades!O410)</f>
        <v/>
      </c>
      <c r="B410" s="52" t="str">
        <f>IF(Trades!$A410="","",Trades!B410)</f>
        <v/>
      </c>
      <c r="C410" s="52" t="str">
        <f>IF(Trades!$A410="","",Trades!C410)</f>
        <v/>
      </c>
      <c r="D410" s="53" t="str">
        <f>IF(Trades!$A410="","",IF(Trades!$L410&gt;0,Trades!$L410,Trades!$C$6))</f>
        <v/>
      </c>
      <c r="E410" s="54" t="str">
        <f>IF(Trades!$A410="","",Trades!A410)</f>
        <v/>
      </c>
      <c r="F410" s="52" t="str">
        <f>IF(Trades!$A410="","",IFERROR(INDEX(Trades!$V$2:$V$14,MATCH(Trades!$E410,Trades!$U$2:$U$14,0)),""))</f>
        <v/>
      </c>
      <c r="G410" s="52" t="str">
        <f>IF(Trades!$A410="","",Trades!N410)</f>
        <v/>
      </c>
      <c r="H410" s="53" t="str">
        <f>IF(Trades!$A410="","",Trades!F410)</f>
        <v/>
      </c>
      <c r="I410" s="55" t="str">
        <f>IF(Trades!$A410="","",Trades!G410)</f>
        <v/>
      </c>
      <c r="J410" s="55" t="str">
        <f>IF(Trades!$A410="","",Trades!I410)</f>
        <v/>
      </c>
      <c r="K410" s="55" t="str">
        <f>IF(Trades!$A410="","",Trades!Q410)</f>
        <v/>
      </c>
      <c r="L410" s="53" t="str">
        <f>IF(Trades!$A410="","",Trades!F410)</f>
        <v/>
      </c>
      <c r="M410" s="55" t="str">
        <f>IF(Trades!$A410="","",Trades!M410)</f>
        <v/>
      </c>
      <c r="N410" s="55" t="str">
        <f>IF(Trades!$A410="","",Trades!R410)</f>
        <v/>
      </c>
      <c r="O410" s="55" t="str">
        <f>IF(Trades!$A410="","",Trades!J410)</f>
        <v/>
      </c>
      <c r="P410" s="54" t="str">
        <f>IF(Trades!$A410="","",Trades!H410)</f>
        <v/>
      </c>
      <c r="Q410" s="52" t="str">
        <f>IF(Trades!$A410="","",Trades!P410)</f>
        <v/>
      </c>
      <c r="R410" s="56" t="str">
        <f t="shared" si="102"/>
        <v/>
      </c>
      <c r="S410" s="56" t="str">
        <f t="shared" si="103"/>
        <v/>
      </c>
      <c r="T410" s="57" t="str">
        <f>IF(OR($A410="",$B410=""),"",IF(AND(IFERROR(LOOKUP(2,1/($B$9:$B$409=$B410),$AR$9:$AR409),1),NOT(AND(OR($F410="dividend",$F410="fee"),IFERROR(LOOKUP(2,1/($B$9:$B$409=$B410),$T$9:$T409),0)&gt;0))),IFERROR(LOOKUP(2,1/($B$9:$B$409=$B410),$T$9:$T409),0)+1,IFERROR(LOOKUP(2,1/($B$9:$B$409=$B410),$T$9:$T409),0)))</f>
        <v/>
      </c>
      <c r="U410" s="58" t="str">
        <f t="shared" si="104"/>
        <v/>
      </c>
      <c r="V410" s="58" t="str">
        <f>IF($A410="","",IF(OR($B410="",$C410="",$D410="",$E410="",$F410=""),"Missing required field",IF(COUNTIFS($A$9:$A410,$A410,$B$9:$B410,$B410)&gt;1,"Duplicate event ID",IF(AND($E410&lt;&gt;IFERROR(LOOKUP(2,1/($B$9:$B$409=$B410),$E$9:$E409),0),IFERROR(LOOKUP(2,1/($B$9:$B$409=$B410),$E$9:$E409),0)&gt;$E410),"Date out of order",IF(AND(OR($F410="buy_to_close",$F410="expire",$F410="roll",$F410="assignment",$F410="called_away"),$AF410=0),"Unknown lot",IF(OR(AND($F410="assignment",$AF410&gt;0,IF($AF410&gt;0,INDEX($AG$9:$AG$409,$AF410),"")&lt;&gt;"put"),AND($F410="called_away",$AF410&gt;0,IF($AF410&gt;0,INDEX($AG$9:$AG$409,$AF410),"")&lt;&gt;"call")),"Wrong option leg",IF(OR(AND(OR($F410="sell_put",$F410="sell_call"),OR($H410&lt;=0,$I410&lt;=0,$J410&lt;0)),AND(OR($F410="buy_to_close",$F410="expire",$F410="assignment",$F410="called_away"),OR($H410&lt;=0,$J410&lt;0)),AND($F410="roll",OR($H410&lt;=0,$I410&lt;=0,$J410&lt;0,$K410&lt;0)),AND(OR($F410="buy_shares",$F410="sell_shares"),OR($L410&lt;=0,$M410&lt;0)),AND(OR($F410="dividend",$F410="fee"),$N410&lt;0)),"Invalid value",IF(AND(OR($F410="sell_shares",$F410="called_away"),$AL410&lt;IF($F410="called_away",$AE410*$D410,$L410)),"Insufficient shares (capped)",IF(AND(OR($F410="buy_to_close",$F410="expire",$F410="roll",$F410="assignment",$F410="called_away"),$AF410&gt;0,$H410&gt;IF($AF410&gt;0,MAX(0,INDEX($AI$9:$AI$409,$AF410)-SUMIFS($AE$9:$AE$409,$G$9:$G$409,$G410,$B$9:$B$409,$B410)),0)),"Close quantity capped","OK")))))))))</f>
        <v/>
      </c>
      <c r="W410" s="59" t="str">
        <f t="shared" si="105"/>
        <v/>
      </c>
      <c r="X410" s="60" t="str">
        <f t="shared" si="106"/>
        <v/>
      </c>
      <c r="Y410" s="50" t="str">
        <f t="shared" si="107"/>
        <v/>
      </c>
      <c r="Z410" s="50" t="str">
        <f t="shared" si="108"/>
        <v/>
      </c>
      <c r="AA410" s="50" t="str">
        <f t="shared" si="109"/>
        <v/>
      </c>
      <c r="AB410" s="50" t="str">
        <f t="shared" si="110"/>
        <v/>
      </c>
      <c r="AC410" s="50" t="str">
        <f>IF($A410="","",IF($F410="assignment",IF($AF410&gt;0,INDEX($AH$9:$AH$409,$AF410),0)*$AE410*$D410,IF($F410="buy_shares",$M410*$AL410,0)))</f>
        <v/>
      </c>
      <c r="AD410" s="50" t="str">
        <f>IF($A410="","",IF($F410="called_away",IF($AF410&gt;0,INDEX($AH$9:$AH$409,$AF410),0)*$AL410,IF($F410="sell_shares",$M410*$AL410,0)))</f>
        <v/>
      </c>
      <c r="AE410" s="51" t="str">
        <f>IF($A410="","",IF(OR($F410="sell_put",$F410="sell_call"),IF(AND($H410&gt;0,$I410&gt;0,$J410&gt;=0),$H410,0),IF(OR($F410="buy_to_close",$F410="expire",$F410="roll",$F410="assignment",$F410="called_away"),IF(AND($AF410&gt;0,$H410&gt;0,IF($F410="assignment",IF($AF410&gt;0,INDEX($AG$9:$AG$409,$AF410),"")="put",TRUE),IF($F410="called_away",IF($AF410&gt;0,INDEX($AG$9:$AG$409,$AF410),"")="call",TRUE)),MIN($H410,IF($AF410&gt;0,MAX(0,INDEX($AI$9:$AI$409,$AF410)-SUMIFS($AE$9:$AE$409,$G$9:$G$409,$G410,$B$9:$B$409,$B410)),0)),0),0)))</f>
        <v/>
      </c>
      <c r="AF410" t="str">
        <f>IF($A410="","",IFERROR(MATCH(LEN($B410)&amp;":"&amp;$B410&amp;$G410,$AY$9:$AY$409,0),0))</f>
        <v/>
      </c>
      <c r="AG410" t="str">
        <f>IF($A410="","",IF($F410="sell_put","put",IF($F410="sell_call","call",IF($F410="roll",IF($AF410&gt;0,IF($AF410&gt;0,INDEX($AG$9:$AG$409,$AF410),""),""),IF($AF410&gt;0,IF($AF410&gt;0,INDEX($AG$9:$AG$409,$AF410),""),"")))))</f>
        <v/>
      </c>
      <c r="AH410" t="str">
        <f>IF($A410="","",IF(OR($F410="sell_put",$F410="sell_call",$F410="roll"),$I410,IF($AF410&gt;0,IF($AF410&gt;0,INDEX($AH$9:$AH$409,$AF410),0),0)))</f>
        <v/>
      </c>
      <c r="AI410" s="51" t="str">
        <f t="shared" si="111"/>
        <v/>
      </c>
      <c r="AJ410" s="51" t="str">
        <f>IF($A410="","",IFERROR(LOOKUP(2,1/($B$9:$B$409=$B410),$AM$9:$AM409),0))</f>
        <v/>
      </c>
      <c r="AK410" t="str">
        <f>IF($A410="","",IFERROR(LOOKUP(2,1/($B$9:$B$409=$B410),$AN$9:$AN409),0))</f>
        <v/>
      </c>
      <c r="AL410" s="51" t="str">
        <f t="shared" si="112"/>
        <v/>
      </c>
      <c r="AM410" s="51" t="str">
        <f t="shared" si="113"/>
        <v/>
      </c>
      <c r="AN410" t="str">
        <f t="shared" si="114"/>
        <v/>
      </c>
      <c r="AO410" s="50" t="str">
        <f>IF($A410="","",IFERROR(LOOKUP(2,1/($B$9:$B$409=$B410),$AO$9:$AO409),0)+IF($F410="sell_put",$I410*$AE410*$D410,IF($F410="roll",IF($AG410="put",($I410-IF($AF410&gt;0,INDEX($AH$9:$AH$409,$AF410),0))*$AE410*$D410,0),IF(AND(OR($F410="buy_to_close",$F410="expire",$F410="roll",$F410="assignment",$F410="called_away"),$F410&lt;&gt;"roll",$AG410="put"),-IF($AF410&gt;0,INDEX($AH$9:$AH$409,$AF410),0)*$AE410*$D410,0))))</f>
        <v/>
      </c>
      <c r="AP410" s="51" t="str">
        <f>IF($A410="","",IFERROR(LOOKUP(2,1/($B$9:$B$409=$B410),$AP$9:$AP409),0)+IF($F410="sell_put",$AE410*$D410,IF(AND(OR($F410="buy_to_close",$F410="expire",$F410="roll",$F410="assignment",$F410="called_away"),$F410&lt;&gt;"roll",$AG410="put"),-$AE410*$D410,0)))</f>
        <v/>
      </c>
      <c r="AQ410" s="51" t="str">
        <f>IF($A410="","",IFERROR(LOOKUP(2,1/($B$9:$B$409=$B410),$AQ$9:$AQ409),0)+IF(OR($F410="sell_put",$F410="sell_call"),$AE410,0)-IF(AND(OR($F410="buy_to_close",$F410="expire",$F410="roll",$F410="assignment",$F410="called_away"),$F410&lt;&gt;"roll"),$AE410,0))</f>
        <v/>
      </c>
      <c r="AR410" t="str">
        <f t="shared" si="115"/>
        <v/>
      </c>
      <c r="AS410" s="50" t="str">
        <f t="shared" si="116"/>
        <v/>
      </c>
      <c r="AT410" s="50" t="str">
        <f>IF($A410="","",MAX(IF($T410=IFERROR(LOOKUP(2,1/($B$9:$B$409=$B410),$T$9:$T409),0),IFERROR(LOOKUP(2,1/($B$9:$B$409=$B410),$AT$9:$AT409),0),0),$AS410))</f>
        <v/>
      </c>
      <c r="AU410" t="str">
        <f t="shared" si="117"/>
        <v/>
      </c>
      <c r="AV410" s="51">
        <f>IF($AU410="",0,IF(AND(IFERROR(LOOKUP(2,1/($B$9:$B$409=$B410),$AR$9:$AR409),1),NOT(AND(OR($F410="dividend",$F410="fee"),IFERROR(LOOKUP(2,1/($B$9:$B$409=$B410),$T$9:$T409),0)&gt;0))),ROW(),0))</f>
        <v>0</v>
      </c>
      <c r="AW410">
        <f>IF($A410="",0,IF($AV410&gt;0,MAX($AW$9:$AW$409)+1,MAX($AW$9:$AW$409)))</f>
        <v>0</v>
      </c>
      <c r="AX410">
        <f>IF($AU410="",0,IF(AND($AR410,OR(NOT(IFERROR(LOOKUP(2,1/($B$9:$B$409=$B410),$AR$9:$AR409),1)),IFERROR(LOOKUP(2,1/($B$9:$B$409=$B410),$T$9:$T409),0)=0)),ROW(),0))</f>
        <v>0</v>
      </c>
      <c r="AY410" t="str">
        <f t="shared" si="118"/>
        <v/>
      </c>
    </row>
    <row r="411" spans="1:51" ht="15" x14ac:dyDescent="0.25">
      <c r="A411" s="41" t="str">
        <f>IF(Trades!$A411="","",Trades!O411)</f>
        <v/>
      </c>
      <c r="B411" s="41" t="str">
        <f>IF(Trades!$A411="","",Trades!B411)</f>
        <v/>
      </c>
      <c r="C411" s="41" t="str">
        <f>IF(Trades!$A411="","",Trades!C411)</f>
        <v/>
      </c>
      <c r="D411" s="42" t="str">
        <f>IF(Trades!$A411="","",IF(Trades!$L411&gt;0,Trades!$L411,Trades!$C$6))</f>
        <v/>
      </c>
      <c r="E411" s="43" t="str">
        <f>IF(Trades!$A411="","",Trades!A411)</f>
        <v/>
      </c>
      <c r="F411" s="41" t="str">
        <f>IF(Trades!$A411="","",IFERROR(INDEX(Trades!$V$2:$V$14,MATCH(Trades!$E411,Trades!$U$2:$U$14,0)),""))</f>
        <v/>
      </c>
      <c r="G411" s="41" t="str">
        <f>IF(Trades!$A411="","",Trades!N411)</f>
        <v/>
      </c>
      <c r="H411" s="42" t="str">
        <f>IF(Trades!$A411="","",Trades!F411)</f>
        <v/>
      </c>
      <c r="I411" s="44" t="str">
        <f>IF(Trades!$A411="","",Trades!G411)</f>
        <v/>
      </c>
      <c r="J411" s="44" t="str">
        <f>IF(Trades!$A411="","",Trades!I411)</f>
        <v/>
      </c>
      <c r="K411" s="44" t="str">
        <f>IF(Trades!$A411="","",Trades!Q411)</f>
        <v/>
      </c>
      <c r="L411" s="42" t="str">
        <f>IF(Trades!$A411="","",Trades!F411)</f>
        <v/>
      </c>
      <c r="M411" s="44" t="str">
        <f>IF(Trades!$A411="","",Trades!M411)</f>
        <v/>
      </c>
      <c r="N411" s="44" t="str">
        <f>IF(Trades!$A411="","",Trades!R411)</f>
        <v/>
      </c>
      <c r="O411" s="44" t="str">
        <f>IF(Trades!$A411="","",Trades!J411)</f>
        <v/>
      </c>
      <c r="P411" s="43" t="str">
        <f>IF(Trades!$A411="","",Trades!H411)</f>
        <v/>
      </c>
      <c r="Q411" s="41" t="str">
        <f>IF(Trades!$A411="","",Trades!P411)</f>
        <v/>
      </c>
      <c r="R411" s="45" t="str">
        <f t="shared" si="102"/>
        <v/>
      </c>
      <c r="S411" s="45" t="str">
        <f t="shared" si="103"/>
        <v/>
      </c>
      <c r="T411" s="46" t="str">
        <f>IF(OR($A411="",$B411=""),"",IF(AND(IFERROR(LOOKUP(2,1/($B$9:$B$410=$B411),$AR$9:$AR410),1),NOT(AND(OR($F411="dividend",$F411="fee"),IFERROR(LOOKUP(2,1/($B$9:$B$410=$B411),$T$9:$T410),0)&gt;0))),IFERROR(LOOKUP(2,1/($B$9:$B$410=$B411),$T$9:$T410),0)+1,IFERROR(LOOKUP(2,1/($B$9:$B$410=$B411),$T$9:$T410),0)))</f>
        <v/>
      </c>
      <c r="U411" s="47" t="str">
        <f t="shared" si="104"/>
        <v/>
      </c>
      <c r="V411" s="47" t="str">
        <f>IF($A411="","",IF(OR($B411="",$C411="",$D411="",$E411="",$F411=""),"Missing required field",IF(COUNTIFS($A$9:$A411,$A411,$B$9:$B411,$B411)&gt;1,"Duplicate event ID",IF(AND($E411&lt;&gt;IFERROR(LOOKUP(2,1/($B$9:$B$410=$B411),$E$9:$E410),0),IFERROR(LOOKUP(2,1/($B$9:$B$410=$B411),$E$9:$E410),0)&gt;$E411),"Date out of order",IF(AND(OR($F411="buy_to_close",$F411="expire",$F411="roll",$F411="assignment",$F411="called_away"),$AF411=0),"Unknown lot",IF(OR(AND($F411="assignment",$AF411&gt;0,IF($AF411&gt;0,INDEX($AG$9:$AG$410,$AF411),"")&lt;&gt;"put"),AND($F411="called_away",$AF411&gt;0,IF($AF411&gt;0,INDEX($AG$9:$AG$410,$AF411),"")&lt;&gt;"call")),"Wrong option leg",IF(OR(AND(OR($F411="sell_put",$F411="sell_call"),OR($H411&lt;=0,$I411&lt;=0,$J411&lt;0)),AND(OR($F411="buy_to_close",$F411="expire",$F411="assignment",$F411="called_away"),OR($H411&lt;=0,$J411&lt;0)),AND($F411="roll",OR($H411&lt;=0,$I411&lt;=0,$J411&lt;0,$K411&lt;0)),AND(OR($F411="buy_shares",$F411="sell_shares"),OR($L411&lt;=0,$M411&lt;0)),AND(OR($F411="dividend",$F411="fee"),$N411&lt;0)),"Invalid value",IF(AND(OR($F411="sell_shares",$F411="called_away"),$AL411&lt;IF($F411="called_away",$AE411*$D411,$L411)),"Insufficient shares (capped)",IF(AND(OR($F411="buy_to_close",$F411="expire",$F411="roll",$F411="assignment",$F411="called_away"),$AF411&gt;0,$H411&gt;IF($AF411&gt;0,MAX(0,INDEX($AI$9:$AI$410,$AF411)-SUMIFS($AE$9:$AE$410,$G$9:$G$410,$G411,$B$9:$B$410,$B411)),0)),"Close quantity capped","OK")))))))))</f>
        <v/>
      </c>
      <c r="W411" s="48" t="str">
        <f t="shared" si="105"/>
        <v/>
      </c>
      <c r="X411" s="49" t="str">
        <f t="shared" si="106"/>
        <v/>
      </c>
      <c r="Y411" s="50" t="str">
        <f t="shared" si="107"/>
        <v/>
      </c>
      <c r="Z411" s="50" t="str">
        <f t="shared" si="108"/>
        <v/>
      </c>
      <c r="AA411" s="50" t="str">
        <f t="shared" si="109"/>
        <v/>
      </c>
      <c r="AB411" s="50" t="str">
        <f t="shared" si="110"/>
        <v/>
      </c>
      <c r="AC411" s="50" t="str">
        <f>IF($A411="","",IF($F411="assignment",IF($AF411&gt;0,INDEX($AH$9:$AH$410,$AF411),0)*$AE411*$D411,IF($F411="buy_shares",$M411*$AL411,0)))</f>
        <v/>
      </c>
      <c r="AD411" s="50" t="str">
        <f>IF($A411="","",IF($F411="called_away",IF($AF411&gt;0,INDEX($AH$9:$AH$410,$AF411),0)*$AL411,IF($F411="sell_shares",$M411*$AL411,0)))</f>
        <v/>
      </c>
      <c r="AE411" s="51" t="str">
        <f>IF($A411="","",IF(OR($F411="sell_put",$F411="sell_call"),IF(AND($H411&gt;0,$I411&gt;0,$J411&gt;=0),$H411,0),IF(OR($F411="buy_to_close",$F411="expire",$F411="roll",$F411="assignment",$F411="called_away"),IF(AND($AF411&gt;0,$H411&gt;0,IF($F411="assignment",IF($AF411&gt;0,INDEX($AG$9:$AG$410,$AF411),"")="put",TRUE),IF($F411="called_away",IF($AF411&gt;0,INDEX($AG$9:$AG$410,$AF411),"")="call",TRUE)),MIN($H411,IF($AF411&gt;0,MAX(0,INDEX($AI$9:$AI$410,$AF411)-SUMIFS($AE$9:$AE$410,$G$9:$G$410,$G411,$B$9:$B$410,$B411)),0)),0),0)))</f>
        <v/>
      </c>
      <c r="AF411" t="str">
        <f>IF($A411="","",IFERROR(MATCH(LEN($B411)&amp;":"&amp;$B411&amp;$G411,$AY$9:$AY$410,0),0))</f>
        <v/>
      </c>
      <c r="AG411" t="str">
        <f>IF($A411="","",IF($F411="sell_put","put",IF($F411="sell_call","call",IF($F411="roll",IF($AF411&gt;0,IF($AF411&gt;0,INDEX($AG$9:$AG$410,$AF411),""),""),IF($AF411&gt;0,IF($AF411&gt;0,INDEX($AG$9:$AG$410,$AF411),""),"")))))</f>
        <v/>
      </c>
      <c r="AH411" t="str">
        <f>IF($A411="","",IF(OR($F411="sell_put",$F411="sell_call",$F411="roll"),$I411,IF($AF411&gt;0,IF($AF411&gt;0,INDEX($AH$9:$AH$410,$AF411),0),0)))</f>
        <v/>
      </c>
      <c r="AI411" s="51" t="str">
        <f t="shared" si="111"/>
        <v/>
      </c>
      <c r="AJ411" s="51" t="str">
        <f>IF($A411="","",IFERROR(LOOKUP(2,1/($B$9:$B$410=$B411),$AM$9:$AM410),0))</f>
        <v/>
      </c>
      <c r="AK411" t="str">
        <f>IF($A411="","",IFERROR(LOOKUP(2,1/($B$9:$B$410=$B411),$AN$9:$AN410),0))</f>
        <v/>
      </c>
      <c r="AL411" s="51" t="str">
        <f t="shared" si="112"/>
        <v/>
      </c>
      <c r="AM411" s="51" t="str">
        <f t="shared" si="113"/>
        <v/>
      </c>
      <c r="AN411" t="str">
        <f t="shared" si="114"/>
        <v/>
      </c>
      <c r="AO411" s="50" t="str">
        <f>IF($A411="","",IFERROR(LOOKUP(2,1/($B$9:$B$410=$B411),$AO$9:$AO410),0)+IF($F411="sell_put",$I411*$AE411*$D411,IF($F411="roll",IF($AG411="put",($I411-IF($AF411&gt;0,INDEX($AH$9:$AH$410,$AF411),0))*$AE411*$D411,0),IF(AND(OR($F411="buy_to_close",$F411="expire",$F411="roll",$F411="assignment",$F411="called_away"),$F411&lt;&gt;"roll",$AG411="put"),-IF($AF411&gt;0,INDEX($AH$9:$AH$410,$AF411),0)*$AE411*$D411,0))))</f>
        <v/>
      </c>
      <c r="AP411" s="51" t="str">
        <f>IF($A411="","",IFERROR(LOOKUP(2,1/($B$9:$B$410=$B411),$AP$9:$AP410),0)+IF($F411="sell_put",$AE411*$D411,IF(AND(OR($F411="buy_to_close",$F411="expire",$F411="roll",$F411="assignment",$F411="called_away"),$F411&lt;&gt;"roll",$AG411="put"),-$AE411*$D411,0)))</f>
        <v/>
      </c>
      <c r="AQ411" s="51" t="str">
        <f>IF($A411="","",IFERROR(LOOKUP(2,1/($B$9:$B$410=$B411),$AQ$9:$AQ410),0)+IF(OR($F411="sell_put",$F411="sell_call"),$AE411,0)-IF(AND(OR($F411="buy_to_close",$F411="expire",$F411="roll",$F411="assignment",$F411="called_away"),$F411&lt;&gt;"roll"),$AE411,0))</f>
        <v/>
      </c>
      <c r="AR411" t="str">
        <f t="shared" si="115"/>
        <v/>
      </c>
      <c r="AS411" s="50" t="str">
        <f t="shared" si="116"/>
        <v/>
      </c>
      <c r="AT411" s="50" t="str">
        <f>IF($A411="","",MAX(IF($T411=IFERROR(LOOKUP(2,1/($B$9:$B$410=$B411),$T$9:$T410),0),IFERROR(LOOKUP(2,1/($B$9:$B$410=$B411),$AT$9:$AT410),0),0),$AS411))</f>
        <v/>
      </c>
      <c r="AU411" t="str">
        <f t="shared" si="117"/>
        <v/>
      </c>
      <c r="AV411" s="51">
        <f>IF($AU411="",0,IF(AND(IFERROR(LOOKUP(2,1/($B$9:$B$410=$B411),$AR$9:$AR410),1),NOT(AND(OR($F411="dividend",$F411="fee"),IFERROR(LOOKUP(2,1/($B$9:$B$410=$B411),$T$9:$T410),0)&gt;0))),ROW(),0))</f>
        <v>0</v>
      </c>
      <c r="AW411">
        <f>IF($A411="",0,IF($AV411&gt;0,MAX($AW$9:$AW$410)+1,MAX($AW$9:$AW$410)))</f>
        <v>0</v>
      </c>
      <c r="AX411">
        <f>IF($AU411="",0,IF(AND($AR411,OR(NOT(IFERROR(LOOKUP(2,1/($B$9:$B$410=$B411),$AR$9:$AR410),1)),IFERROR(LOOKUP(2,1/($B$9:$B$410=$B411),$T$9:$T410),0)=0)),ROW(),0))</f>
        <v>0</v>
      </c>
      <c r="AY411" t="str">
        <f t="shared" si="118"/>
        <v/>
      </c>
    </row>
    <row r="412" spans="1:51" ht="15" x14ac:dyDescent="0.25">
      <c r="A412" s="52" t="str">
        <f>IF(Trades!$A412="","",Trades!O412)</f>
        <v/>
      </c>
      <c r="B412" s="52" t="str">
        <f>IF(Trades!$A412="","",Trades!B412)</f>
        <v/>
      </c>
      <c r="C412" s="52" t="str">
        <f>IF(Trades!$A412="","",Trades!C412)</f>
        <v/>
      </c>
      <c r="D412" s="53" t="str">
        <f>IF(Trades!$A412="","",IF(Trades!$L412&gt;0,Trades!$L412,Trades!$C$6))</f>
        <v/>
      </c>
      <c r="E412" s="54" t="str">
        <f>IF(Trades!$A412="","",Trades!A412)</f>
        <v/>
      </c>
      <c r="F412" s="52" t="str">
        <f>IF(Trades!$A412="","",IFERROR(INDEX(Trades!$V$2:$V$14,MATCH(Trades!$E412,Trades!$U$2:$U$14,0)),""))</f>
        <v/>
      </c>
      <c r="G412" s="52" t="str">
        <f>IF(Trades!$A412="","",Trades!N412)</f>
        <v/>
      </c>
      <c r="H412" s="53" t="str">
        <f>IF(Trades!$A412="","",Trades!F412)</f>
        <v/>
      </c>
      <c r="I412" s="55" t="str">
        <f>IF(Trades!$A412="","",Trades!G412)</f>
        <v/>
      </c>
      <c r="J412" s="55" t="str">
        <f>IF(Trades!$A412="","",Trades!I412)</f>
        <v/>
      </c>
      <c r="K412" s="55" t="str">
        <f>IF(Trades!$A412="","",Trades!Q412)</f>
        <v/>
      </c>
      <c r="L412" s="53" t="str">
        <f>IF(Trades!$A412="","",Trades!F412)</f>
        <v/>
      </c>
      <c r="M412" s="55" t="str">
        <f>IF(Trades!$A412="","",Trades!M412)</f>
        <v/>
      </c>
      <c r="N412" s="55" t="str">
        <f>IF(Trades!$A412="","",Trades!R412)</f>
        <v/>
      </c>
      <c r="O412" s="55" t="str">
        <f>IF(Trades!$A412="","",Trades!J412)</f>
        <v/>
      </c>
      <c r="P412" s="54" t="str">
        <f>IF(Trades!$A412="","",Trades!H412)</f>
        <v/>
      </c>
      <c r="Q412" s="52" t="str">
        <f>IF(Trades!$A412="","",Trades!P412)</f>
        <v/>
      </c>
      <c r="R412" s="56" t="str">
        <f t="shared" si="102"/>
        <v/>
      </c>
      <c r="S412" s="56" t="str">
        <f t="shared" si="103"/>
        <v/>
      </c>
      <c r="T412" s="57" t="str">
        <f>IF(OR($A412="",$B412=""),"",IF(AND(IFERROR(LOOKUP(2,1/($B$9:$B$411=$B412),$AR$9:$AR411),1),NOT(AND(OR($F412="dividend",$F412="fee"),IFERROR(LOOKUP(2,1/($B$9:$B$411=$B412),$T$9:$T411),0)&gt;0))),IFERROR(LOOKUP(2,1/($B$9:$B$411=$B412),$T$9:$T411),0)+1,IFERROR(LOOKUP(2,1/($B$9:$B$411=$B412),$T$9:$T411),0)))</f>
        <v/>
      </c>
      <c r="U412" s="58" t="str">
        <f t="shared" si="104"/>
        <v/>
      </c>
      <c r="V412" s="58" t="str">
        <f>IF($A412="","",IF(OR($B412="",$C412="",$D412="",$E412="",$F412=""),"Missing required field",IF(COUNTIFS($A$9:$A412,$A412,$B$9:$B412,$B412)&gt;1,"Duplicate event ID",IF(AND($E412&lt;&gt;IFERROR(LOOKUP(2,1/($B$9:$B$411=$B412),$E$9:$E411),0),IFERROR(LOOKUP(2,1/($B$9:$B$411=$B412),$E$9:$E411),0)&gt;$E412),"Date out of order",IF(AND(OR($F412="buy_to_close",$F412="expire",$F412="roll",$F412="assignment",$F412="called_away"),$AF412=0),"Unknown lot",IF(OR(AND($F412="assignment",$AF412&gt;0,IF($AF412&gt;0,INDEX($AG$9:$AG$411,$AF412),"")&lt;&gt;"put"),AND($F412="called_away",$AF412&gt;0,IF($AF412&gt;0,INDEX($AG$9:$AG$411,$AF412),"")&lt;&gt;"call")),"Wrong option leg",IF(OR(AND(OR($F412="sell_put",$F412="sell_call"),OR($H412&lt;=0,$I412&lt;=0,$J412&lt;0)),AND(OR($F412="buy_to_close",$F412="expire",$F412="assignment",$F412="called_away"),OR($H412&lt;=0,$J412&lt;0)),AND($F412="roll",OR($H412&lt;=0,$I412&lt;=0,$J412&lt;0,$K412&lt;0)),AND(OR($F412="buy_shares",$F412="sell_shares"),OR($L412&lt;=0,$M412&lt;0)),AND(OR($F412="dividend",$F412="fee"),$N412&lt;0)),"Invalid value",IF(AND(OR($F412="sell_shares",$F412="called_away"),$AL412&lt;IF($F412="called_away",$AE412*$D412,$L412)),"Insufficient shares (capped)",IF(AND(OR($F412="buy_to_close",$F412="expire",$F412="roll",$F412="assignment",$F412="called_away"),$AF412&gt;0,$H412&gt;IF($AF412&gt;0,MAX(0,INDEX($AI$9:$AI$411,$AF412)-SUMIFS($AE$9:$AE$411,$G$9:$G$411,$G412,$B$9:$B$411,$B412)),0)),"Close quantity capped","OK")))))))))</f>
        <v/>
      </c>
      <c r="W412" s="59" t="str">
        <f t="shared" si="105"/>
        <v/>
      </c>
      <c r="X412" s="60" t="str">
        <f t="shared" si="106"/>
        <v/>
      </c>
      <c r="Y412" s="50" t="str">
        <f t="shared" si="107"/>
        <v/>
      </c>
      <c r="Z412" s="50" t="str">
        <f t="shared" si="108"/>
        <v/>
      </c>
      <c r="AA412" s="50" t="str">
        <f t="shared" si="109"/>
        <v/>
      </c>
      <c r="AB412" s="50" t="str">
        <f t="shared" si="110"/>
        <v/>
      </c>
      <c r="AC412" s="50" t="str">
        <f>IF($A412="","",IF($F412="assignment",IF($AF412&gt;0,INDEX($AH$9:$AH$411,$AF412),0)*$AE412*$D412,IF($F412="buy_shares",$M412*$AL412,0)))</f>
        <v/>
      </c>
      <c r="AD412" s="50" t="str">
        <f>IF($A412="","",IF($F412="called_away",IF($AF412&gt;0,INDEX($AH$9:$AH$411,$AF412),0)*$AL412,IF($F412="sell_shares",$M412*$AL412,0)))</f>
        <v/>
      </c>
      <c r="AE412" s="51" t="str">
        <f>IF($A412="","",IF(OR($F412="sell_put",$F412="sell_call"),IF(AND($H412&gt;0,$I412&gt;0,$J412&gt;=0),$H412,0),IF(OR($F412="buy_to_close",$F412="expire",$F412="roll",$F412="assignment",$F412="called_away"),IF(AND($AF412&gt;0,$H412&gt;0,IF($F412="assignment",IF($AF412&gt;0,INDEX($AG$9:$AG$411,$AF412),"")="put",TRUE),IF($F412="called_away",IF($AF412&gt;0,INDEX($AG$9:$AG$411,$AF412),"")="call",TRUE)),MIN($H412,IF($AF412&gt;0,MAX(0,INDEX($AI$9:$AI$411,$AF412)-SUMIFS($AE$9:$AE$411,$G$9:$G$411,$G412,$B$9:$B$411,$B412)),0)),0),0)))</f>
        <v/>
      </c>
      <c r="AF412" t="str">
        <f>IF($A412="","",IFERROR(MATCH(LEN($B412)&amp;":"&amp;$B412&amp;$G412,$AY$9:$AY$411,0),0))</f>
        <v/>
      </c>
      <c r="AG412" t="str">
        <f>IF($A412="","",IF($F412="sell_put","put",IF($F412="sell_call","call",IF($F412="roll",IF($AF412&gt;0,IF($AF412&gt;0,INDEX($AG$9:$AG$411,$AF412),""),""),IF($AF412&gt;0,IF($AF412&gt;0,INDEX($AG$9:$AG$411,$AF412),""),"")))))</f>
        <v/>
      </c>
      <c r="AH412" t="str">
        <f>IF($A412="","",IF(OR($F412="sell_put",$F412="sell_call",$F412="roll"),$I412,IF($AF412&gt;0,IF($AF412&gt;0,INDEX($AH$9:$AH$411,$AF412),0),0)))</f>
        <v/>
      </c>
      <c r="AI412" s="51" t="str">
        <f t="shared" si="111"/>
        <v/>
      </c>
      <c r="AJ412" s="51" t="str">
        <f>IF($A412="","",IFERROR(LOOKUP(2,1/($B$9:$B$411=$B412),$AM$9:$AM411),0))</f>
        <v/>
      </c>
      <c r="AK412" t="str">
        <f>IF($A412="","",IFERROR(LOOKUP(2,1/($B$9:$B$411=$B412),$AN$9:$AN411),0))</f>
        <v/>
      </c>
      <c r="AL412" s="51" t="str">
        <f t="shared" si="112"/>
        <v/>
      </c>
      <c r="AM412" s="51" t="str">
        <f t="shared" si="113"/>
        <v/>
      </c>
      <c r="AN412" t="str">
        <f t="shared" si="114"/>
        <v/>
      </c>
      <c r="AO412" s="50" t="str">
        <f>IF($A412="","",IFERROR(LOOKUP(2,1/($B$9:$B$411=$B412),$AO$9:$AO411),0)+IF($F412="sell_put",$I412*$AE412*$D412,IF($F412="roll",IF($AG412="put",($I412-IF($AF412&gt;0,INDEX($AH$9:$AH$411,$AF412),0))*$AE412*$D412,0),IF(AND(OR($F412="buy_to_close",$F412="expire",$F412="roll",$F412="assignment",$F412="called_away"),$F412&lt;&gt;"roll",$AG412="put"),-IF($AF412&gt;0,INDEX($AH$9:$AH$411,$AF412),0)*$AE412*$D412,0))))</f>
        <v/>
      </c>
      <c r="AP412" s="51" t="str">
        <f>IF($A412="","",IFERROR(LOOKUP(2,1/($B$9:$B$411=$B412),$AP$9:$AP411),0)+IF($F412="sell_put",$AE412*$D412,IF(AND(OR($F412="buy_to_close",$F412="expire",$F412="roll",$F412="assignment",$F412="called_away"),$F412&lt;&gt;"roll",$AG412="put"),-$AE412*$D412,0)))</f>
        <v/>
      </c>
      <c r="AQ412" s="51" t="str">
        <f>IF($A412="","",IFERROR(LOOKUP(2,1/($B$9:$B$411=$B412),$AQ$9:$AQ411),0)+IF(OR($F412="sell_put",$F412="sell_call"),$AE412,0)-IF(AND(OR($F412="buy_to_close",$F412="expire",$F412="roll",$F412="assignment",$F412="called_away"),$F412&lt;&gt;"roll"),$AE412,0))</f>
        <v/>
      </c>
      <c r="AR412" t="str">
        <f t="shared" si="115"/>
        <v/>
      </c>
      <c r="AS412" s="50" t="str">
        <f t="shared" si="116"/>
        <v/>
      </c>
      <c r="AT412" s="50" t="str">
        <f>IF($A412="","",MAX(IF($T412=IFERROR(LOOKUP(2,1/($B$9:$B$411=$B412),$T$9:$T411),0),IFERROR(LOOKUP(2,1/($B$9:$B$411=$B412),$AT$9:$AT411),0),0),$AS412))</f>
        <v/>
      </c>
      <c r="AU412" t="str">
        <f t="shared" si="117"/>
        <v/>
      </c>
      <c r="AV412" s="51">
        <f>IF($AU412="",0,IF(AND(IFERROR(LOOKUP(2,1/($B$9:$B$411=$B412),$AR$9:$AR411),1),NOT(AND(OR($F412="dividend",$F412="fee"),IFERROR(LOOKUP(2,1/($B$9:$B$411=$B412),$T$9:$T411),0)&gt;0))),ROW(),0))</f>
        <v>0</v>
      </c>
      <c r="AW412">
        <f>IF($A412="",0,IF($AV412&gt;0,MAX($AW$9:$AW$411)+1,MAX($AW$9:$AW$411)))</f>
        <v>0</v>
      </c>
      <c r="AX412">
        <f>IF($AU412="",0,IF(AND($AR412,OR(NOT(IFERROR(LOOKUP(2,1/($B$9:$B$411=$B412),$AR$9:$AR411),1)),IFERROR(LOOKUP(2,1/($B$9:$B$411=$B412),$T$9:$T411),0)=0)),ROW(),0))</f>
        <v>0</v>
      </c>
      <c r="AY412" t="str">
        <f t="shared" si="118"/>
        <v/>
      </c>
    </row>
    <row r="413" spans="1:51" ht="15" x14ac:dyDescent="0.25">
      <c r="A413" s="41" t="str">
        <f>IF(Trades!$A413="","",Trades!O413)</f>
        <v/>
      </c>
      <c r="B413" s="41" t="str">
        <f>IF(Trades!$A413="","",Trades!B413)</f>
        <v/>
      </c>
      <c r="C413" s="41" t="str">
        <f>IF(Trades!$A413="","",Trades!C413)</f>
        <v/>
      </c>
      <c r="D413" s="42" t="str">
        <f>IF(Trades!$A413="","",IF(Trades!$L413&gt;0,Trades!$L413,Trades!$C$6))</f>
        <v/>
      </c>
      <c r="E413" s="43" t="str">
        <f>IF(Trades!$A413="","",Trades!A413)</f>
        <v/>
      </c>
      <c r="F413" s="41" t="str">
        <f>IF(Trades!$A413="","",IFERROR(INDEX(Trades!$V$2:$V$14,MATCH(Trades!$E413,Trades!$U$2:$U$14,0)),""))</f>
        <v/>
      </c>
      <c r="G413" s="41" t="str">
        <f>IF(Trades!$A413="","",Trades!N413)</f>
        <v/>
      </c>
      <c r="H413" s="42" t="str">
        <f>IF(Trades!$A413="","",Trades!F413)</f>
        <v/>
      </c>
      <c r="I413" s="44" t="str">
        <f>IF(Trades!$A413="","",Trades!G413)</f>
        <v/>
      </c>
      <c r="J413" s="44" t="str">
        <f>IF(Trades!$A413="","",Trades!I413)</f>
        <v/>
      </c>
      <c r="K413" s="44" t="str">
        <f>IF(Trades!$A413="","",Trades!Q413)</f>
        <v/>
      </c>
      <c r="L413" s="42" t="str">
        <f>IF(Trades!$A413="","",Trades!F413)</f>
        <v/>
      </c>
      <c r="M413" s="44" t="str">
        <f>IF(Trades!$A413="","",Trades!M413)</f>
        <v/>
      </c>
      <c r="N413" s="44" t="str">
        <f>IF(Trades!$A413="","",Trades!R413)</f>
        <v/>
      </c>
      <c r="O413" s="44" t="str">
        <f>IF(Trades!$A413="","",Trades!J413)</f>
        <v/>
      </c>
      <c r="P413" s="43" t="str">
        <f>IF(Trades!$A413="","",Trades!H413)</f>
        <v/>
      </c>
      <c r="Q413" s="41" t="str">
        <f>IF(Trades!$A413="","",Trades!P413)</f>
        <v/>
      </c>
      <c r="R413" s="45" t="str">
        <f t="shared" si="102"/>
        <v/>
      </c>
      <c r="S413" s="45" t="str">
        <f t="shared" si="103"/>
        <v/>
      </c>
      <c r="T413" s="46" t="str">
        <f>IF(OR($A413="",$B413=""),"",IF(AND(IFERROR(LOOKUP(2,1/($B$9:$B$412=$B413),$AR$9:$AR412),1),NOT(AND(OR($F413="dividend",$F413="fee"),IFERROR(LOOKUP(2,1/($B$9:$B$412=$B413),$T$9:$T412),0)&gt;0))),IFERROR(LOOKUP(2,1/($B$9:$B$412=$B413),$T$9:$T412),0)+1,IFERROR(LOOKUP(2,1/($B$9:$B$412=$B413),$T$9:$T412),0)))</f>
        <v/>
      </c>
      <c r="U413" s="47" t="str">
        <f t="shared" si="104"/>
        <v/>
      </c>
      <c r="V413" s="47" t="str">
        <f>IF($A413="","",IF(OR($B413="",$C413="",$D413="",$E413="",$F413=""),"Missing required field",IF(COUNTIFS($A$9:$A413,$A413,$B$9:$B413,$B413)&gt;1,"Duplicate event ID",IF(AND($E413&lt;&gt;IFERROR(LOOKUP(2,1/($B$9:$B$412=$B413),$E$9:$E412),0),IFERROR(LOOKUP(2,1/($B$9:$B$412=$B413),$E$9:$E412),0)&gt;$E413),"Date out of order",IF(AND(OR($F413="buy_to_close",$F413="expire",$F413="roll",$F413="assignment",$F413="called_away"),$AF413=0),"Unknown lot",IF(OR(AND($F413="assignment",$AF413&gt;0,IF($AF413&gt;0,INDEX($AG$9:$AG$412,$AF413),"")&lt;&gt;"put"),AND($F413="called_away",$AF413&gt;0,IF($AF413&gt;0,INDEX($AG$9:$AG$412,$AF413),"")&lt;&gt;"call")),"Wrong option leg",IF(OR(AND(OR($F413="sell_put",$F413="sell_call"),OR($H413&lt;=0,$I413&lt;=0,$J413&lt;0)),AND(OR($F413="buy_to_close",$F413="expire",$F413="assignment",$F413="called_away"),OR($H413&lt;=0,$J413&lt;0)),AND($F413="roll",OR($H413&lt;=0,$I413&lt;=0,$J413&lt;0,$K413&lt;0)),AND(OR($F413="buy_shares",$F413="sell_shares"),OR($L413&lt;=0,$M413&lt;0)),AND(OR($F413="dividend",$F413="fee"),$N413&lt;0)),"Invalid value",IF(AND(OR($F413="sell_shares",$F413="called_away"),$AL413&lt;IF($F413="called_away",$AE413*$D413,$L413)),"Insufficient shares (capped)",IF(AND(OR($F413="buy_to_close",$F413="expire",$F413="roll",$F413="assignment",$F413="called_away"),$AF413&gt;0,$H413&gt;IF($AF413&gt;0,MAX(0,INDEX($AI$9:$AI$412,$AF413)-SUMIFS($AE$9:$AE$412,$G$9:$G$412,$G413,$B$9:$B$412,$B413)),0)),"Close quantity capped","OK")))))))))</f>
        <v/>
      </c>
      <c r="W413" s="48" t="str">
        <f t="shared" si="105"/>
        <v/>
      </c>
      <c r="X413" s="49" t="str">
        <f t="shared" si="106"/>
        <v/>
      </c>
      <c r="Y413" s="50" t="str">
        <f t="shared" si="107"/>
        <v/>
      </c>
      <c r="Z413" s="50" t="str">
        <f t="shared" si="108"/>
        <v/>
      </c>
      <c r="AA413" s="50" t="str">
        <f t="shared" si="109"/>
        <v/>
      </c>
      <c r="AB413" s="50" t="str">
        <f t="shared" si="110"/>
        <v/>
      </c>
      <c r="AC413" s="50" t="str">
        <f>IF($A413="","",IF($F413="assignment",IF($AF413&gt;0,INDEX($AH$9:$AH$412,$AF413),0)*$AE413*$D413,IF($F413="buy_shares",$M413*$AL413,0)))</f>
        <v/>
      </c>
      <c r="AD413" s="50" t="str">
        <f>IF($A413="","",IF($F413="called_away",IF($AF413&gt;0,INDEX($AH$9:$AH$412,$AF413),0)*$AL413,IF($F413="sell_shares",$M413*$AL413,0)))</f>
        <v/>
      </c>
      <c r="AE413" s="51" t="str">
        <f>IF($A413="","",IF(OR($F413="sell_put",$F413="sell_call"),IF(AND($H413&gt;0,$I413&gt;0,$J413&gt;=0),$H413,0),IF(OR($F413="buy_to_close",$F413="expire",$F413="roll",$F413="assignment",$F413="called_away"),IF(AND($AF413&gt;0,$H413&gt;0,IF($F413="assignment",IF($AF413&gt;0,INDEX($AG$9:$AG$412,$AF413),"")="put",TRUE),IF($F413="called_away",IF($AF413&gt;0,INDEX($AG$9:$AG$412,$AF413),"")="call",TRUE)),MIN($H413,IF($AF413&gt;0,MAX(0,INDEX($AI$9:$AI$412,$AF413)-SUMIFS($AE$9:$AE$412,$G$9:$G$412,$G413,$B$9:$B$412,$B413)),0)),0),0)))</f>
        <v/>
      </c>
      <c r="AF413" t="str">
        <f>IF($A413="","",IFERROR(MATCH(LEN($B413)&amp;":"&amp;$B413&amp;$G413,$AY$9:$AY$412,0),0))</f>
        <v/>
      </c>
      <c r="AG413" t="str">
        <f>IF($A413="","",IF($F413="sell_put","put",IF($F413="sell_call","call",IF($F413="roll",IF($AF413&gt;0,IF($AF413&gt;0,INDEX($AG$9:$AG$412,$AF413),""),""),IF($AF413&gt;0,IF($AF413&gt;0,INDEX($AG$9:$AG$412,$AF413),""),"")))))</f>
        <v/>
      </c>
      <c r="AH413" t="str">
        <f>IF($A413="","",IF(OR($F413="sell_put",$F413="sell_call",$F413="roll"),$I413,IF($AF413&gt;0,IF($AF413&gt;0,INDEX($AH$9:$AH$412,$AF413),0),0)))</f>
        <v/>
      </c>
      <c r="AI413" s="51" t="str">
        <f t="shared" si="111"/>
        <v/>
      </c>
      <c r="AJ413" s="51" t="str">
        <f>IF($A413="","",IFERROR(LOOKUP(2,1/($B$9:$B$412=$B413),$AM$9:$AM412),0))</f>
        <v/>
      </c>
      <c r="AK413" t="str">
        <f>IF($A413="","",IFERROR(LOOKUP(2,1/($B$9:$B$412=$B413),$AN$9:$AN412),0))</f>
        <v/>
      </c>
      <c r="AL413" s="51" t="str">
        <f t="shared" si="112"/>
        <v/>
      </c>
      <c r="AM413" s="51" t="str">
        <f t="shared" si="113"/>
        <v/>
      </c>
      <c r="AN413" t="str">
        <f t="shared" si="114"/>
        <v/>
      </c>
      <c r="AO413" s="50" t="str">
        <f>IF($A413="","",IFERROR(LOOKUP(2,1/($B$9:$B$412=$B413),$AO$9:$AO412),0)+IF($F413="sell_put",$I413*$AE413*$D413,IF($F413="roll",IF($AG413="put",($I413-IF($AF413&gt;0,INDEX($AH$9:$AH$412,$AF413),0))*$AE413*$D413,0),IF(AND(OR($F413="buy_to_close",$F413="expire",$F413="roll",$F413="assignment",$F413="called_away"),$F413&lt;&gt;"roll",$AG413="put"),-IF($AF413&gt;0,INDEX($AH$9:$AH$412,$AF413),0)*$AE413*$D413,0))))</f>
        <v/>
      </c>
      <c r="AP413" s="51" t="str">
        <f>IF($A413="","",IFERROR(LOOKUP(2,1/($B$9:$B$412=$B413),$AP$9:$AP412),0)+IF($F413="sell_put",$AE413*$D413,IF(AND(OR($F413="buy_to_close",$F413="expire",$F413="roll",$F413="assignment",$F413="called_away"),$F413&lt;&gt;"roll",$AG413="put"),-$AE413*$D413,0)))</f>
        <v/>
      </c>
      <c r="AQ413" s="51" t="str">
        <f>IF($A413="","",IFERROR(LOOKUP(2,1/($B$9:$B$412=$B413),$AQ$9:$AQ412),0)+IF(OR($F413="sell_put",$F413="sell_call"),$AE413,0)-IF(AND(OR($F413="buy_to_close",$F413="expire",$F413="roll",$F413="assignment",$F413="called_away"),$F413&lt;&gt;"roll"),$AE413,0))</f>
        <v/>
      </c>
      <c r="AR413" t="str">
        <f t="shared" si="115"/>
        <v/>
      </c>
      <c r="AS413" s="50" t="str">
        <f t="shared" si="116"/>
        <v/>
      </c>
      <c r="AT413" s="50" t="str">
        <f>IF($A413="","",MAX(IF($T413=IFERROR(LOOKUP(2,1/($B$9:$B$412=$B413),$T$9:$T412),0),IFERROR(LOOKUP(2,1/($B$9:$B$412=$B413),$AT$9:$AT412),0),0),$AS413))</f>
        <v/>
      </c>
      <c r="AU413" t="str">
        <f t="shared" si="117"/>
        <v/>
      </c>
      <c r="AV413" s="51">
        <f>IF($AU413="",0,IF(AND(IFERROR(LOOKUP(2,1/($B$9:$B$412=$B413),$AR$9:$AR412),1),NOT(AND(OR($F413="dividend",$F413="fee"),IFERROR(LOOKUP(2,1/($B$9:$B$412=$B413),$T$9:$T412),0)&gt;0))),ROW(),0))</f>
        <v>0</v>
      </c>
      <c r="AW413">
        <f>IF($A413="",0,IF($AV413&gt;0,MAX($AW$9:$AW$412)+1,MAX($AW$9:$AW$412)))</f>
        <v>0</v>
      </c>
      <c r="AX413">
        <f>IF($AU413="",0,IF(AND($AR413,OR(NOT(IFERROR(LOOKUP(2,1/($B$9:$B$412=$B413),$AR$9:$AR412),1)),IFERROR(LOOKUP(2,1/($B$9:$B$412=$B413),$T$9:$T412),0)=0)),ROW(),0))</f>
        <v>0</v>
      </c>
      <c r="AY413" t="str">
        <f t="shared" si="118"/>
        <v/>
      </c>
    </row>
    <row r="414" spans="1:51" ht="15" x14ac:dyDescent="0.25">
      <c r="A414" s="52" t="str">
        <f>IF(Trades!$A414="","",Trades!O414)</f>
        <v/>
      </c>
      <c r="B414" s="52" t="str">
        <f>IF(Trades!$A414="","",Trades!B414)</f>
        <v/>
      </c>
      <c r="C414" s="52" t="str">
        <f>IF(Trades!$A414="","",Trades!C414)</f>
        <v/>
      </c>
      <c r="D414" s="53" t="str">
        <f>IF(Trades!$A414="","",IF(Trades!$L414&gt;0,Trades!$L414,Trades!$C$6))</f>
        <v/>
      </c>
      <c r="E414" s="54" t="str">
        <f>IF(Trades!$A414="","",Trades!A414)</f>
        <v/>
      </c>
      <c r="F414" s="52" t="str">
        <f>IF(Trades!$A414="","",IFERROR(INDEX(Trades!$V$2:$V$14,MATCH(Trades!$E414,Trades!$U$2:$U$14,0)),""))</f>
        <v/>
      </c>
      <c r="G414" s="52" t="str">
        <f>IF(Trades!$A414="","",Trades!N414)</f>
        <v/>
      </c>
      <c r="H414" s="53" t="str">
        <f>IF(Trades!$A414="","",Trades!F414)</f>
        <v/>
      </c>
      <c r="I414" s="55" t="str">
        <f>IF(Trades!$A414="","",Trades!G414)</f>
        <v/>
      </c>
      <c r="J414" s="55" t="str">
        <f>IF(Trades!$A414="","",Trades!I414)</f>
        <v/>
      </c>
      <c r="K414" s="55" t="str">
        <f>IF(Trades!$A414="","",Trades!Q414)</f>
        <v/>
      </c>
      <c r="L414" s="53" t="str">
        <f>IF(Trades!$A414="","",Trades!F414)</f>
        <v/>
      </c>
      <c r="M414" s="55" t="str">
        <f>IF(Trades!$A414="","",Trades!M414)</f>
        <v/>
      </c>
      <c r="N414" s="55" t="str">
        <f>IF(Trades!$A414="","",Trades!R414)</f>
        <v/>
      </c>
      <c r="O414" s="55" t="str">
        <f>IF(Trades!$A414="","",Trades!J414)</f>
        <v/>
      </c>
      <c r="P414" s="54" t="str">
        <f>IF(Trades!$A414="","",Trades!H414)</f>
        <v/>
      </c>
      <c r="Q414" s="52" t="str">
        <f>IF(Trades!$A414="","",Trades!P414)</f>
        <v/>
      </c>
      <c r="R414" s="56" t="str">
        <f t="shared" si="102"/>
        <v/>
      </c>
      <c r="S414" s="56" t="str">
        <f t="shared" si="103"/>
        <v/>
      </c>
      <c r="T414" s="57" t="str">
        <f>IF(OR($A414="",$B414=""),"",IF(AND(IFERROR(LOOKUP(2,1/($B$9:$B$413=$B414),$AR$9:$AR413),1),NOT(AND(OR($F414="dividend",$F414="fee"),IFERROR(LOOKUP(2,1/($B$9:$B$413=$B414),$T$9:$T413),0)&gt;0))),IFERROR(LOOKUP(2,1/($B$9:$B$413=$B414),$T$9:$T413),0)+1,IFERROR(LOOKUP(2,1/($B$9:$B$413=$B414),$T$9:$T413),0)))</f>
        <v/>
      </c>
      <c r="U414" s="58" t="str">
        <f t="shared" si="104"/>
        <v/>
      </c>
      <c r="V414" s="58" t="str">
        <f>IF($A414="","",IF(OR($B414="",$C414="",$D414="",$E414="",$F414=""),"Missing required field",IF(COUNTIFS($A$9:$A414,$A414,$B$9:$B414,$B414)&gt;1,"Duplicate event ID",IF(AND($E414&lt;&gt;IFERROR(LOOKUP(2,1/($B$9:$B$413=$B414),$E$9:$E413),0),IFERROR(LOOKUP(2,1/($B$9:$B$413=$B414),$E$9:$E413),0)&gt;$E414),"Date out of order",IF(AND(OR($F414="buy_to_close",$F414="expire",$F414="roll",$F414="assignment",$F414="called_away"),$AF414=0),"Unknown lot",IF(OR(AND($F414="assignment",$AF414&gt;0,IF($AF414&gt;0,INDEX($AG$9:$AG$413,$AF414),"")&lt;&gt;"put"),AND($F414="called_away",$AF414&gt;0,IF($AF414&gt;0,INDEX($AG$9:$AG$413,$AF414),"")&lt;&gt;"call")),"Wrong option leg",IF(OR(AND(OR($F414="sell_put",$F414="sell_call"),OR($H414&lt;=0,$I414&lt;=0,$J414&lt;0)),AND(OR($F414="buy_to_close",$F414="expire",$F414="assignment",$F414="called_away"),OR($H414&lt;=0,$J414&lt;0)),AND($F414="roll",OR($H414&lt;=0,$I414&lt;=0,$J414&lt;0,$K414&lt;0)),AND(OR($F414="buy_shares",$F414="sell_shares"),OR($L414&lt;=0,$M414&lt;0)),AND(OR($F414="dividend",$F414="fee"),$N414&lt;0)),"Invalid value",IF(AND(OR($F414="sell_shares",$F414="called_away"),$AL414&lt;IF($F414="called_away",$AE414*$D414,$L414)),"Insufficient shares (capped)",IF(AND(OR($F414="buy_to_close",$F414="expire",$F414="roll",$F414="assignment",$F414="called_away"),$AF414&gt;0,$H414&gt;IF($AF414&gt;0,MAX(0,INDEX($AI$9:$AI$413,$AF414)-SUMIFS($AE$9:$AE$413,$G$9:$G$413,$G414,$B$9:$B$413,$B414)),0)),"Close quantity capped","OK")))))))))</f>
        <v/>
      </c>
      <c r="W414" s="59" t="str">
        <f t="shared" si="105"/>
        <v/>
      </c>
      <c r="X414" s="60" t="str">
        <f t="shared" si="106"/>
        <v/>
      </c>
      <c r="Y414" s="50" t="str">
        <f t="shared" si="107"/>
        <v/>
      </c>
      <c r="Z414" s="50" t="str">
        <f t="shared" si="108"/>
        <v/>
      </c>
      <c r="AA414" s="50" t="str">
        <f t="shared" si="109"/>
        <v/>
      </c>
      <c r="AB414" s="50" t="str">
        <f t="shared" si="110"/>
        <v/>
      </c>
      <c r="AC414" s="50" t="str">
        <f>IF($A414="","",IF($F414="assignment",IF($AF414&gt;0,INDEX($AH$9:$AH$413,$AF414),0)*$AE414*$D414,IF($F414="buy_shares",$M414*$AL414,0)))</f>
        <v/>
      </c>
      <c r="AD414" s="50" t="str">
        <f>IF($A414="","",IF($F414="called_away",IF($AF414&gt;0,INDEX($AH$9:$AH$413,$AF414),0)*$AL414,IF($F414="sell_shares",$M414*$AL414,0)))</f>
        <v/>
      </c>
      <c r="AE414" s="51" t="str">
        <f>IF($A414="","",IF(OR($F414="sell_put",$F414="sell_call"),IF(AND($H414&gt;0,$I414&gt;0,$J414&gt;=0),$H414,0),IF(OR($F414="buy_to_close",$F414="expire",$F414="roll",$F414="assignment",$F414="called_away"),IF(AND($AF414&gt;0,$H414&gt;0,IF($F414="assignment",IF($AF414&gt;0,INDEX($AG$9:$AG$413,$AF414),"")="put",TRUE),IF($F414="called_away",IF($AF414&gt;0,INDEX($AG$9:$AG$413,$AF414),"")="call",TRUE)),MIN($H414,IF($AF414&gt;0,MAX(0,INDEX($AI$9:$AI$413,$AF414)-SUMIFS($AE$9:$AE$413,$G$9:$G$413,$G414,$B$9:$B$413,$B414)),0)),0),0)))</f>
        <v/>
      </c>
      <c r="AF414" t="str">
        <f>IF($A414="","",IFERROR(MATCH(LEN($B414)&amp;":"&amp;$B414&amp;$G414,$AY$9:$AY$413,0),0))</f>
        <v/>
      </c>
      <c r="AG414" t="str">
        <f>IF($A414="","",IF($F414="sell_put","put",IF($F414="sell_call","call",IF($F414="roll",IF($AF414&gt;0,IF($AF414&gt;0,INDEX($AG$9:$AG$413,$AF414),""),""),IF($AF414&gt;0,IF($AF414&gt;0,INDEX($AG$9:$AG$413,$AF414),""),"")))))</f>
        <v/>
      </c>
      <c r="AH414" t="str">
        <f>IF($A414="","",IF(OR($F414="sell_put",$F414="sell_call",$F414="roll"),$I414,IF($AF414&gt;0,IF($AF414&gt;0,INDEX($AH$9:$AH$413,$AF414),0),0)))</f>
        <v/>
      </c>
      <c r="AI414" s="51" t="str">
        <f t="shared" si="111"/>
        <v/>
      </c>
      <c r="AJ414" s="51" t="str">
        <f>IF($A414="","",IFERROR(LOOKUP(2,1/($B$9:$B$413=$B414),$AM$9:$AM413),0))</f>
        <v/>
      </c>
      <c r="AK414" t="str">
        <f>IF($A414="","",IFERROR(LOOKUP(2,1/($B$9:$B$413=$B414),$AN$9:$AN413),0))</f>
        <v/>
      </c>
      <c r="AL414" s="51" t="str">
        <f t="shared" si="112"/>
        <v/>
      </c>
      <c r="AM414" s="51" t="str">
        <f t="shared" si="113"/>
        <v/>
      </c>
      <c r="AN414" t="str">
        <f t="shared" si="114"/>
        <v/>
      </c>
      <c r="AO414" s="50" t="str">
        <f>IF($A414="","",IFERROR(LOOKUP(2,1/($B$9:$B$413=$B414),$AO$9:$AO413),0)+IF($F414="sell_put",$I414*$AE414*$D414,IF($F414="roll",IF($AG414="put",($I414-IF($AF414&gt;0,INDEX($AH$9:$AH$413,$AF414),0))*$AE414*$D414,0),IF(AND(OR($F414="buy_to_close",$F414="expire",$F414="roll",$F414="assignment",$F414="called_away"),$F414&lt;&gt;"roll",$AG414="put"),-IF($AF414&gt;0,INDEX($AH$9:$AH$413,$AF414),0)*$AE414*$D414,0))))</f>
        <v/>
      </c>
      <c r="AP414" s="51" t="str">
        <f>IF($A414="","",IFERROR(LOOKUP(2,1/($B$9:$B$413=$B414),$AP$9:$AP413),0)+IF($F414="sell_put",$AE414*$D414,IF(AND(OR($F414="buy_to_close",$F414="expire",$F414="roll",$F414="assignment",$F414="called_away"),$F414&lt;&gt;"roll",$AG414="put"),-$AE414*$D414,0)))</f>
        <v/>
      </c>
      <c r="AQ414" s="51" t="str">
        <f>IF($A414="","",IFERROR(LOOKUP(2,1/($B$9:$B$413=$B414),$AQ$9:$AQ413),0)+IF(OR($F414="sell_put",$F414="sell_call"),$AE414,0)-IF(AND(OR($F414="buy_to_close",$F414="expire",$F414="roll",$F414="assignment",$F414="called_away"),$F414&lt;&gt;"roll"),$AE414,0))</f>
        <v/>
      </c>
      <c r="AR414" t="str">
        <f t="shared" si="115"/>
        <v/>
      </c>
      <c r="AS414" s="50" t="str">
        <f t="shared" si="116"/>
        <v/>
      </c>
      <c r="AT414" s="50" t="str">
        <f>IF($A414="","",MAX(IF($T414=IFERROR(LOOKUP(2,1/($B$9:$B$413=$B414),$T$9:$T413),0),IFERROR(LOOKUP(2,1/($B$9:$B$413=$B414),$AT$9:$AT413),0),0),$AS414))</f>
        <v/>
      </c>
      <c r="AU414" t="str">
        <f t="shared" si="117"/>
        <v/>
      </c>
      <c r="AV414" s="51">
        <f>IF($AU414="",0,IF(AND(IFERROR(LOOKUP(2,1/($B$9:$B$413=$B414),$AR$9:$AR413),1),NOT(AND(OR($F414="dividend",$F414="fee"),IFERROR(LOOKUP(2,1/($B$9:$B$413=$B414),$T$9:$T413),0)&gt;0))),ROW(),0))</f>
        <v>0</v>
      </c>
      <c r="AW414">
        <f>IF($A414="",0,IF($AV414&gt;0,MAX($AW$9:$AW$413)+1,MAX($AW$9:$AW$413)))</f>
        <v>0</v>
      </c>
      <c r="AX414">
        <f>IF($AU414="",0,IF(AND($AR414,OR(NOT(IFERROR(LOOKUP(2,1/($B$9:$B$413=$B414),$AR$9:$AR413),1)),IFERROR(LOOKUP(2,1/($B$9:$B$413=$B414),$T$9:$T413),0)=0)),ROW(),0))</f>
        <v>0</v>
      </c>
      <c r="AY414" t="str">
        <f t="shared" si="118"/>
        <v/>
      </c>
    </row>
    <row r="415" spans="1:51" ht="15" x14ac:dyDescent="0.25">
      <c r="A415" s="41" t="str">
        <f>IF(Trades!$A415="","",Trades!O415)</f>
        <v/>
      </c>
      <c r="B415" s="41" t="str">
        <f>IF(Trades!$A415="","",Trades!B415)</f>
        <v/>
      </c>
      <c r="C415" s="41" t="str">
        <f>IF(Trades!$A415="","",Trades!C415)</f>
        <v/>
      </c>
      <c r="D415" s="42" t="str">
        <f>IF(Trades!$A415="","",IF(Trades!$L415&gt;0,Trades!$L415,Trades!$C$6))</f>
        <v/>
      </c>
      <c r="E415" s="43" t="str">
        <f>IF(Trades!$A415="","",Trades!A415)</f>
        <v/>
      </c>
      <c r="F415" s="41" t="str">
        <f>IF(Trades!$A415="","",IFERROR(INDEX(Trades!$V$2:$V$14,MATCH(Trades!$E415,Trades!$U$2:$U$14,0)),""))</f>
        <v/>
      </c>
      <c r="G415" s="41" t="str">
        <f>IF(Trades!$A415="","",Trades!N415)</f>
        <v/>
      </c>
      <c r="H415" s="42" t="str">
        <f>IF(Trades!$A415="","",Trades!F415)</f>
        <v/>
      </c>
      <c r="I415" s="44" t="str">
        <f>IF(Trades!$A415="","",Trades!G415)</f>
        <v/>
      </c>
      <c r="J415" s="44" t="str">
        <f>IF(Trades!$A415="","",Trades!I415)</f>
        <v/>
      </c>
      <c r="K415" s="44" t="str">
        <f>IF(Trades!$A415="","",Trades!Q415)</f>
        <v/>
      </c>
      <c r="L415" s="42" t="str">
        <f>IF(Trades!$A415="","",Trades!F415)</f>
        <v/>
      </c>
      <c r="M415" s="44" t="str">
        <f>IF(Trades!$A415="","",Trades!M415)</f>
        <v/>
      </c>
      <c r="N415" s="44" t="str">
        <f>IF(Trades!$A415="","",Trades!R415)</f>
        <v/>
      </c>
      <c r="O415" s="44" t="str">
        <f>IF(Trades!$A415="","",Trades!J415)</f>
        <v/>
      </c>
      <c r="P415" s="43" t="str">
        <f>IF(Trades!$A415="","",Trades!H415)</f>
        <v/>
      </c>
      <c r="Q415" s="41" t="str">
        <f>IF(Trades!$A415="","",Trades!P415)</f>
        <v/>
      </c>
      <c r="R415" s="45" t="str">
        <f t="shared" si="102"/>
        <v/>
      </c>
      <c r="S415" s="45" t="str">
        <f t="shared" si="103"/>
        <v/>
      </c>
      <c r="T415" s="46" t="str">
        <f>IF(OR($A415="",$B415=""),"",IF(AND(IFERROR(LOOKUP(2,1/($B$9:$B$414=$B415),$AR$9:$AR414),1),NOT(AND(OR($F415="dividend",$F415="fee"),IFERROR(LOOKUP(2,1/($B$9:$B$414=$B415),$T$9:$T414),0)&gt;0))),IFERROR(LOOKUP(2,1/($B$9:$B$414=$B415),$T$9:$T414),0)+1,IFERROR(LOOKUP(2,1/($B$9:$B$414=$B415),$T$9:$T414),0)))</f>
        <v/>
      </c>
      <c r="U415" s="47" t="str">
        <f t="shared" si="104"/>
        <v/>
      </c>
      <c r="V415" s="47" t="str">
        <f>IF($A415="","",IF(OR($B415="",$C415="",$D415="",$E415="",$F415=""),"Missing required field",IF(COUNTIFS($A$9:$A415,$A415,$B$9:$B415,$B415)&gt;1,"Duplicate event ID",IF(AND($E415&lt;&gt;IFERROR(LOOKUP(2,1/($B$9:$B$414=$B415),$E$9:$E414),0),IFERROR(LOOKUP(2,1/($B$9:$B$414=$B415),$E$9:$E414),0)&gt;$E415),"Date out of order",IF(AND(OR($F415="buy_to_close",$F415="expire",$F415="roll",$F415="assignment",$F415="called_away"),$AF415=0),"Unknown lot",IF(OR(AND($F415="assignment",$AF415&gt;0,IF($AF415&gt;0,INDEX($AG$9:$AG$414,$AF415),"")&lt;&gt;"put"),AND($F415="called_away",$AF415&gt;0,IF($AF415&gt;0,INDEX($AG$9:$AG$414,$AF415),"")&lt;&gt;"call")),"Wrong option leg",IF(OR(AND(OR($F415="sell_put",$F415="sell_call"),OR($H415&lt;=0,$I415&lt;=0,$J415&lt;0)),AND(OR($F415="buy_to_close",$F415="expire",$F415="assignment",$F415="called_away"),OR($H415&lt;=0,$J415&lt;0)),AND($F415="roll",OR($H415&lt;=0,$I415&lt;=0,$J415&lt;0,$K415&lt;0)),AND(OR($F415="buy_shares",$F415="sell_shares"),OR($L415&lt;=0,$M415&lt;0)),AND(OR($F415="dividend",$F415="fee"),$N415&lt;0)),"Invalid value",IF(AND(OR($F415="sell_shares",$F415="called_away"),$AL415&lt;IF($F415="called_away",$AE415*$D415,$L415)),"Insufficient shares (capped)",IF(AND(OR($F415="buy_to_close",$F415="expire",$F415="roll",$F415="assignment",$F415="called_away"),$AF415&gt;0,$H415&gt;IF($AF415&gt;0,MAX(0,INDEX($AI$9:$AI$414,$AF415)-SUMIFS($AE$9:$AE$414,$G$9:$G$414,$G415,$B$9:$B$414,$B415)),0)),"Close quantity capped","OK")))))))))</f>
        <v/>
      </c>
      <c r="W415" s="48" t="str">
        <f t="shared" si="105"/>
        <v/>
      </c>
      <c r="X415" s="49" t="str">
        <f t="shared" si="106"/>
        <v/>
      </c>
      <c r="Y415" s="50" t="str">
        <f t="shared" si="107"/>
        <v/>
      </c>
      <c r="Z415" s="50" t="str">
        <f t="shared" si="108"/>
        <v/>
      </c>
      <c r="AA415" s="50" t="str">
        <f t="shared" si="109"/>
        <v/>
      </c>
      <c r="AB415" s="50" t="str">
        <f t="shared" si="110"/>
        <v/>
      </c>
      <c r="AC415" s="50" t="str">
        <f>IF($A415="","",IF($F415="assignment",IF($AF415&gt;0,INDEX($AH$9:$AH$414,$AF415),0)*$AE415*$D415,IF($F415="buy_shares",$M415*$AL415,0)))</f>
        <v/>
      </c>
      <c r="AD415" s="50" t="str">
        <f>IF($A415="","",IF($F415="called_away",IF($AF415&gt;0,INDEX($AH$9:$AH$414,$AF415),0)*$AL415,IF($F415="sell_shares",$M415*$AL415,0)))</f>
        <v/>
      </c>
      <c r="AE415" s="51" t="str">
        <f>IF($A415="","",IF(OR($F415="sell_put",$F415="sell_call"),IF(AND($H415&gt;0,$I415&gt;0,$J415&gt;=0),$H415,0),IF(OR($F415="buy_to_close",$F415="expire",$F415="roll",$F415="assignment",$F415="called_away"),IF(AND($AF415&gt;0,$H415&gt;0,IF($F415="assignment",IF($AF415&gt;0,INDEX($AG$9:$AG$414,$AF415),"")="put",TRUE),IF($F415="called_away",IF($AF415&gt;0,INDEX($AG$9:$AG$414,$AF415),"")="call",TRUE)),MIN($H415,IF($AF415&gt;0,MAX(0,INDEX($AI$9:$AI$414,$AF415)-SUMIFS($AE$9:$AE$414,$G$9:$G$414,$G415,$B$9:$B$414,$B415)),0)),0),0)))</f>
        <v/>
      </c>
      <c r="AF415" t="str">
        <f>IF($A415="","",IFERROR(MATCH(LEN($B415)&amp;":"&amp;$B415&amp;$G415,$AY$9:$AY$414,0),0))</f>
        <v/>
      </c>
      <c r="AG415" t="str">
        <f>IF($A415="","",IF($F415="sell_put","put",IF($F415="sell_call","call",IF($F415="roll",IF($AF415&gt;0,IF($AF415&gt;0,INDEX($AG$9:$AG$414,$AF415),""),""),IF($AF415&gt;0,IF($AF415&gt;0,INDEX($AG$9:$AG$414,$AF415),""),"")))))</f>
        <v/>
      </c>
      <c r="AH415" t="str">
        <f>IF($A415="","",IF(OR($F415="sell_put",$F415="sell_call",$F415="roll"),$I415,IF($AF415&gt;0,IF($AF415&gt;0,INDEX($AH$9:$AH$414,$AF415),0),0)))</f>
        <v/>
      </c>
      <c r="AI415" s="51" t="str">
        <f t="shared" si="111"/>
        <v/>
      </c>
      <c r="AJ415" s="51" t="str">
        <f>IF($A415="","",IFERROR(LOOKUP(2,1/($B$9:$B$414=$B415),$AM$9:$AM414),0))</f>
        <v/>
      </c>
      <c r="AK415" t="str">
        <f>IF($A415="","",IFERROR(LOOKUP(2,1/($B$9:$B$414=$B415),$AN$9:$AN414),0))</f>
        <v/>
      </c>
      <c r="AL415" s="51" t="str">
        <f t="shared" si="112"/>
        <v/>
      </c>
      <c r="AM415" s="51" t="str">
        <f t="shared" si="113"/>
        <v/>
      </c>
      <c r="AN415" t="str">
        <f t="shared" si="114"/>
        <v/>
      </c>
      <c r="AO415" s="50" t="str">
        <f>IF($A415="","",IFERROR(LOOKUP(2,1/($B$9:$B$414=$B415),$AO$9:$AO414),0)+IF($F415="sell_put",$I415*$AE415*$D415,IF($F415="roll",IF($AG415="put",($I415-IF($AF415&gt;0,INDEX($AH$9:$AH$414,$AF415),0))*$AE415*$D415,0),IF(AND(OR($F415="buy_to_close",$F415="expire",$F415="roll",$F415="assignment",$F415="called_away"),$F415&lt;&gt;"roll",$AG415="put"),-IF($AF415&gt;0,INDEX($AH$9:$AH$414,$AF415),0)*$AE415*$D415,0))))</f>
        <v/>
      </c>
      <c r="AP415" s="51" t="str">
        <f>IF($A415="","",IFERROR(LOOKUP(2,1/($B$9:$B$414=$B415),$AP$9:$AP414),0)+IF($F415="sell_put",$AE415*$D415,IF(AND(OR($F415="buy_to_close",$F415="expire",$F415="roll",$F415="assignment",$F415="called_away"),$F415&lt;&gt;"roll",$AG415="put"),-$AE415*$D415,0)))</f>
        <v/>
      </c>
      <c r="AQ415" s="51" t="str">
        <f>IF($A415="","",IFERROR(LOOKUP(2,1/($B$9:$B$414=$B415),$AQ$9:$AQ414),0)+IF(OR($F415="sell_put",$F415="sell_call"),$AE415,0)-IF(AND(OR($F415="buy_to_close",$F415="expire",$F415="roll",$F415="assignment",$F415="called_away"),$F415&lt;&gt;"roll"),$AE415,0))</f>
        <v/>
      </c>
      <c r="AR415" t="str">
        <f t="shared" si="115"/>
        <v/>
      </c>
      <c r="AS415" s="50" t="str">
        <f t="shared" si="116"/>
        <v/>
      </c>
      <c r="AT415" s="50" t="str">
        <f>IF($A415="","",MAX(IF($T415=IFERROR(LOOKUP(2,1/($B$9:$B$414=$B415),$T$9:$T414),0),IFERROR(LOOKUP(2,1/($B$9:$B$414=$B415),$AT$9:$AT414),0),0),$AS415))</f>
        <v/>
      </c>
      <c r="AU415" t="str">
        <f t="shared" si="117"/>
        <v/>
      </c>
      <c r="AV415" s="51">
        <f>IF($AU415="",0,IF(AND(IFERROR(LOOKUP(2,1/($B$9:$B$414=$B415),$AR$9:$AR414),1),NOT(AND(OR($F415="dividend",$F415="fee"),IFERROR(LOOKUP(2,1/($B$9:$B$414=$B415),$T$9:$T414),0)&gt;0))),ROW(),0))</f>
        <v>0</v>
      </c>
      <c r="AW415">
        <f>IF($A415="",0,IF($AV415&gt;0,MAX($AW$9:$AW$414)+1,MAX($AW$9:$AW$414)))</f>
        <v>0</v>
      </c>
      <c r="AX415">
        <f>IF($AU415="",0,IF(AND($AR415,OR(NOT(IFERROR(LOOKUP(2,1/($B$9:$B$414=$B415),$AR$9:$AR414),1)),IFERROR(LOOKUP(2,1/($B$9:$B$414=$B415),$T$9:$T414),0)=0)),ROW(),0))</f>
        <v>0</v>
      </c>
      <c r="AY415" t="str">
        <f t="shared" si="118"/>
        <v/>
      </c>
    </row>
    <row r="416" spans="1:51" ht="15" x14ac:dyDescent="0.25">
      <c r="A416" s="52" t="str">
        <f>IF(Trades!$A416="","",Trades!O416)</f>
        <v/>
      </c>
      <c r="B416" s="52" t="str">
        <f>IF(Trades!$A416="","",Trades!B416)</f>
        <v/>
      </c>
      <c r="C416" s="52" t="str">
        <f>IF(Trades!$A416="","",Trades!C416)</f>
        <v/>
      </c>
      <c r="D416" s="53" t="str">
        <f>IF(Trades!$A416="","",IF(Trades!$L416&gt;0,Trades!$L416,Trades!$C$6))</f>
        <v/>
      </c>
      <c r="E416" s="54" t="str">
        <f>IF(Trades!$A416="","",Trades!A416)</f>
        <v/>
      </c>
      <c r="F416" s="52" t="str">
        <f>IF(Trades!$A416="","",IFERROR(INDEX(Trades!$V$2:$V$14,MATCH(Trades!$E416,Trades!$U$2:$U$14,0)),""))</f>
        <v/>
      </c>
      <c r="G416" s="52" t="str">
        <f>IF(Trades!$A416="","",Trades!N416)</f>
        <v/>
      </c>
      <c r="H416" s="53" t="str">
        <f>IF(Trades!$A416="","",Trades!F416)</f>
        <v/>
      </c>
      <c r="I416" s="55" t="str">
        <f>IF(Trades!$A416="","",Trades!G416)</f>
        <v/>
      </c>
      <c r="J416" s="55" t="str">
        <f>IF(Trades!$A416="","",Trades!I416)</f>
        <v/>
      </c>
      <c r="K416" s="55" t="str">
        <f>IF(Trades!$A416="","",Trades!Q416)</f>
        <v/>
      </c>
      <c r="L416" s="53" t="str">
        <f>IF(Trades!$A416="","",Trades!F416)</f>
        <v/>
      </c>
      <c r="M416" s="55" t="str">
        <f>IF(Trades!$A416="","",Trades!M416)</f>
        <v/>
      </c>
      <c r="N416" s="55" t="str">
        <f>IF(Trades!$A416="","",Trades!R416)</f>
        <v/>
      </c>
      <c r="O416" s="55" t="str">
        <f>IF(Trades!$A416="","",Trades!J416)</f>
        <v/>
      </c>
      <c r="P416" s="54" t="str">
        <f>IF(Trades!$A416="","",Trades!H416)</f>
        <v/>
      </c>
      <c r="Q416" s="52" t="str">
        <f>IF(Trades!$A416="","",Trades!P416)</f>
        <v/>
      </c>
      <c r="R416" s="56" t="str">
        <f t="shared" si="102"/>
        <v/>
      </c>
      <c r="S416" s="56" t="str">
        <f t="shared" si="103"/>
        <v/>
      </c>
      <c r="T416" s="57" t="str">
        <f>IF(OR($A416="",$B416=""),"",IF(AND(IFERROR(LOOKUP(2,1/($B$9:$B$415=$B416),$AR$9:$AR415),1),NOT(AND(OR($F416="dividend",$F416="fee"),IFERROR(LOOKUP(2,1/($B$9:$B$415=$B416),$T$9:$T415),0)&gt;0))),IFERROR(LOOKUP(2,1/($B$9:$B$415=$B416),$T$9:$T415),0)+1,IFERROR(LOOKUP(2,1/($B$9:$B$415=$B416),$T$9:$T415),0)))</f>
        <v/>
      </c>
      <c r="U416" s="58" t="str">
        <f t="shared" si="104"/>
        <v/>
      </c>
      <c r="V416" s="58" t="str">
        <f>IF($A416="","",IF(OR($B416="",$C416="",$D416="",$E416="",$F416=""),"Missing required field",IF(COUNTIFS($A$9:$A416,$A416,$B$9:$B416,$B416)&gt;1,"Duplicate event ID",IF(AND($E416&lt;&gt;IFERROR(LOOKUP(2,1/($B$9:$B$415=$B416),$E$9:$E415),0),IFERROR(LOOKUP(2,1/($B$9:$B$415=$B416),$E$9:$E415),0)&gt;$E416),"Date out of order",IF(AND(OR($F416="buy_to_close",$F416="expire",$F416="roll",$F416="assignment",$F416="called_away"),$AF416=0),"Unknown lot",IF(OR(AND($F416="assignment",$AF416&gt;0,IF($AF416&gt;0,INDEX($AG$9:$AG$415,$AF416),"")&lt;&gt;"put"),AND($F416="called_away",$AF416&gt;0,IF($AF416&gt;0,INDEX($AG$9:$AG$415,$AF416),"")&lt;&gt;"call")),"Wrong option leg",IF(OR(AND(OR($F416="sell_put",$F416="sell_call"),OR($H416&lt;=0,$I416&lt;=0,$J416&lt;0)),AND(OR($F416="buy_to_close",$F416="expire",$F416="assignment",$F416="called_away"),OR($H416&lt;=0,$J416&lt;0)),AND($F416="roll",OR($H416&lt;=0,$I416&lt;=0,$J416&lt;0,$K416&lt;0)),AND(OR($F416="buy_shares",$F416="sell_shares"),OR($L416&lt;=0,$M416&lt;0)),AND(OR($F416="dividend",$F416="fee"),$N416&lt;0)),"Invalid value",IF(AND(OR($F416="sell_shares",$F416="called_away"),$AL416&lt;IF($F416="called_away",$AE416*$D416,$L416)),"Insufficient shares (capped)",IF(AND(OR($F416="buy_to_close",$F416="expire",$F416="roll",$F416="assignment",$F416="called_away"),$AF416&gt;0,$H416&gt;IF($AF416&gt;0,MAX(0,INDEX($AI$9:$AI$415,$AF416)-SUMIFS($AE$9:$AE$415,$G$9:$G$415,$G416,$B$9:$B$415,$B416)),0)),"Close quantity capped","OK")))))))))</f>
        <v/>
      </c>
      <c r="W416" s="59" t="str">
        <f t="shared" si="105"/>
        <v/>
      </c>
      <c r="X416" s="60" t="str">
        <f t="shared" si="106"/>
        <v/>
      </c>
      <c r="Y416" s="50" t="str">
        <f t="shared" si="107"/>
        <v/>
      </c>
      <c r="Z416" s="50" t="str">
        <f t="shared" si="108"/>
        <v/>
      </c>
      <c r="AA416" s="50" t="str">
        <f t="shared" si="109"/>
        <v/>
      </c>
      <c r="AB416" s="50" t="str">
        <f t="shared" si="110"/>
        <v/>
      </c>
      <c r="AC416" s="50" t="str">
        <f>IF($A416="","",IF($F416="assignment",IF($AF416&gt;0,INDEX($AH$9:$AH$415,$AF416),0)*$AE416*$D416,IF($F416="buy_shares",$M416*$AL416,0)))</f>
        <v/>
      </c>
      <c r="AD416" s="50" t="str">
        <f>IF($A416="","",IF($F416="called_away",IF($AF416&gt;0,INDEX($AH$9:$AH$415,$AF416),0)*$AL416,IF($F416="sell_shares",$M416*$AL416,0)))</f>
        <v/>
      </c>
      <c r="AE416" s="51" t="str">
        <f>IF($A416="","",IF(OR($F416="sell_put",$F416="sell_call"),IF(AND($H416&gt;0,$I416&gt;0,$J416&gt;=0),$H416,0),IF(OR($F416="buy_to_close",$F416="expire",$F416="roll",$F416="assignment",$F416="called_away"),IF(AND($AF416&gt;0,$H416&gt;0,IF($F416="assignment",IF($AF416&gt;0,INDEX($AG$9:$AG$415,$AF416),"")="put",TRUE),IF($F416="called_away",IF($AF416&gt;0,INDEX($AG$9:$AG$415,$AF416),"")="call",TRUE)),MIN($H416,IF($AF416&gt;0,MAX(0,INDEX($AI$9:$AI$415,$AF416)-SUMIFS($AE$9:$AE$415,$G$9:$G$415,$G416,$B$9:$B$415,$B416)),0)),0),0)))</f>
        <v/>
      </c>
      <c r="AF416" t="str">
        <f>IF($A416="","",IFERROR(MATCH(LEN($B416)&amp;":"&amp;$B416&amp;$G416,$AY$9:$AY$415,0),0))</f>
        <v/>
      </c>
      <c r="AG416" t="str">
        <f>IF($A416="","",IF($F416="sell_put","put",IF($F416="sell_call","call",IF($F416="roll",IF($AF416&gt;0,IF($AF416&gt;0,INDEX($AG$9:$AG$415,$AF416),""),""),IF($AF416&gt;0,IF($AF416&gt;0,INDEX($AG$9:$AG$415,$AF416),""),"")))))</f>
        <v/>
      </c>
      <c r="AH416" t="str">
        <f>IF($A416="","",IF(OR($F416="sell_put",$F416="sell_call",$F416="roll"),$I416,IF($AF416&gt;0,IF($AF416&gt;0,INDEX($AH$9:$AH$415,$AF416),0),0)))</f>
        <v/>
      </c>
      <c r="AI416" s="51" t="str">
        <f t="shared" si="111"/>
        <v/>
      </c>
      <c r="AJ416" s="51" t="str">
        <f>IF($A416="","",IFERROR(LOOKUP(2,1/($B$9:$B$415=$B416),$AM$9:$AM415),0))</f>
        <v/>
      </c>
      <c r="AK416" t="str">
        <f>IF($A416="","",IFERROR(LOOKUP(2,1/($B$9:$B$415=$B416),$AN$9:$AN415),0))</f>
        <v/>
      </c>
      <c r="AL416" s="51" t="str">
        <f t="shared" si="112"/>
        <v/>
      </c>
      <c r="AM416" s="51" t="str">
        <f t="shared" si="113"/>
        <v/>
      </c>
      <c r="AN416" t="str">
        <f t="shared" si="114"/>
        <v/>
      </c>
      <c r="AO416" s="50" t="str">
        <f>IF($A416="","",IFERROR(LOOKUP(2,1/($B$9:$B$415=$B416),$AO$9:$AO415),0)+IF($F416="sell_put",$I416*$AE416*$D416,IF($F416="roll",IF($AG416="put",($I416-IF($AF416&gt;0,INDEX($AH$9:$AH$415,$AF416),0))*$AE416*$D416,0),IF(AND(OR($F416="buy_to_close",$F416="expire",$F416="roll",$F416="assignment",$F416="called_away"),$F416&lt;&gt;"roll",$AG416="put"),-IF($AF416&gt;0,INDEX($AH$9:$AH$415,$AF416),0)*$AE416*$D416,0))))</f>
        <v/>
      </c>
      <c r="AP416" s="51" t="str">
        <f>IF($A416="","",IFERROR(LOOKUP(2,1/($B$9:$B$415=$B416),$AP$9:$AP415),0)+IF($F416="sell_put",$AE416*$D416,IF(AND(OR($F416="buy_to_close",$F416="expire",$F416="roll",$F416="assignment",$F416="called_away"),$F416&lt;&gt;"roll",$AG416="put"),-$AE416*$D416,0)))</f>
        <v/>
      </c>
      <c r="AQ416" s="51" t="str">
        <f>IF($A416="","",IFERROR(LOOKUP(2,1/($B$9:$B$415=$B416),$AQ$9:$AQ415),0)+IF(OR($F416="sell_put",$F416="sell_call"),$AE416,0)-IF(AND(OR($F416="buy_to_close",$F416="expire",$F416="roll",$F416="assignment",$F416="called_away"),$F416&lt;&gt;"roll"),$AE416,0))</f>
        <v/>
      </c>
      <c r="AR416" t="str">
        <f t="shared" si="115"/>
        <v/>
      </c>
      <c r="AS416" s="50" t="str">
        <f t="shared" si="116"/>
        <v/>
      </c>
      <c r="AT416" s="50" t="str">
        <f>IF($A416="","",MAX(IF($T416=IFERROR(LOOKUP(2,1/($B$9:$B$415=$B416),$T$9:$T415),0),IFERROR(LOOKUP(2,1/($B$9:$B$415=$B416),$AT$9:$AT415),0),0),$AS416))</f>
        <v/>
      </c>
      <c r="AU416" t="str">
        <f t="shared" si="117"/>
        <v/>
      </c>
      <c r="AV416" s="51">
        <f>IF($AU416="",0,IF(AND(IFERROR(LOOKUP(2,1/($B$9:$B$415=$B416),$AR$9:$AR415),1),NOT(AND(OR($F416="dividend",$F416="fee"),IFERROR(LOOKUP(2,1/($B$9:$B$415=$B416),$T$9:$T415),0)&gt;0))),ROW(),0))</f>
        <v>0</v>
      </c>
      <c r="AW416">
        <f>IF($A416="",0,IF($AV416&gt;0,MAX($AW$9:$AW$415)+1,MAX($AW$9:$AW$415)))</f>
        <v>0</v>
      </c>
      <c r="AX416">
        <f>IF($AU416="",0,IF(AND($AR416,OR(NOT(IFERROR(LOOKUP(2,1/($B$9:$B$415=$B416),$AR$9:$AR415),1)),IFERROR(LOOKUP(2,1/($B$9:$B$415=$B416),$T$9:$T415),0)=0)),ROW(),0))</f>
        <v>0</v>
      </c>
      <c r="AY416" t="str">
        <f t="shared" si="118"/>
        <v/>
      </c>
    </row>
    <row r="417" spans="1:51" ht="15" x14ac:dyDescent="0.25">
      <c r="A417" s="41" t="str">
        <f>IF(Trades!$A417="","",Trades!O417)</f>
        <v/>
      </c>
      <c r="B417" s="41" t="str">
        <f>IF(Trades!$A417="","",Trades!B417)</f>
        <v/>
      </c>
      <c r="C417" s="41" t="str">
        <f>IF(Trades!$A417="","",Trades!C417)</f>
        <v/>
      </c>
      <c r="D417" s="42" t="str">
        <f>IF(Trades!$A417="","",IF(Trades!$L417&gt;0,Trades!$L417,Trades!$C$6))</f>
        <v/>
      </c>
      <c r="E417" s="43" t="str">
        <f>IF(Trades!$A417="","",Trades!A417)</f>
        <v/>
      </c>
      <c r="F417" s="41" t="str">
        <f>IF(Trades!$A417="","",IFERROR(INDEX(Trades!$V$2:$V$14,MATCH(Trades!$E417,Trades!$U$2:$U$14,0)),""))</f>
        <v/>
      </c>
      <c r="G417" s="41" t="str">
        <f>IF(Trades!$A417="","",Trades!N417)</f>
        <v/>
      </c>
      <c r="H417" s="42" t="str">
        <f>IF(Trades!$A417="","",Trades!F417)</f>
        <v/>
      </c>
      <c r="I417" s="44" t="str">
        <f>IF(Trades!$A417="","",Trades!G417)</f>
        <v/>
      </c>
      <c r="J417" s="44" t="str">
        <f>IF(Trades!$A417="","",Trades!I417)</f>
        <v/>
      </c>
      <c r="K417" s="44" t="str">
        <f>IF(Trades!$A417="","",Trades!Q417)</f>
        <v/>
      </c>
      <c r="L417" s="42" t="str">
        <f>IF(Trades!$A417="","",Trades!F417)</f>
        <v/>
      </c>
      <c r="M417" s="44" t="str">
        <f>IF(Trades!$A417="","",Trades!M417)</f>
        <v/>
      </c>
      <c r="N417" s="44" t="str">
        <f>IF(Trades!$A417="","",Trades!R417)</f>
        <v/>
      </c>
      <c r="O417" s="44" t="str">
        <f>IF(Trades!$A417="","",Trades!J417)</f>
        <v/>
      </c>
      <c r="P417" s="43" t="str">
        <f>IF(Trades!$A417="","",Trades!H417)</f>
        <v/>
      </c>
      <c r="Q417" s="41" t="str">
        <f>IF(Trades!$A417="","",Trades!P417)</f>
        <v/>
      </c>
      <c r="R417" s="45" t="str">
        <f t="shared" si="102"/>
        <v/>
      </c>
      <c r="S417" s="45" t="str">
        <f t="shared" si="103"/>
        <v/>
      </c>
      <c r="T417" s="46" t="str">
        <f>IF(OR($A417="",$B417=""),"",IF(AND(IFERROR(LOOKUP(2,1/($B$9:$B$416=$B417),$AR$9:$AR416),1),NOT(AND(OR($F417="dividend",$F417="fee"),IFERROR(LOOKUP(2,1/($B$9:$B$416=$B417),$T$9:$T416),0)&gt;0))),IFERROR(LOOKUP(2,1/($B$9:$B$416=$B417),$T$9:$T416),0)+1,IFERROR(LOOKUP(2,1/($B$9:$B$416=$B417),$T$9:$T416),0)))</f>
        <v/>
      </c>
      <c r="U417" s="47" t="str">
        <f t="shared" si="104"/>
        <v/>
      </c>
      <c r="V417" s="47" t="str">
        <f>IF($A417="","",IF(OR($B417="",$C417="",$D417="",$E417="",$F417=""),"Missing required field",IF(COUNTIFS($A$9:$A417,$A417,$B$9:$B417,$B417)&gt;1,"Duplicate event ID",IF(AND($E417&lt;&gt;IFERROR(LOOKUP(2,1/($B$9:$B$416=$B417),$E$9:$E416),0),IFERROR(LOOKUP(2,1/($B$9:$B$416=$B417),$E$9:$E416),0)&gt;$E417),"Date out of order",IF(AND(OR($F417="buy_to_close",$F417="expire",$F417="roll",$F417="assignment",$F417="called_away"),$AF417=0),"Unknown lot",IF(OR(AND($F417="assignment",$AF417&gt;0,IF($AF417&gt;0,INDEX($AG$9:$AG$416,$AF417),"")&lt;&gt;"put"),AND($F417="called_away",$AF417&gt;0,IF($AF417&gt;0,INDEX($AG$9:$AG$416,$AF417),"")&lt;&gt;"call")),"Wrong option leg",IF(OR(AND(OR($F417="sell_put",$F417="sell_call"),OR($H417&lt;=0,$I417&lt;=0,$J417&lt;0)),AND(OR($F417="buy_to_close",$F417="expire",$F417="assignment",$F417="called_away"),OR($H417&lt;=0,$J417&lt;0)),AND($F417="roll",OR($H417&lt;=0,$I417&lt;=0,$J417&lt;0,$K417&lt;0)),AND(OR($F417="buy_shares",$F417="sell_shares"),OR($L417&lt;=0,$M417&lt;0)),AND(OR($F417="dividend",$F417="fee"),$N417&lt;0)),"Invalid value",IF(AND(OR($F417="sell_shares",$F417="called_away"),$AL417&lt;IF($F417="called_away",$AE417*$D417,$L417)),"Insufficient shares (capped)",IF(AND(OR($F417="buy_to_close",$F417="expire",$F417="roll",$F417="assignment",$F417="called_away"),$AF417&gt;0,$H417&gt;IF($AF417&gt;0,MAX(0,INDEX($AI$9:$AI$416,$AF417)-SUMIFS($AE$9:$AE$416,$G$9:$G$416,$G417,$B$9:$B$416,$B417)),0)),"Close quantity capped","OK")))))))))</f>
        <v/>
      </c>
      <c r="W417" s="48" t="str">
        <f t="shared" si="105"/>
        <v/>
      </c>
      <c r="X417" s="49" t="str">
        <f t="shared" si="106"/>
        <v/>
      </c>
      <c r="Y417" s="50" t="str">
        <f t="shared" si="107"/>
        <v/>
      </c>
      <c r="Z417" s="50" t="str">
        <f t="shared" si="108"/>
        <v/>
      </c>
      <c r="AA417" s="50" t="str">
        <f t="shared" si="109"/>
        <v/>
      </c>
      <c r="AB417" s="50" t="str">
        <f t="shared" si="110"/>
        <v/>
      </c>
      <c r="AC417" s="50" t="str">
        <f>IF($A417="","",IF($F417="assignment",IF($AF417&gt;0,INDEX($AH$9:$AH$416,$AF417),0)*$AE417*$D417,IF($F417="buy_shares",$M417*$AL417,0)))</f>
        <v/>
      </c>
      <c r="AD417" s="50" t="str">
        <f>IF($A417="","",IF($F417="called_away",IF($AF417&gt;0,INDEX($AH$9:$AH$416,$AF417),0)*$AL417,IF($F417="sell_shares",$M417*$AL417,0)))</f>
        <v/>
      </c>
      <c r="AE417" s="51" t="str">
        <f>IF($A417="","",IF(OR($F417="sell_put",$F417="sell_call"),IF(AND($H417&gt;0,$I417&gt;0,$J417&gt;=0),$H417,0),IF(OR($F417="buy_to_close",$F417="expire",$F417="roll",$F417="assignment",$F417="called_away"),IF(AND($AF417&gt;0,$H417&gt;0,IF($F417="assignment",IF($AF417&gt;0,INDEX($AG$9:$AG$416,$AF417),"")="put",TRUE),IF($F417="called_away",IF($AF417&gt;0,INDEX($AG$9:$AG$416,$AF417),"")="call",TRUE)),MIN($H417,IF($AF417&gt;0,MAX(0,INDEX($AI$9:$AI$416,$AF417)-SUMIFS($AE$9:$AE$416,$G$9:$G$416,$G417,$B$9:$B$416,$B417)),0)),0),0)))</f>
        <v/>
      </c>
      <c r="AF417" t="str">
        <f>IF($A417="","",IFERROR(MATCH(LEN($B417)&amp;":"&amp;$B417&amp;$G417,$AY$9:$AY$416,0),0))</f>
        <v/>
      </c>
      <c r="AG417" t="str">
        <f>IF($A417="","",IF($F417="sell_put","put",IF($F417="sell_call","call",IF($F417="roll",IF($AF417&gt;0,IF($AF417&gt;0,INDEX($AG$9:$AG$416,$AF417),""),""),IF($AF417&gt;0,IF($AF417&gt;0,INDEX($AG$9:$AG$416,$AF417),""),"")))))</f>
        <v/>
      </c>
      <c r="AH417" t="str">
        <f>IF($A417="","",IF(OR($F417="sell_put",$F417="sell_call",$F417="roll"),$I417,IF($AF417&gt;0,IF($AF417&gt;0,INDEX($AH$9:$AH$416,$AF417),0),0)))</f>
        <v/>
      </c>
      <c r="AI417" s="51" t="str">
        <f t="shared" si="111"/>
        <v/>
      </c>
      <c r="AJ417" s="51" t="str">
        <f>IF($A417="","",IFERROR(LOOKUP(2,1/($B$9:$B$416=$B417),$AM$9:$AM416),0))</f>
        <v/>
      </c>
      <c r="AK417" t="str">
        <f>IF($A417="","",IFERROR(LOOKUP(2,1/($B$9:$B$416=$B417),$AN$9:$AN416),0))</f>
        <v/>
      </c>
      <c r="AL417" s="51" t="str">
        <f t="shared" si="112"/>
        <v/>
      </c>
      <c r="AM417" s="51" t="str">
        <f t="shared" si="113"/>
        <v/>
      </c>
      <c r="AN417" t="str">
        <f t="shared" si="114"/>
        <v/>
      </c>
      <c r="AO417" s="50" t="str">
        <f>IF($A417="","",IFERROR(LOOKUP(2,1/($B$9:$B$416=$B417),$AO$9:$AO416),0)+IF($F417="sell_put",$I417*$AE417*$D417,IF($F417="roll",IF($AG417="put",($I417-IF($AF417&gt;0,INDEX($AH$9:$AH$416,$AF417),0))*$AE417*$D417,0),IF(AND(OR($F417="buy_to_close",$F417="expire",$F417="roll",$F417="assignment",$F417="called_away"),$F417&lt;&gt;"roll",$AG417="put"),-IF($AF417&gt;0,INDEX($AH$9:$AH$416,$AF417),0)*$AE417*$D417,0))))</f>
        <v/>
      </c>
      <c r="AP417" s="51" t="str">
        <f>IF($A417="","",IFERROR(LOOKUP(2,1/($B$9:$B$416=$B417),$AP$9:$AP416),0)+IF($F417="sell_put",$AE417*$D417,IF(AND(OR($F417="buy_to_close",$F417="expire",$F417="roll",$F417="assignment",$F417="called_away"),$F417&lt;&gt;"roll",$AG417="put"),-$AE417*$D417,0)))</f>
        <v/>
      </c>
      <c r="AQ417" s="51" t="str">
        <f>IF($A417="","",IFERROR(LOOKUP(2,1/($B$9:$B$416=$B417),$AQ$9:$AQ416),0)+IF(OR($F417="sell_put",$F417="sell_call"),$AE417,0)-IF(AND(OR($F417="buy_to_close",$F417="expire",$F417="roll",$F417="assignment",$F417="called_away"),$F417&lt;&gt;"roll"),$AE417,0))</f>
        <v/>
      </c>
      <c r="AR417" t="str">
        <f t="shared" si="115"/>
        <v/>
      </c>
      <c r="AS417" s="50" t="str">
        <f t="shared" si="116"/>
        <v/>
      </c>
      <c r="AT417" s="50" t="str">
        <f>IF($A417="","",MAX(IF($T417=IFERROR(LOOKUP(2,1/($B$9:$B$416=$B417),$T$9:$T416),0),IFERROR(LOOKUP(2,1/($B$9:$B$416=$B417),$AT$9:$AT416),0),0),$AS417))</f>
        <v/>
      </c>
      <c r="AU417" t="str">
        <f t="shared" si="117"/>
        <v/>
      </c>
      <c r="AV417" s="51">
        <f>IF($AU417="",0,IF(AND(IFERROR(LOOKUP(2,1/($B$9:$B$416=$B417),$AR$9:$AR416),1),NOT(AND(OR($F417="dividend",$F417="fee"),IFERROR(LOOKUP(2,1/($B$9:$B$416=$B417),$T$9:$T416),0)&gt;0))),ROW(),0))</f>
        <v>0</v>
      </c>
      <c r="AW417">
        <f>IF($A417="",0,IF($AV417&gt;0,MAX($AW$9:$AW$416)+1,MAX($AW$9:$AW$416)))</f>
        <v>0</v>
      </c>
      <c r="AX417">
        <f>IF($AU417="",0,IF(AND($AR417,OR(NOT(IFERROR(LOOKUP(2,1/($B$9:$B$416=$B417),$AR$9:$AR416),1)),IFERROR(LOOKUP(2,1/($B$9:$B$416=$B417),$T$9:$T416),0)=0)),ROW(),0))</f>
        <v>0</v>
      </c>
      <c r="AY417" t="str">
        <f t="shared" si="118"/>
        <v/>
      </c>
    </row>
    <row r="418" spans="1:51" ht="15" x14ac:dyDescent="0.25">
      <c r="A418" s="52" t="str">
        <f>IF(Trades!$A418="","",Trades!O418)</f>
        <v/>
      </c>
      <c r="B418" s="52" t="str">
        <f>IF(Trades!$A418="","",Trades!B418)</f>
        <v/>
      </c>
      <c r="C418" s="52" t="str">
        <f>IF(Trades!$A418="","",Trades!C418)</f>
        <v/>
      </c>
      <c r="D418" s="53" t="str">
        <f>IF(Trades!$A418="","",IF(Trades!$L418&gt;0,Trades!$L418,Trades!$C$6))</f>
        <v/>
      </c>
      <c r="E418" s="54" t="str">
        <f>IF(Trades!$A418="","",Trades!A418)</f>
        <v/>
      </c>
      <c r="F418" s="52" t="str">
        <f>IF(Trades!$A418="","",IFERROR(INDEX(Trades!$V$2:$V$14,MATCH(Trades!$E418,Trades!$U$2:$U$14,0)),""))</f>
        <v/>
      </c>
      <c r="G418" s="52" t="str">
        <f>IF(Trades!$A418="","",Trades!N418)</f>
        <v/>
      </c>
      <c r="H418" s="53" t="str">
        <f>IF(Trades!$A418="","",Trades!F418)</f>
        <v/>
      </c>
      <c r="I418" s="55" t="str">
        <f>IF(Trades!$A418="","",Trades!G418)</f>
        <v/>
      </c>
      <c r="J418" s="55" t="str">
        <f>IF(Trades!$A418="","",Trades!I418)</f>
        <v/>
      </c>
      <c r="K418" s="55" t="str">
        <f>IF(Trades!$A418="","",Trades!Q418)</f>
        <v/>
      </c>
      <c r="L418" s="53" t="str">
        <f>IF(Trades!$A418="","",Trades!F418)</f>
        <v/>
      </c>
      <c r="M418" s="55" t="str">
        <f>IF(Trades!$A418="","",Trades!M418)</f>
        <v/>
      </c>
      <c r="N418" s="55" t="str">
        <f>IF(Trades!$A418="","",Trades!R418)</f>
        <v/>
      </c>
      <c r="O418" s="55" t="str">
        <f>IF(Trades!$A418="","",Trades!J418)</f>
        <v/>
      </c>
      <c r="P418" s="54" t="str">
        <f>IF(Trades!$A418="","",Trades!H418)</f>
        <v/>
      </c>
      <c r="Q418" s="52" t="str">
        <f>IF(Trades!$A418="","",Trades!P418)</f>
        <v/>
      </c>
      <c r="R418" s="56" t="str">
        <f t="shared" si="102"/>
        <v/>
      </c>
      <c r="S418" s="56" t="str">
        <f t="shared" si="103"/>
        <v/>
      </c>
      <c r="T418" s="57" t="str">
        <f>IF(OR($A418="",$B418=""),"",IF(AND(IFERROR(LOOKUP(2,1/($B$9:$B$417=$B418),$AR$9:$AR417),1),NOT(AND(OR($F418="dividend",$F418="fee"),IFERROR(LOOKUP(2,1/($B$9:$B$417=$B418),$T$9:$T417),0)&gt;0))),IFERROR(LOOKUP(2,1/($B$9:$B$417=$B418),$T$9:$T417),0)+1,IFERROR(LOOKUP(2,1/($B$9:$B$417=$B418),$T$9:$T417),0)))</f>
        <v/>
      </c>
      <c r="U418" s="58" t="str">
        <f t="shared" si="104"/>
        <v/>
      </c>
      <c r="V418" s="58" t="str">
        <f>IF($A418="","",IF(OR($B418="",$C418="",$D418="",$E418="",$F418=""),"Missing required field",IF(COUNTIFS($A$9:$A418,$A418,$B$9:$B418,$B418)&gt;1,"Duplicate event ID",IF(AND($E418&lt;&gt;IFERROR(LOOKUP(2,1/($B$9:$B$417=$B418),$E$9:$E417),0),IFERROR(LOOKUP(2,1/($B$9:$B$417=$B418),$E$9:$E417),0)&gt;$E418),"Date out of order",IF(AND(OR($F418="buy_to_close",$F418="expire",$F418="roll",$F418="assignment",$F418="called_away"),$AF418=0),"Unknown lot",IF(OR(AND($F418="assignment",$AF418&gt;0,IF($AF418&gt;0,INDEX($AG$9:$AG$417,$AF418),"")&lt;&gt;"put"),AND($F418="called_away",$AF418&gt;0,IF($AF418&gt;0,INDEX($AG$9:$AG$417,$AF418),"")&lt;&gt;"call")),"Wrong option leg",IF(OR(AND(OR($F418="sell_put",$F418="sell_call"),OR($H418&lt;=0,$I418&lt;=0,$J418&lt;0)),AND(OR($F418="buy_to_close",$F418="expire",$F418="assignment",$F418="called_away"),OR($H418&lt;=0,$J418&lt;0)),AND($F418="roll",OR($H418&lt;=0,$I418&lt;=0,$J418&lt;0,$K418&lt;0)),AND(OR($F418="buy_shares",$F418="sell_shares"),OR($L418&lt;=0,$M418&lt;0)),AND(OR($F418="dividend",$F418="fee"),$N418&lt;0)),"Invalid value",IF(AND(OR($F418="sell_shares",$F418="called_away"),$AL418&lt;IF($F418="called_away",$AE418*$D418,$L418)),"Insufficient shares (capped)",IF(AND(OR($F418="buy_to_close",$F418="expire",$F418="roll",$F418="assignment",$F418="called_away"),$AF418&gt;0,$H418&gt;IF($AF418&gt;0,MAX(0,INDEX($AI$9:$AI$417,$AF418)-SUMIFS($AE$9:$AE$417,$G$9:$G$417,$G418,$B$9:$B$417,$B418)),0)),"Close quantity capped","OK")))))))))</f>
        <v/>
      </c>
      <c r="W418" s="59" t="str">
        <f t="shared" si="105"/>
        <v/>
      </c>
      <c r="X418" s="60" t="str">
        <f t="shared" si="106"/>
        <v/>
      </c>
      <c r="Y418" s="50" t="str">
        <f t="shared" si="107"/>
        <v/>
      </c>
      <c r="Z418" s="50" t="str">
        <f t="shared" si="108"/>
        <v/>
      </c>
      <c r="AA418" s="50" t="str">
        <f t="shared" si="109"/>
        <v/>
      </c>
      <c r="AB418" s="50" t="str">
        <f t="shared" si="110"/>
        <v/>
      </c>
      <c r="AC418" s="50" t="str">
        <f>IF($A418="","",IF($F418="assignment",IF($AF418&gt;0,INDEX($AH$9:$AH$417,$AF418),0)*$AE418*$D418,IF($F418="buy_shares",$M418*$AL418,0)))</f>
        <v/>
      </c>
      <c r="AD418" s="50" t="str">
        <f>IF($A418="","",IF($F418="called_away",IF($AF418&gt;0,INDEX($AH$9:$AH$417,$AF418),0)*$AL418,IF($F418="sell_shares",$M418*$AL418,0)))</f>
        <v/>
      </c>
      <c r="AE418" s="51" t="str">
        <f>IF($A418="","",IF(OR($F418="sell_put",$F418="sell_call"),IF(AND($H418&gt;0,$I418&gt;0,$J418&gt;=0),$H418,0),IF(OR($F418="buy_to_close",$F418="expire",$F418="roll",$F418="assignment",$F418="called_away"),IF(AND($AF418&gt;0,$H418&gt;0,IF($F418="assignment",IF($AF418&gt;0,INDEX($AG$9:$AG$417,$AF418),"")="put",TRUE),IF($F418="called_away",IF($AF418&gt;0,INDEX($AG$9:$AG$417,$AF418),"")="call",TRUE)),MIN($H418,IF($AF418&gt;0,MAX(0,INDEX($AI$9:$AI$417,$AF418)-SUMIFS($AE$9:$AE$417,$G$9:$G$417,$G418,$B$9:$B$417,$B418)),0)),0),0)))</f>
        <v/>
      </c>
      <c r="AF418" t="str">
        <f>IF($A418="","",IFERROR(MATCH(LEN($B418)&amp;":"&amp;$B418&amp;$G418,$AY$9:$AY$417,0),0))</f>
        <v/>
      </c>
      <c r="AG418" t="str">
        <f>IF($A418="","",IF($F418="sell_put","put",IF($F418="sell_call","call",IF($F418="roll",IF($AF418&gt;0,IF($AF418&gt;0,INDEX($AG$9:$AG$417,$AF418),""),""),IF($AF418&gt;0,IF($AF418&gt;0,INDEX($AG$9:$AG$417,$AF418),""),"")))))</f>
        <v/>
      </c>
      <c r="AH418" t="str">
        <f>IF($A418="","",IF(OR($F418="sell_put",$F418="sell_call",$F418="roll"),$I418,IF($AF418&gt;0,IF($AF418&gt;0,INDEX($AH$9:$AH$417,$AF418),0),0)))</f>
        <v/>
      </c>
      <c r="AI418" s="51" t="str">
        <f t="shared" si="111"/>
        <v/>
      </c>
      <c r="AJ418" s="51" t="str">
        <f>IF($A418="","",IFERROR(LOOKUP(2,1/($B$9:$B$417=$B418),$AM$9:$AM417),0))</f>
        <v/>
      </c>
      <c r="AK418" t="str">
        <f>IF($A418="","",IFERROR(LOOKUP(2,1/($B$9:$B$417=$B418),$AN$9:$AN417),0))</f>
        <v/>
      </c>
      <c r="AL418" s="51" t="str">
        <f t="shared" si="112"/>
        <v/>
      </c>
      <c r="AM418" s="51" t="str">
        <f t="shared" si="113"/>
        <v/>
      </c>
      <c r="AN418" t="str">
        <f t="shared" si="114"/>
        <v/>
      </c>
      <c r="AO418" s="50" t="str">
        <f>IF($A418="","",IFERROR(LOOKUP(2,1/($B$9:$B$417=$B418),$AO$9:$AO417),0)+IF($F418="sell_put",$I418*$AE418*$D418,IF($F418="roll",IF($AG418="put",($I418-IF($AF418&gt;0,INDEX($AH$9:$AH$417,$AF418),0))*$AE418*$D418,0),IF(AND(OR($F418="buy_to_close",$F418="expire",$F418="roll",$F418="assignment",$F418="called_away"),$F418&lt;&gt;"roll",$AG418="put"),-IF($AF418&gt;0,INDEX($AH$9:$AH$417,$AF418),0)*$AE418*$D418,0))))</f>
        <v/>
      </c>
      <c r="AP418" s="51" t="str">
        <f>IF($A418="","",IFERROR(LOOKUP(2,1/($B$9:$B$417=$B418),$AP$9:$AP417),0)+IF($F418="sell_put",$AE418*$D418,IF(AND(OR($F418="buy_to_close",$F418="expire",$F418="roll",$F418="assignment",$F418="called_away"),$F418&lt;&gt;"roll",$AG418="put"),-$AE418*$D418,0)))</f>
        <v/>
      </c>
      <c r="AQ418" s="51" t="str">
        <f>IF($A418="","",IFERROR(LOOKUP(2,1/($B$9:$B$417=$B418),$AQ$9:$AQ417),0)+IF(OR($F418="sell_put",$F418="sell_call"),$AE418,0)-IF(AND(OR($F418="buy_to_close",$F418="expire",$F418="roll",$F418="assignment",$F418="called_away"),$F418&lt;&gt;"roll"),$AE418,0))</f>
        <v/>
      </c>
      <c r="AR418" t="str">
        <f t="shared" si="115"/>
        <v/>
      </c>
      <c r="AS418" s="50" t="str">
        <f t="shared" si="116"/>
        <v/>
      </c>
      <c r="AT418" s="50" t="str">
        <f>IF($A418="","",MAX(IF($T418=IFERROR(LOOKUP(2,1/($B$9:$B$417=$B418),$T$9:$T417),0),IFERROR(LOOKUP(2,1/($B$9:$B$417=$B418),$AT$9:$AT417),0),0),$AS418))</f>
        <v/>
      </c>
      <c r="AU418" t="str">
        <f t="shared" si="117"/>
        <v/>
      </c>
      <c r="AV418" s="51">
        <f>IF($AU418="",0,IF(AND(IFERROR(LOOKUP(2,1/($B$9:$B$417=$B418),$AR$9:$AR417),1),NOT(AND(OR($F418="dividend",$F418="fee"),IFERROR(LOOKUP(2,1/($B$9:$B$417=$B418),$T$9:$T417),0)&gt;0))),ROW(),0))</f>
        <v>0</v>
      </c>
      <c r="AW418">
        <f>IF($A418="",0,IF($AV418&gt;0,MAX($AW$9:$AW$417)+1,MAX($AW$9:$AW$417)))</f>
        <v>0</v>
      </c>
      <c r="AX418">
        <f>IF($AU418="",0,IF(AND($AR418,OR(NOT(IFERROR(LOOKUP(2,1/($B$9:$B$417=$B418),$AR$9:$AR417),1)),IFERROR(LOOKUP(2,1/($B$9:$B$417=$B418),$T$9:$T417),0)=0)),ROW(),0))</f>
        <v>0</v>
      </c>
      <c r="AY418" t="str">
        <f t="shared" si="118"/>
        <v/>
      </c>
    </row>
    <row r="419" spans="1:51" ht="15" x14ac:dyDescent="0.25">
      <c r="A419" s="41" t="str">
        <f>IF(Trades!$A419="","",Trades!O419)</f>
        <v/>
      </c>
      <c r="B419" s="41" t="str">
        <f>IF(Trades!$A419="","",Trades!B419)</f>
        <v/>
      </c>
      <c r="C419" s="41" t="str">
        <f>IF(Trades!$A419="","",Trades!C419)</f>
        <v/>
      </c>
      <c r="D419" s="42" t="str">
        <f>IF(Trades!$A419="","",IF(Trades!$L419&gt;0,Trades!$L419,Trades!$C$6))</f>
        <v/>
      </c>
      <c r="E419" s="43" t="str">
        <f>IF(Trades!$A419="","",Trades!A419)</f>
        <v/>
      </c>
      <c r="F419" s="41" t="str">
        <f>IF(Trades!$A419="","",IFERROR(INDEX(Trades!$V$2:$V$14,MATCH(Trades!$E419,Trades!$U$2:$U$14,0)),""))</f>
        <v/>
      </c>
      <c r="G419" s="41" t="str">
        <f>IF(Trades!$A419="","",Trades!N419)</f>
        <v/>
      </c>
      <c r="H419" s="42" t="str">
        <f>IF(Trades!$A419="","",Trades!F419)</f>
        <v/>
      </c>
      <c r="I419" s="44" t="str">
        <f>IF(Trades!$A419="","",Trades!G419)</f>
        <v/>
      </c>
      <c r="J419" s="44" t="str">
        <f>IF(Trades!$A419="","",Trades!I419)</f>
        <v/>
      </c>
      <c r="K419" s="44" t="str">
        <f>IF(Trades!$A419="","",Trades!Q419)</f>
        <v/>
      </c>
      <c r="L419" s="42" t="str">
        <f>IF(Trades!$A419="","",Trades!F419)</f>
        <v/>
      </c>
      <c r="M419" s="44" t="str">
        <f>IF(Trades!$A419="","",Trades!M419)</f>
        <v/>
      </c>
      <c r="N419" s="44" t="str">
        <f>IF(Trades!$A419="","",Trades!R419)</f>
        <v/>
      </c>
      <c r="O419" s="44" t="str">
        <f>IF(Trades!$A419="","",Trades!J419)</f>
        <v/>
      </c>
      <c r="P419" s="43" t="str">
        <f>IF(Trades!$A419="","",Trades!H419)</f>
        <v/>
      </c>
      <c r="Q419" s="41" t="str">
        <f>IF(Trades!$A419="","",Trades!P419)</f>
        <v/>
      </c>
      <c r="R419" s="45" t="str">
        <f t="shared" si="102"/>
        <v/>
      </c>
      <c r="S419" s="45" t="str">
        <f t="shared" si="103"/>
        <v/>
      </c>
      <c r="T419" s="46" t="str">
        <f>IF(OR($A419="",$B419=""),"",IF(AND(IFERROR(LOOKUP(2,1/($B$9:$B$418=$B419),$AR$9:$AR418),1),NOT(AND(OR($F419="dividend",$F419="fee"),IFERROR(LOOKUP(2,1/($B$9:$B$418=$B419),$T$9:$T418),0)&gt;0))),IFERROR(LOOKUP(2,1/($B$9:$B$418=$B419),$T$9:$T418),0)+1,IFERROR(LOOKUP(2,1/($B$9:$B$418=$B419),$T$9:$T418),0)))</f>
        <v/>
      </c>
      <c r="U419" s="47" t="str">
        <f t="shared" si="104"/>
        <v/>
      </c>
      <c r="V419" s="47" t="str">
        <f>IF($A419="","",IF(OR($B419="",$C419="",$D419="",$E419="",$F419=""),"Missing required field",IF(COUNTIFS($A$9:$A419,$A419,$B$9:$B419,$B419)&gt;1,"Duplicate event ID",IF(AND($E419&lt;&gt;IFERROR(LOOKUP(2,1/($B$9:$B$418=$B419),$E$9:$E418),0),IFERROR(LOOKUP(2,1/($B$9:$B$418=$B419),$E$9:$E418),0)&gt;$E419),"Date out of order",IF(AND(OR($F419="buy_to_close",$F419="expire",$F419="roll",$F419="assignment",$F419="called_away"),$AF419=0),"Unknown lot",IF(OR(AND($F419="assignment",$AF419&gt;0,IF($AF419&gt;0,INDEX($AG$9:$AG$418,$AF419),"")&lt;&gt;"put"),AND($F419="called_away",$AF419&gt;0,IF($AF419&gt;0,INDEX($AG$9:$AG$418,$AF419),"")&lt;&gt;"call")),"Wrong option leg",IF(OR(AND(OR($F419="sell_put",$F419="sell_call"),OR($H419&lt;=0,$I419&lt;=0,$J419&lt;0)),AND(OR($F419="buy_to_close",$F419="expire",$F419="assignment",$F419="called_away"),OR($H419&lt;=0,$J419&lt;0)),AND($F419="roll",OR($H419&lt;=0,$I419&lt;=0,$J419&lt;0,$K419&lt;0)),AND(OR($F419="buy_shares",$F419="sell_shares"),OR($L419&lt;=0,$M419&lt;0)),AND(OR($F419="dividend",$F419="fee"),$N419&lt;0)),"Invalid value",IF(AND(OR($F419="sell_shares",$F419="called_away"),$AL419&lt;IF($F419="called_away",$AE419*$D419,$L419)),"Insufficient shares (capped)",IF(AND(OR($F419="buy_to_close",$F419="expire",$F419="roll",$F419="assignment",$F419="called_away"),$AF419&gt;0,$H419&gt;IF($AF419&gt;0,MAX(0,INDEX($AI$9:$AI$418,$AF419)-SUMIFS($AE$9:$AE$418,$G$9:$G$418,$G419,$B$9:$B$418,$B419)),0)),"Close quantity capped","OK")))))))))</f>
        <v/>
      </c>
      <c r="W419" s="48" t="str">
        <f t="shared" si="105"/>
        <v/>
      </c>
      <c r="X419" s="49" t="str">
        <f t="shared" si="106"/>
        <v/>
      </c>
      <c r="Y419" s="50" t="str">
        <f t="shared" si="107"/>
        <v/>
      </c>
      <c r="Z419" s="50" t="str">
        <f t="shared" si="108"/>
        <v/>
      </c>
      <c r="AA419" s="50" t="str">
        <f t="shared" si="109"/>
        <v/>
      </c>
      <c r="AB419" s="50" t="str">
        <f t="shared" si="110"/>
        <v/>
      </c>
      <c r="AC419" s="50" t="str">
        <f>IF($A419="","",IF($F419="assignment",IF($AF419&gt;0,INDEX($AH$9:$AH$418,$AF419),0)*$AE419*$D419,IF($F419="buy_shares",$M419*$AL419,0)))</f>
        <v/>
      </c>
      <c r="AD419" s="50" t="str">
        <f>IF($A419="","",IF($F419="called_away",IF($AF419&gt;0,INDEX($AH$9:$AH$418,$AF419),0)*$AL419,IF($F419="sell_shares",$M419*$AL419,0)))</f>
        <v/>
      </c>
      <c r="AE419" s="51" t="str">
        <f>IF($A419="","",IF(OR($F419="sell_put",$F419="sell_call"),IF(AND($H419&gt;0,$I419&gt;0,$J419&gt;=0),$H419,0),IF(OR($F419="buy_to_close",$F419="expire",$F419="roll",$F419="assignment",$F419="called_away"),IF(AND($AF419&gt;0,$H419&gt;0,IF($F419="assignment",IF($AF419&gt;0,INDEX($AG$9:$AG$418,$AF419),"")="put",TRUE),IF($F419="called_away",IF($AF419&gt;0,INDEX($AG$9:$AG$418,$AF419),"")="call",TRUE)),MIN($H419,IF($AF419&gt;0,MAX(0,INDEX($AI$9:$AI$418,$AF419)-SUMIFS($AE$9:$AE$418,$G$9:$G$418,$G419,$B$9:$B$418,$B419)),0)),0),0)))</f>
        <v/>
      </c>
      <c r="AF419" t="str">
        <f>IF($A419="","",IFERROR(MATCH(LEN($B419)&amp;":"&amp;$B419&amp;$G419,$AY$9:$AY$418,0),0))</f>
        <v/>
      </c>
      <c r="AG419" t="str">
        <f>IF($A419="","",IF($F419="sell_put","put",IF($F419="sell_call","call",IF($F419="roll",IF($AF419&gt;0,IF($AF419&gt;0,INDEX($AG$9:$AG$418,$AF419),""),""),IF($AF419&gt;0,IF($AF419&gt;0,INDEX($AG$9:$AG$418,$AF419),""),"")))))</f>
        <v/>
      </c>
      <c r="AH419" t="str">
        <f>IF($A419="","",IF(OR($F419="sell_put",$F419="sell_call",$F419="roll"),$I419,IF($AF419&gt;0,IF($AF419&gt;0,INDEX($AH$9:$AH$418,$AF419),0),0)))</f>
        <v/>
      </c>
      <c r="AI419" s="51" t="str">
        <f t="shared" si="111"/>
        <v/>
      </c>
      <c r="AJ419" s="51" t="str">
        <f>IF($A419="","",IFERROR(LOOKUP(2,1/($B$9:$B$418=$B419),$AM$9:$AM418),0))</f>
        <v/>
      </c>
      <c r="AK419" t="str">
        <f>IF($A419="","",IFERROR(LOOKUP(2,1/($B$9:$B$418=$B419),$AN$9:$AN418),0))</f>
        <v/>
      </c>
      <c r="AL419" s="51" t="str">
        <f t="shared" si="112"/>
        <v/>
      </c>
      <c r="AM419" s="51" t="str">
        <f t="shared" si="113"/>
        <v/>
      </c>
      <c r="AN419" t="str">
        <f t="shared" si="114"/>
        <v/>
      </c>
      <c r="AO419" s="50" t="str">
        <f>IF($A419="","",IFERROR(LOOKUP(2,1/($B$9:$B$418=$B419),$AO$9:$AO418),0)+IF($F419="sell_put",$I419*$AE419*$D419,IF($F419="roll",IF($AG419="put",($I419-IF($AF419&gt;0,INDEX($AH$9:$AH$418,$AF419),0))*$AE419*$D419,0),IF(AND(OR($F419="buy_to_close",$F419="expire",$F419="roll",$F419="assignment",$F419="called_away"),$F419&lt;&gt;"roll",$AG419="put"),-IF($AF419&gt;0,INDEX($AH$9:$AH$418,$AF419),0)*$AE419*$D419,0))))</f>
        <v/>
      </c>
      <c r="AP419" s="51" t="str">
        <f>IF($A419="","",IFERROR(LOOKUP(2,1/($B$9:$B$418=$B419),$AP$9:$AP418),0)+IF($F419="sell_put",$AE419*$D419,IF(AND(OR($F419="buy_to_close",$F419="expire",$F419="roll",$F419="assignment",$F419="called_away"),$F419&lt;&gt;"roll",$AG419="put"),-$AE419*$D419,0)))</f>
        <v/>
      </c>
      <c r="AQ419" s="51" t="str">
        <f>IF($A419="","",IFERROR(LOOKUP(2,1/($B$9:$B$418=$B419),$AQ$9:$AQ418),0)+IF(OR($F419="sell_put",$F419="sell_call"),$AE419,0)-IF(AND(OR($F419="buy_to_close",$F419="expire",$F419="roll",$F419="assignment",$F419="called_away"),$F419&lt;&gt;"roll"),$AE419,0))</f>
        <v/>
      </c>
      <c r="AR419" t="str">
        <f t="shared" si="115"/>
        <v/>
      </c>
      <c r="AS419" s="50" t="str">
        <f t="shared" si="116"/>
        <v/>
      </c>
      <c r="AT419" s="50" t="str">
        <f>IF($A419="","",MAX(IF($T419=IFERROR(LOOKUP(2,1/($B$9:$B$418=$B419),$T$9:$T418),0),IFERROR(LOOKUP(2,1/($B$9:$B$418=$B419),$AT$9:$AT418),0),0),$AS419))</f>
        <v/>
      </c>
      <c r="AU419" t="str">
        <f t="shared" si="117"/>
        <v/>
      </c>
      <c r="AV419" s="51">
        <f>IF($AU419="",0,IF(AND(IFERROR(LOOKUP(2,1/($B$9:$B$418=$B419),$AR$9:$AR418),1),NOT(AND(OR($F419="dividend",$F419="fee"),IFERROR(LOOKUP(2,1/($B$9:$B$418=$B419),$T$9:$T418),0)&gt;0))),ROW(),0))</f>
        <v>0</v>
      </c>
      <c r="AW419">
        <f>IF($A419="",0,IF($AV419&gt;0,MAX($AW$9:$AW$418)+1,MAX($AW$9:$AW$418)))</f>
        <v>0</v>
      </c>
      <c r="AX419">
        <f>IF($AU419="",0,IF(AND($AR419,OR(NOT(IFERROR(LOOKUP(2,1/($B$9:$B$418=$B419),$AR$9:$AR418),1)),IFERROR(LOOKUP(2,1/($B$9:$B$418=$B419),$T$9:$T418),0)=0)),ROW(),0))</f>
        <v>0</v>
      </c>
      <c r="AY419" t="str">
        <f t="shared" si="118"/>
        <v/>
      </c>
    </row>
    <row r="420" spans="1:51" ht="15" x14ac:dyDescent="0.25">
      <c r="A420" s="52" t="str">
        <f>IF(Trades!$A420="","",Trades!O420)</f>
        <v/>
      </c>
      <c r="B420" s="52" t="str">
        <f>IF(Trades!$A420="","",Trades!B420)</f>
        <v/>
      </c>
      <c r="C420" s="52" t="str">
        <f>IF(Trades!$A420="","",Trades!C420)</f>
        <v/>
      </c>
      <c r="D420" s="53" t="str">
        <f>IF(Trades!$A420="","",IF(Trades!$L420&gt;0,Trades!$L420,Trades!$C$6))</f>
        <v/>
      </c>
      <c r="E420" s="54" t="str">
        <f>IF(Trades!$A420="","",Trades!A420)</f>
        <v/>
      </c>
      <c r="F420" s="52" t="str">
        <f>IF(Trades!$A420="","",IFERROR(INDEX(Trades!$V$2:$V$14,MATCH(Trades!$E420,Trades!$U$2:$U$14,0)),""))</f>
        <v/>
      </c>
      <c r="G420" s="52" t="str">
        <f>IF(Trades!$A420="","",Trades!N420)</f>
        <v/>
      </c>
      <c r="H420" s="53" t="str">
        <f>IF(Trades!$A420="","",Trades!F420)</f>
        <v/>
      </c>
      <c r="I420" s="55" t="str">
        <f>IF(Trades!$A420="","",Trades!G420)</f>
        <v/>
      </c>
      <c r="J420" s="55" t="str">
        <f>IF(Trades!$A420="","",Trades!I420)</f>
        <v/>
      </c>
      <c r="K420" s="55" t="str">
        <f>IF(Trades!$A420="","",Trades!Q420)</f>
        <v/>
      </c>
      <c r="L420" s="53" t="str">
        <f>IF(Trades!$A420="","",Trades!F420)</f>
        <v/>
      </c>
      <c r="M420" s="55" t="str">
        <f>IF(Trades!$A420="","",Trades!M420)</f>
        <v/>
      </c>
      <c r="N420" s="55" t="str">
        <f>IF(Trades!$A420="","",Trades!R420)</f>
        <v/>
      </c>
      <c r="O420" s="55" t="str">
        <f>IF(Trades!$A420="","",Trades!J420)</f>
        <v/>
      </c>
      <c r="P420" s="54" t="str">
        <f>IF(Trades!$A420="","",Trades!H420)</f>
        <v/>
      </c>
      <c r="Q420" s="52" t="str">
        <f>IF(Trades!$A420="","",Trades!P420)</f>
        <v/>
      </c>
      <c r="R420" s="56" t="str">
        <f t="shared" si="102"/>
        <v/>
      </c>
      <c r="S420" s="56" t="str">
        <f t="shared" si="103"/>
        <v/>
      </c>
      <c r="T420" s="57" t="str">
        <f>IF(OR($A420="",$B420=""),"",IF(AND(IFERROR(LOOKUP(2,1/($B$9:$B$419=$B420),$AR$9:$AR419),1),NOT(AND(OR($F420="dividend",$F420="fee"),IFERROR(LOOKUP(2,1/($B$9:$B$419=$B420),$T$9:$T419),0)&gt;0))),IFERROR(LOOKUP(2,1/($B$9:$B$419=$B420),$T$9:$T419),0)+1,IFERROR(LOOKUP(2,1/($B$9:$B$419=$B420),$T$9:$T419),0)))</f>
        <v/>
      </c>
      <c r="U420" s="58" t="str">
        <f t="shared" si="104"/>
        <v/>
      </c>
      <c r="V420" s="58" t="str">
        <f>IF($A420="","",IF(OR($B420="",$C420="",$D420="",$E420="",$F420=""),"Missing required field",IF(COUNTIFS($A$9:$A420,$A420,$B$9:$B420,$B420)&gt;1,"Duplicate event ID",IF(AND($E420&lt;&gt;IFERROR(LOOKUP(2,1/($B$9:$B$419=$B420),$E$9:$E419),0),IFERROR(LOOKUP(2,1/($B$9:$B$419=$B420),$E$9:$E419),0)&gt;$E420),"Date out of order",IF(AND(OR($F420="buy_to_close",$F420="expire",$F420="roll",$F420="assignment",$F420="called_away"),$AF420=0),"Unknown lot",IF(OR(AND($F420="assignment",$AF420&gt;0,IF($AF420&gt;0,INDEX($AG$9:$AG$419,$AF420),"")&lt;&gt;"put"),AND($F420="called_away",$AF420&gt;0,IF($AF420&gt;0,INDEX($AG$9:$AG$419,$AF420),"")&lt;&gt;"call")),"Wrong option leg",IF(OR(AND(OR($F420="sell_put",$F420="sell_call"),OR($H420&lt;=0,$I420&lt;=0,$J420&lt;0)),AND(OR($F420="buy_to_close",$F420="expire",$F420="assignment",$F420="called_away"),OR($H420&lt;=0,$J420&lt;0)),AND($F420="roll",OR($H420&lt;=0,$I420&lt;=0,$J420&lt;0,$K420&lt;0)),AND(OR($F420="buy_shares",$F420="sell_shares"),OR($L420&lt;=0,$M420&lt;0)),AND(OR($F420="dividend",$F420="fee"),$N420&lt;0)),"Invalid value",IF(AND(OR($F420="sell_shares",$F420="called_away"),$AL420&lt;IF($F420="called_away",$AE420*$D420,$L420)),"Insufficient shares (capped)",IF(AND(OR($F420="buy_to_close",$F420="expire",$F420="roll",$F420="assignment",$F420="called_away"),$AF420&gt;0,$H420&gt;IF($AF420&gt;0,MAX(0,INDEX($AI$9:$AI$419,$AF420)-SUMIFS($AE$9:$AE$419,$G$9:$G$419,$G420,$B$9:$B$419,$B420)),0)),"Close quantity capped","OK")))))))))</f>
        <v/>
      </c>
      <c r="W420" s="59" t="str">
        <f t="shared" si="105"/>
        <v/>
      </c>
      <c r="X420" s="60" t="str">
        <f t="shared" si="106"/>
        <v/>
      </c>
      <c r="Y420" s="50" t="str">
        <f t="shared" si="107"/>
        <v/>
      </c>
      <c r="Z420" s="50" t="str">
        <f t="shared" si="108"/>
        <v/>
      </c>
      <c r="AA420" s="50" t="str">
        <f t="shared" si="109"/>
        <v/>
      </c>
      <c r="AB420" s="50" t="str">
        <f t="shared" si="110"/>
        <v/>
      </c>
      <c r="AC420" s="50" t="str">
        <f>IF($A420="","",IF($F420="assignment",IF($AF420&gt;0,INDEX($AH$9:$AH$419,$AF420),0)*$AE420*$D420,IF($F420="buy_shares",$M420*$AL420,0)))</f>
        <v/>
      </c>
      <c r="AD420" s="50" t="str">
        <f>IF($A420="","",IF($F420="called_away",IF($AF420&gt;0,INDEX($AH$9:$AH$419,$AF420),0)*$AL420,IF($F420="sell_shares",$M420*$AL420,0)))</f>
        <v/>
      </c>
      <c r="AE420" s="51" t="str">
        <f>IF($A420="","",IF(OR($F420="sell_put",$F420="sell_call"),IF(AND($H420&gt;0,$I420&gt;0,$J420&gt;=0),$H420,0),IF(OR($F420="buy_to_close",$F420="expire",$F420="roll",$F420="assignment",$F420="called_away"),IF(AND($AF420&gt;0,$H420&gt;0,IF($F420="assignment",IF($AF420&gt;0,INDEX($AG$9:$AG$419,$AF420),"")="put",TRUE),IF($F420="called_away",IF($AF420&gt;0,INDEX($AG$9:$AG$419,$AF420),"")="call",TRUE)),MIN($H420,IF($AF420&gt;0,MAX(0,INDEX($AI$9:$AI$419,$AF420)-SUMIFS($AE$9:$AE$419,$G$9:$G$419,$G420,$B$9:$B$419,$B420)),0)),0),0)))</f>
        <v/>
      </c>
      <c r="AF420" t="str">
        <f>IF($A420="","",IFERROR(MATCH(LEN($B420)&amp;":"&amp;$B420&amp;$G420,$AY$9:$AY$419,0),0))</f>
        <v/>
      </c>
      <c r="AG420" t="str">
        <f>IF($A420="","",IF($F420="sell_put","put",IF($F420="sell_call","call",IF($F420="roll",IF($AF420&gt;0,IF($AF420&gt;0,INDEX($AG$9:$AG$419,$AF420),""),""),IF($AF420&gt;0,IF($AF420&gt;0,INDEX($AG$9:$AG$419,$AF420),""),"")))))</f>
        <v/>
      </c>
      <c r="AH420" t="str">
        <f>IF($A420="","",IF(OR($F420="sell_put",$F420="sell_call",$F420="roll"),$I420,IF($AF420&gt;0,IF($AF420&gt;0,INDEX($AH$9:$AH$419,$AF420),0),0)))</f>
        <v/>
      </c>
      <c r="AI420" s="51" t="str">
        <f t="shared" si="111"/>
        <v/>
      </c>
      <c r="AJ420" s="51" t="str">
        <f>IF($A420="","",IFERROR(LOOKUP(2,1/($B$9:$B$419=$B420),$AM$9:$AM419),0))</f>
        <v/>
      </c>
      <c r="AK420" t="str">
        <f>IF($A420="","",IFERROR(LOOKUP(2,1/($B$9:$B$419=$B420),$AN$9:$AN419),0))</f>
        <v/>
      </c>
      <c r="AL420" s="51" t="str">
        <f t="shared" si="112"/>
        <v/>
      </c>
      <c r="AM420" s="51" t="str">
        <f t="shared" si="113"/>
        <v/>
      </c>
      <c r="AN420" t="str">
        <f t="shared" si="114"/>
        <v/>
      </c>
      <c r="AO420" s="50" t="str">
        <f>IF($A420="","",IFERROR(LOOKUP(2,1/($B$9:$B$419=$B420),$AO$9:$AO419),0)+IF($F420="sell_put",$I420*$AE420*$D420,IF($F420="roll",IF($AG420="put",($I420-IF($AF420&gt;0,INDEX($AH$9:$AH$419,$AF420),0))*$AE420*$D420,0),IF(AND(OR($F420="buy_to_close",$F420="expire",$F420="roll",$F420="assignment",$F420="called_away"),$F420&lt;&gt;"roll",$AG420="put"),-IF($AF420&gt;0,INDEX($AH$9:$AH$419,$AF420),0)*$AE420*$D420,0))))</f>
        <v/>
      </c>
      <c r="AP420" s="51" t="str">
        <f>IF($A420="","",IFERROR(LOOKUP(2,1/($B$9:$B$419=$B420),$AP$9:$AP419),0)+IF($F420="sell_put",$AE420*$D420,IF(AND(OR($F420="buy_to_close",$F420="expire",$F420="roll",$F420="assignment",$F420="called_away"),$F420&lt;&gt;"roll",$AG420="put"),-$AE420*$D420,0)))</f>
        <v/>
      </c>
      <c r="AQ420" s="51" t="str">
        <f>IF($A420="","",IFERROR(LOOKUP(2,1/($B$9:$B$419=$B420),$AQ$9:$AQ419),0)+IF(OR($F420="sell_put",$F420="sell_call"),$AE420,0)-IF(AND(OR($F420="buy_to_close",$F420="expire",$F420="roll",$F420="assignment",$F420="called_away"),$F420&lt;&gt;"roll"),$AE420,0))</f>
        <v/>
      </c>
      <c r="AR420" t="str">
        <f t="shared" si="115"/>
        <v/>
      </c>
      <c r="AS420" s="50" t="str">
        <f t="shared" si="116"/>
        <v/>
      </c>
      <c r="AT420" s="50" t="str">
        <f>IF($A420="","",MAX(IF($T420=IFERROR(LOOKUP(2,1/($B$9:$B$419=$B420),$T$9:$T419),0),IFERROR(LOOKUP(2,1/($B$9:$B$419=$B420),$AT$9:$AT419),0),0),$AS420))</f>
        <v/>
      </c>
      <c r="AU420" t="str">
        <f t="shared" si="117"/>
        <v/>
      </c>
      <c r="AV420" s="51">
        <f>IF($AU420="",0,IF(AND(IFERROR(LOOKUP(2,1/($B$9:$B$419=$B420),$AR$9:$AR419),1),NOT(AND(OR($F420="dividend",$F420="fee"),IFERROR(LOOKUP(2,1/($B$9:$B$419=$B420),$T$9:$T419),0)&gt;0))),ROW(),0))</f>
        <v>0</v>
      </c>
      <c r="AW420">
        <f>IF($A420="",0,IF($AV420&gt;0,MAX($AW$9:$AW$419)+1,MAX($AW$9:$AW$419)))</f>
        <v>0</v>
      </c>
      <c r="AX420">
        <f>IF($AU420="",0,IF(AND($AR420,OR(NOT(IFERROR(LOOKUP(2,1/($B$9:$B$419=$B420),$AR$9:$AR419),1)),IFERROR(LOOKUP(2,1/($B$9:$B$419=$B420),$T$9:$T419),0)=0)),ROW(),0))</f>
        <v>0</v>
      </c>
      <c r="AY420" t="str">
        <f t="shared" si="118"/>
        <v/>
      </c>
    </row>
    <row r="421" spans="1:51" ht="15" x14ac:dyDescent="0.25">
      <c r="A421" s="41" t="str">
        <f>IF(Trades!$A421="","",Trades!O421)</f>
        <v/>
      </c>
      <c r="B421" s="41" t="str">
        <f>IF(Trades!$A421="","",Trades!B421)</f>
        <v/>
      </c>
      <c r="C421" s="41" t="str">
        <f>IF(Trades!$A421="","",Trades!C421)</f>
        <v/>
      </c>
      <c r="D421" s="42" t="str">
        <f>IF(Trades!$A421="","",IF(Trades!$L421&gt;0,Trades!$L421,Trades!$C$6))</f>
        <v/>
      </c>
      <c r="E421" s="43" t="str">
        <f>IF(Trades!$A421="","",Trades!A421)</f>
        <v/>
      </c>
      <c r="F421" s="41" t="str">
        <f>IF(Trades!$A421="","",IFERROR(INDEX(Trades!$V$2:$V$14,MATCH(Trades!$E421,Trades!$U$2:$U$14,0)),""))</f>
        <v/>
      </c>
      <c r="G421" s="41" t="str">
        <f>IF(Trades!$A421="","",Trades!N421)</f>
        <v/>
      </c>
      <c r="H421" s="42" t="str">
        <f>IF(Trades!$A421="","",Trades!F421)</f>
        <v/>
      </c>
      <c r="I421" s="44" t="str">
        <f>IF(Trades!$A421="","",Trades!G421)</f>
        <v/>
      </c>
      <c r="J421" s="44" t="str">
        <f>IF(Trades!$A421="","",Trades!I421)</f>
        <v/>
      </c>
      <c r="K421" s="44" t="str">
        <f>IF(Trades!$A421="","",Trades!Q421)</f>
        <v/>
      </c>
      <c r="L421" s="42" t="str">
        <f>IF(Trades!$A421="","",Trades!F421)</f>
        <v/>
      </c>
      <c r="M421" s="44" t="str">
        <f>IF(Trades!$A421="","",Trades!M421)</f>
        <v/>
      </c>
      <c r="N421" s="44" t="str">
        <f>IF(Trades!$A421="","",Trades!R421)</f>
        <v/>
      </c>
      <c r="O421" s="44" t="str">
        <f>IF(Trades!$A421="","",Trades!J421)</f>
        <v/>
      </c>
      <c r="P421" s="43" t="str">
        <f>IF(Trades!$A421="","",Trades!H421)</f>
        <v/>
      </c>
      <c r="Q421" s="41" t="str">
        <f>IF(Trades!$A421="","",Trades!P421)</f>
        <v/>
      </c>
      <c r="R421" s="45" t="str">
        <f t="shared" si="102"/>
        <v/>
      </c>
      <c r="S421" s="45" t="str">
        <f t="shared" si="103"/>
        <v/>
      </c>
      <c r="T421" s="46" t="str">
        <f>IF(OR($A421="",$B421=""),"",IF(AND(IFERROR(LOOKUP(2,1/($B$9:$B$420=$B421),$AR$9:$AR420),1),NOT(AND(OR($F421="dividend",$F421="fee"),IFERROR(LOOKUP(2,1/($B$9:$B$420=$B421),$T$9:$T420),0)&gt;0))),IFERROR(LOOKUP(2,1/($B$9:$B$420=$B421),$T$9:$T420),0)+1,IFERROR(LOOKUP(2,1/($B$9:$B$420=$B421),$T$9:$T420),0)))</f>
        <v/>
      </c>
      <c r="U421" s="47" t="str">
        <f t="shared" si="104"/>
        <v/>
      </c>
      <c r="V421" s="47" t="str">
        <f>IF($A421="","",IF(OR($B421="",$C421="",$D421="",$E421="",$F421=""),"Missing required field",IF(COUNTIFS($A$9:$A421,$A421,$B$9:$B421,$B421)&gt;1,"Duplicate event ID",IF(AND($E421&lt;&gt;IFERROR(LOOKUP(2,1/($B$9:$B$420=$B421),$E$9:$E420),0),IFERROR(LOOKUP(2,1/($B$9:$B$420=$B421),$E$9:$E420),0)&gt;$E421),"Date out of order",IF(AND(OR($F421="buy_to_close",$F421="expire",$F421="roll",$F421="assignment",$F421="called_away"),$AF421=0),"Unknown lot",IF(OR(AND($F421="assignment",$AF421&gt;0,IF($AF421&gt;0,INDEX($AG$9:$AG$420,$AF421),"")&lt;&gt;"put"),AND($F421="called_away",$AF421&gt;0,IF($AF421&gt;0,INDEX($AG$9:$AG$420,$AF421),"")&lt;&gt;"call")),"Wrong option leg",IF(OR(AND(OR($F421="sell_put",$F421="sell_call"),OR($H421&lt;=0,$I421&lt;=0,$J421&lt;0)),AND(OR($F421="buy_to_close",$F421="expire",$F421="assignment",$F421="called_away"),OR($H421&lt;=0,$J421&lt;0)),AND($F421="roll",OR($H421&lt;=0,$I421&lt;=0,$J421&lt;0,$K421&lt;0)),AND(OR($F421="buy_shares",$F421="sell_shares"),OR($L421&lt;=0,$M421&lt;0)),AND(OR($F421="dividend",$F421="fee"),$N421&lt;0)),"Invalid value",IF(AND(OR($F421="sell_shares",$F421="called_away"),$AL421&lt;IF($F421="called_away",$AE421*$D421,$L421)),"Insufficient shares (capped)",IF(AND(OR($F421="buy_to_close",$F421="expire",$F421="roll",$F421="assignment",$F421="called_away"),$AF421&gt;0,$H421&gt;IF($AF421&gt;0,MAX(0,INDEX($AI$9:$AI$420,$AF421)-SUMIFS($AE$9:$AE$420,$G$9:$G$420,$G421,$B$9:$B$420,$B421)),0)),"Close quantity capped","OK")))))))))</f>
        <v/>
      </c>
      <c r="W421" s="48" t="str">
        <f t="shared" si="105"/>
        <v/>
      </c>
      <c r="X421" s="49" t="str">
        <f t="shared" si="106"/>
        <v/>
      </c>
      <c r="Y421" s="50" t="str">
        <f t="shared" si="107"/>
        <v/>
      </c>
      <c r="Z421" s="50" t="str">
        <f t="shared" si="108"/>
        <v/>
      </c>
      <c r="AA421" s="50" t="str">
        <f t="shared" si="109"/>
        <v/>
      </c>
      <c r="AB421" s="50" t="str">
        <f t="shared" si="110"/>
        <v/>
      </c>
      <c r="AC421" s="50" t="str">
        <f>IF($A421="","",IF($F421="assignment",IF($AF421&gt;0,INDEX($AH$9:$AH$420,$AF421),0)*$AE421*$D421,IF($F421="buy_shares",$M421*$AL421,0)))</f>
        <v/>
      </c>
      <c r="AD421" s="50" t="str">
        <f>IF($A421="","",IF($F421="called_away",IF($AF421&gt;0,INDEX($AH$9:$AH$420,$AF421),0)*$AL421,IF($F421="sell_shares",$M421*$AL421,0)))</f>
        <v/>
      </c>
      <c r="AE421" s="51" t="str">
        <f>IF($A421="","",IF(OR($F421="sell_put",$F421="sell_call"),IF(AND($H421&gt;0,$I421&gt;0,$J421&gt;=0),$H421,0),IF(OR($F421="buy_to_close",$F421="expire",$F421="roll",$F421="assignment",$F421="called_away"),IF(AND($AF421&gt;0,$H421&gt;0,IF($F421="assignment",IF($AF421&gt;0,INDEX($AG$9:$AG$420,$AF421),"")="put",TRUE),IF($F421="called_away",IF($AF421&gt;0,INDEX($AG$9:$AG$420,$AF421),"")="call",TRUE)),MIN($H421,IF($AF421&gt;0,MAX(0,INDEX($AI$9:$AI$420,$AF421)-SUMIFS($AE$9:$AE$420,$G$9:$G$420,$G421,$B$9:$B$420,$B421)),0)),0),0)))</f>
        <v/>
      </c>
      <c r="AF421" t="str">
        <f>IF($A421="","",IFERROR(MATCH(LEN($B421)&amp;":"&amp;$B421&amp;$G421,$AY$9:$AY$420,0),0))</f>
        <v/>
      </c>
      <c r="AG421" t="str">
        <f>IF($A421="","",IF($F421="sell_put","put",IF($F421="sell_call","call",IF($F421="roll",IF($AF421&gt;0,IF($AF421&gt;0,INDEX($AG$9:$AG$420,$AF421),""),""),IF($AF421&gt;0,IF($AF421&gt;0,INDEX($AG$9:$AG$420,$AF421),""),"")))))</f>
        <v/>
      </c>
      <c r="AH421" t="str">
        <f>IF($A421="","",IF(OR($F421="sell_put",$F421="sell_call",$F421="roll"),$I421,IF($AF421&gt;0,IF($AF421&gt;0,INDEX($AH$9:$AH$420,$AF421),0),0)))</f>
        <v/>
      </c>
      <c r="AI421" s="51" t="str">
        <f t="shared" si="111"/>
        <v/>
      </c>
      <c r="AJ421" s="51" t="str">
        <f>IF($A421="","",IFERROR(LOOKUP(2,1/($B$9:$B$420=$B421),$AM$9:$AM420),0))</f>
        <v/>
      </c>
      <c r="AK421" t="str">
        <f>IF($A421="","",IFERROR(LOOKUP(2,1/($B$9:$B$420=$B421),$AN$9:$AN420),0))</f>
        <v/>
      </c>
      <c r="AL421" s="51" t="str">
        <f t="shared" si="112"/>
        <v/>
      </c>
      <c r="AM421" s="51" t="str">
        <f t="shared" si="113"/>
        <v/>
      </c>
      <c r="AN421" t="str">
        <f t="shared" si="114"/>
        <v/>
      </c>
      <c r="AO421" s="50" t="str">
        <f>IF($A421="","",IFERROR(LOOKUP(2,1/($B$9:$B$420=$B421),$AO$9:$AO420),0)+IF($F421="sell_put",$I421*$AE421*$D421,IF($F421="roll",IF($AG421="put",($I421-IF($AF421&gt;0,INDEX($AH$9:$AH$420,$AF421),0))*$AE421*$D421,0),IF(AND(OR($F421="buy_to_close",$F421="expire",$F421="roll",$F421="assignment",$F421="called_away"),$F421&lt;&gt;"roll",$AG421="put"),-IF($AF421&gt;0,INDEX($AH$9:$AH$420,$AF421),0)*$AE421*$D421,0))))</f>
        <v/>
      </c>
      <c r="AP421" s="51" t="str">
        <f>IF($A421="","",IFERROR(LOOKUP(2,1/($B$9:$B$420=$B421),$AP$9:$AP420),0)+IF($F421="sell_put",$AE421*$D421,IF(AND(OR($F421="buy_to_close",$F421="expire",$F421="roll",$F421="assignment",$F421="called_away"),$F421&lt;&gt;"roll",$AG421="put"),-$AE421*$D421,0)))</f>
        <v/>
      </c>
      <c r="AQ421" s="51" t="str">
        <f>IF($A421="","",IFERROR(LOOKUP(2,1/($B$9:$B$420=$B421),$AQ$9:$AQ420),0)+IF(OR($F421="sell_put",$F421="sell_call"),$AE421,0)-IF(AND(OR($F421="buy_to_close",$F421="expire",$F421="roll",$F421="assignment",$F421="called_away"),$F421&lt;&gt;"roll"),$AE421,0))</f>
        <v/>
      </c>
      <c r="AR421" t="str">
        <f t="shared" si="115"/>
        <v/>
      </c>
      <c r="AS421" s="50" t="str">
        <f t="shared" si="116"/>
        <v/>
      </c>
      <c r="AT421" s="50" t="str">
        <f>IF($A421="","",MAX(IF($T421=IFERROR(LOOKUP(2,1/($B$9:$B$420=$B421),$T$9:$T420),0),IFERROR(LOOKUP(2,1/($B$9:$B$420=$B421),$AT$9:$AT420),0),0),$AS421))</f>
        <v/>
      </c>
      <c r="AU421" t="str">
        <f t="shared" si="117"/>
        <v/>
      </c>
      <c r="AV421" s="51">
        <f>IF($AU421="",0,IF(AND(IFERROR(LOOKUP(2,1/($B$9:$B$420=$B421),$AR$9:$AR420),1),NOT(AND(OR($F421="dividend",$F421="fee"),IFERROR(LOOKUP(2,1/($B$9:$B$420=$B421),$T$9:$T420),0)&gt;0))),ROW(),0))</f>
        <v>0</v>
      </c>
      <c r="AW421">
        <f>IF($A421="",0,IF($AV421&gt;0,MAX($AW$9:$AW$420)+1,MAX($AW$9:$AW$420)))</f>
        <v>0</v>
      </c>
      <c r="AX421">
        <f>IF($AU421="",0,IF(AND($AR421,OR(NOT(IFERROR(LOOKUP(2,1/($B$9:$B$420=$B421),$AR$9:$AR420),1)),IFERROR(LOOKUP(2,1/($B$9:$B$420=$B421),$T$9:$T420),0)=0)),ROW(),0))</f>
        <v>0</v>
      </c>
      <c r="AY421" t="str">
        <f t="shared" si="118"/>
        <v/>
      </c>
    </row>
    <row r="422" spans="1:51" ht="15" x14ac:dyDescent="0.25">
      <c r="A422" s="52" t="str">
        <f>IF(Trades!$A422="","",Trades!O422)</f>
        <v/>
      </c>
      <c r="B422" s="52" t="str">
        <f>IF(Trades!$A422="","",Trades!B422)</f>
        <v/>
      </c>
      <c r="C422" s="52" t="str">
        <f>IF(Trades!$A422="","",Trades!C422)</f>
        <v/>
      </c>
      <c r="D422" s="53" t="str">
        <f>IF(Trades!$A422="","",IF(Trades!$L422&gt;0,Trades!$L422,Trades!$C$6))</f>
        <v/>
      </c>
      <c r="E422" s="54" t="str">
        <f>IF(Trades!$A422="","",Trades!A422)</f>
        <v/>
      </c>
      <c r="F422" s="52" t="str">
        <f>IF(Trades!$A422="","",IFERROR(INDEX(Trades!$V$2:$V$14,MATCH(Trades!$E422,Trades!$U$2:$U$14,0)),""))</f>
        <v/>
      </c>
      <c r="G422" s="52" t="str">
        <f>IF(Trades!$A422="","",Trades!N422)</f>
        <v/>
      </c>
      <c r="H422" s="53" t="str">
        <f>IF(Trades!$A422="","",Trades!F422)</f>
        <v/>
      </c>
      <c r="I422" s="55" t="str">
        <f>IF(Trades!$A422="","",Trades!G422)</f>
        <v/>
      </c>
      <c r="J422" s="55" t="str">
        <f>IF(Trades!$A422="","",Trades!I422)</f>
        <v/>
      </c>
      <c r="K422" s="55" t="str">
        <f>IF(Trades!$A422="","",Trades!Q422)</f>
        <v/>
      </c>
      <c r="L422" s="53" t="str">
        <f>IF(Trades!$A422="","",Trades!F422)</f>
        <v/>
      </c>
      <c r="M422" s="55" t="str">
        <f>IF(Trades!$A422="","",Trades!M422)</f>
        <v/>
      </c>
      <c r="N422" s="55" t="str">
        <f>IF(Trades!$A422="","",Trades!R422)</f>
        <v/>
      </c>
      <c r="O422" s="55" t="str">
        <f>IF(Trades!$A422="","",Trades!J422)</f>
        <v/>
      </c>
      <c r="P422" s="54" t="str">
        <f>IF(Trades!$A422="","",Trades!H422)</f>
        <v/>
      </c>
      <c r="Q422" s="52" t="str">
        <f>IF(Trades!$A422="","",Trades!P422)</f>
        <v/>
      </c>
      <c r="R422" s="56" t="str">
        <f t="shared" si="102"/>
        <v/>
      </c>
      <c r="S422" s="56" t="str">
        <f t="shared" si="103"/>
        <v/>
      </c>
      <c r="T422" s="57" t="str">
        <f>IF(OR($A422="",$B422=""),"",IF(AND(IFERROR(LOOKUP(2,1/($B$9:$B$421=$B422),$AR$9:$AR421),1),NOT(AND(OR($F422="dividend",$F422="fee"),IFERROR(LOOKUP(2,1/($B$9:$B$421=$B422),$T$9:$T421),0)&gt;0))),IFERROR(LOOKUP(2,1/($B$9:$B$421=$B422),$T$9:$T421),0)+1,IFERROR(LOOKUP(2,1/($B$9:$B$421=$B422),$T$9:$T421),0)))</f>
        <v/>
      </c>
      <c r="U422" s="58" t="str">
        <f t="shared" si="104"/>
        <v/>
      </c>
      <c r="V422" s="58" t="str">
        <f>IF($A422="","",IF(OR($B422="",$C422="",$D422="",$E422="",$F422=""),"Missing required field",IF(COUNTIFS($A$9:$A422,$A422,$B$9:$B422,$B422)&gt;1,"Duplicate event ID",IF(AND($E422&lt;&gt;IFERROR(LOOKUP(2,1/($B$9:$B$421=$B422),$E$9:$E421),0),IFERROR(LOOKUP(2,1/($B$9:$B$421=$B422),$E$9:$E421),0)&gt;$E422),"Date out of order",IF(AND(OR($F422="buy_to_close",$F422="expire",$F422="roll",$F422="assignment",$F422="called_away"),$AF422=0),"Unknown lot",IF(OR(AND($F422="assignment",$AF422&gt;0,IF($AF422&gt;0,INDEX($AG$9:$AG$421,$AF422),"")&lt;&gt;"put"),AND($F422="called_away",$AF422&gt;0,IF($AF422&gt;0,INDEX($AG$9:$AG$421,$AF422),"")&lt;&gt;"call")),"Wrong option leg",IF(OR(AND(OR($F422="sell_put",$F422="sell_call"),OR($H422&lt;=0,$I422&lt;=0,$J422&lt;0)),AND(OR($F422="buy_to_close",$F422="expire",$F422="assignment",$F422="called_away"),OR($H422&lt;=0,$J422&lt;0)),AND($F422="roll",OR($H422&lt;=0,$I422&lt;=0,$J422&lt;0,$K422&lt;0)),AND(OR($F422="buy_shares",$F422="sell_shares"),OR($L422&lt;=0,$M422&lt;0)),AND(OR($F422="dividend",$F422="fee"),$N422&lt;0)),"Invalid value",IF(AND(OR($F422="sell_shares",$F422="called_away"),$AL422&lt;IF($F422="called_away",$AE422*$D422,$L422)),"Insufficient shares (capped)",IF(AND(OR($F422="buy_to_close",$F422="expire",$F422="roll",$F422="assignment",$F422="called_away"),$AF422&gt;0,$H422&gt;IF($AF422&gt;0,MAX(0,INDEX($AI$9:$AI$421,$AF422)-SUMIFS($AE$9:$AE$421,$G$9:$G$421,$G422,$B$9:$B$421,$B422)),0)),"Close quantity capped","OK")))))))))</f>
        <v/>
      </c>
      <c r="W422" s="59" t="str">
        <f t="shared" si="105"/>
        <v/>
      </c>
      <c r="X422" s="60" t="str">
        <f t="shared" si="106"/>
        <v/>
      </c>
      <c r="Y422" s="50" t="str">
        <f t="shared" si="107"/>
        <v/>
      </c>
      <c r="Z422" s="50" t="str">
        <f t="shared" si="108"/>
        <v/>
      </c>
      <c r="AA422" s="50" t="str">
        <f t="shared" si="109"/>
        <v/>
      </c>
      <c r="AB422" s="50" t="str">
        <f t="shared" si="110"/>
        <v/>
      </c>
      <c r="AC422" s="50" t="str">
        <f>IF($A422="","",IF($F422="assignment",IF($AF422&gt;0,INDEX($AH$9:$AH$421,$AF422),0)*$AE422*$D422,IF($F422="buy_shares",$M422*$AL422,0)))</f>
        <v/>
      </c>
      <c r="AD422" s="50" t="str">
        <f>IF($A422="","",IF($F422="called_away",IF($AF422&gt;0,INDEX($AH$9:$AH$421,$AF422),0)*$AL422,IF($F422="sell_shares",$M422*$AL422,0)))</f>
        <v/>
      </c>
      <c r="AE422" s="51" t="str">
        <f>IF($A422="","",IF(OR($F422="sell_put",$F422="sell_call"),IF(AND($H422&gt;0,$I422&gt;0,$J422&gt;=0),$H422,0),IF(OR($F422="buy_to_close",$F422="expire",$F422="roll",$F422="assignment",$F422="called_away"),IF(AND($AF422&gt;0,$H422&gt;0,IF($F422="assignment",IF($AF422&gt;0,INDEX($AG$9:$AG$421,$AF422),"")="put",TRUE),IF($F422="called_away",IF($AF422&gt;0,INDEX($AG$9:$AG$421,$AF422),"")="call",TRUE)),MIN($H422,IF($AF422&gt;0,MAX(0,INDEX($AI$9:$AI$421,$AF422)-SUMIFS($AE$9:$AE$421,$G$9:$G$421,$G422,$B$9:$B$421,$B422)),0)),0),0)))</f>
        <v/>
      </c>
      <c r="AF422" t="str">
        <f>IF($A422="","",IFERROR(MATCH(LEN($B422)&amp;":"&amp;$B422&amp;$G422,$AY$9:$AY$421,0),0))</f>
        <v/>
      </c>
      <c r="AG422" t="str">
        <f>IF($A422="","",IF($F422="sell_put","put",IF($F422="sell_call","call",IF($F422="roll",IF($AF422&gt;0,IF($AF422&gt;0,INDEX($AG$9:$AG$421,$AF422),""),""),IF($AF422&gt;0,IF($AF422&gt;0,INDEX($AG$9:$AG$421,$AF422),""),"")))))</f>
        <v/>
      </c>
      <c r="AH422" t="str">
        <f>IF($A422="","",IF(OR($F422="sell_put",$F422="sell_call",$F422="roll"),$I422,IF($AF422&gt;0,IF($AF422&gt;0,INDEX($AH$9:$AH$421,$AF422),0),0)))</f>
        <v/>
      </c>
      <c r="AI422" s="51" t="str">
        <f t="shared" si="111"/>
        <v/>
      </c>
      <c r="AJ422" s="51" t="str">
        <f>IF($A422="","",IFERROR(LOOKUP(2,1/($B$9:$B$421=$B422),$AM$9:$AM421),0))</f>
        <v/>
      </c>
      <c r="AK422" t="str">
        <f>IF($A422="","",IFERROR(LOOKUP(2,1/($B$9:$B$421=$B422),$AN$9:$AN421),0))</f>
        <v/>
      </c>
      <c r="AL422" s="51" t="str">
        <f t="shared" si="112"/>
        <v/>
      </c>
      <c r="AM422" s="51" t="str">
        <f t="shared" si="113"/>
        <v/>
      </c>
      <c r="AN422" t="str">
        <f t="shared" si="114"/>
        <v/>
      </c>
      <c r="AO422" s="50" t="str">
        <f>IF($A422="","",IFERROR(LOOKUP(2,1/($B$9:$B$421=$B422),$AO$9:$AO421),0)+IF($F422="sell_put",$I422*$AE422*$D422,IF($F422="roll",IF($AG422="put",($I422-IF($AF422&gt;0,INDEX($AH$9:$AH$421,$AF422),0))*$AE422*$D422,0),IF(AND(OR($F422="buy_to_close",$F422="expire",$F422="roll",$F422="assignment",$F422="called_away"),$F422&lt;&gt;"roll",$AG422="put"),-IF($AF422&gt;0,INDEX($AH$9:$AH$421,$AF422),0)*$AE422*$D422,0))))</f>
        <v/>
      </c>
      <c r="AP422" s="51" t="str">
        <f>IF($A422="","",IFERROR(LOOKUP(2,1/($B$9:$B$421=$B422),$AP$9:$AP421),0)+IF($F422="sell_put",$AE422*$D422,IF(AND(OR($F422="buy_to_close",$F422="expire",$F422="roll",$F422="assignment",$F422="called_away"),$F422&lt;&gt;"roll",$AG422="put"),-$AE422*$D422,0)))</f>
        <v/>
      </c>
      <c r="AQ422" s="51" t="str">
        <f>IF($A422="","",IFERROR(LOOKUP(2,1/($B$9:$B$421=$B422),$AQ$9:$AQ421),0)+IF(OR($F422="sell_put",$F422="sell_call"),$AE422,0)-IF(AND(OR($F422="buy_to_close",$F422="expire",$F422="roll",$F422="assignment",$F422="called_away"),$F422&lt;&gt;"roll"),$AE422,0))</f>
        <v/>
      </c>
      <c r="AR422" t="str">
        <f t="shared" si="115"/>
        <v/>
      </c>
      <c r="AS422" s="50" t="str">
        <f t="shared" si="116"/>
        <v/>
      </c>
      <c r="AT422" s="50" t="str">
        <f>IF($A422="","",MAX(IF($T422=IFERROR(LOOKUP(2,1/($B$9:$B$421=$B422),$T$9:$T421),0),IFERROR(LOOKUP(2,1/($B$9:$B$421=$B422),$AT$9:$AT421),0),0),$AS422))</f>
        <v/>
      </c>
      <c r="AU422" t="str">
        <f t="shared" si="117"/>
        <v/>
      </c>
      <c r="AV422" s="51">
        <f>IF($AU422="",0,IF(AND(IFERROR(LOOKUP(2,1/($B$9:$B$421=$B422),$AR$9:$AR421),1),NOT(AND(OR($F422="dividend",$F422="fee"),IFERROR(LOOKUP(2,1/($B$9:$B$421=$B422),$T$9:$T421),0)&gt;0))),ROW(),0))</f>
        <v>0</v>
      </c>
      <c r="AW422">
        <f>IF($A422="",0,IF($AV422&gt;0,MAX($AW$9:$AW$421)+1,MAX($AW$9:$AW$421)))</f>
        <v>0</v>
      </c>
      <c r="AX422">
        <f>IF($AU422="",0,IF(AND($AR422,OR(NOT(IFERROR(LOOKUP(2,1/($B$9:$B$421=$B422),$AR$9:$AR421),1)),IFERROR(LOOKUP(2,1/($B$9:$B$421=$B422),$T$9:$T421),0)=0)),ROW(),0))</f>
        <v>0</v>
      </c>
      <c r="AY422" t="str">
        <f t="shared" si="118"/>
        <v/>
      </c>
    </row>
    <row r="423" spans="1:51" ht="15" x14ac:dyDescent="0.25">
      <c r="A423" s="41" t="str">
        <f>IF(Trades!$A423="","",Trades!O423)</f>
        <v/>
      </c>
      <c r="B423" s="41" t="str">
        <f>IF(Trades!$A423="","",Trades!B423)</f>
        <v/>
      </c>
      <c r="C423" s="41" t="str">
        <f>IF(Trades!$A423="","",Trades!C423)</f>
        <v/>
      </c>
      <c r="D423" s="42" t="str">
        <f>IF(Trades!$A423="","",IF(Trades!$L423&gt;0,Trades!$L423,Trades!$C$6))</f>
        <v/>
      </c>
      <c r="E423" s="43" t="str">
        <f>IF(Trades!$A423="","",Trades!A423)</f>
        <v/>
      </c>
      <c r="F423" s="41" t="str">
        <f>IF(Trades!$A423="","",IFERROR(INDEX(Trades!$V$2:$V$14,MATCH(Trades!$E423,Trades!$U$2:$U$14,0)),""))</f>
        <v/>
      </c>
      <c r="G423" s="41" t="str">
        <f>IF(Trades!$A423="","",Trades!N423)</f>
        <v/>
      </c>
      <c r="H423" s="42" t="str">
        <f>IF(Trades!$A423="","",Trades!F423)</f>
        <v/>
      </c>
      <c r="I423" s="44" t="str">
        <f>IF(Trades!$A423="","",Trades!G423)</f>
        <v/>
      </c>
      <c r="J423" s="44" t="str">
        <f>IF(Trades!$A423="","",Trades!I423)</f>
        <v/>
      </c>
      <c r="K423" s="44" t="str">
        <f>IF(Trades!$A423="","",Trades!Q423)</f>
        <v/>
      </c>
      <c r="L423" s="42" t="str">
        <f>IF(Trades!$A423="","",Trades!F423)</f>
        <v/>
      </c>
      <c r="M423" s="44" t="str">
        <f>IF(Trades!$A423="","",Trades!M423)</f>
        <v/>
      </c>
      <c r="N423" s="44" t="str">
        <f>IF(Trades!$A423="","",Trades!R423)</f>
        <v/>
      </c>
      <c r="O423" s="44" t="str">
        <f>IF(Trades!$A423="","",Trades!J423)</f>
        <v/>
      </c>
      <c r="P423" s="43" t="str">
        <f>IF(Trades!$A423="","",Trades!H423)</f>
        <v/>
      </c>
      <c r="Q423" s="41" t="str">
        <f>IF(Trades!$A423="","",Trades!P423)</f>
        <v/>
      </c>
      <c r="R423" s="45" t="str">
        <f t="shared" si="102"/>
        <v/>
      </c>
      <c r="S423" s="45" t="str">
        <f t="shared" si="103"/>
        <v/>
      </c>
      <c r="T423" s="46" t="str">
        <f>IF(OR($A423="",$B423=""),"",IF(AND(IFERROR(LOOKUP(2,1/($B$9:$B$422=$B423),$AR$9:$AR422),1),NOT(AND(OR($F423="dividend",$F423="fee"),IFERROR(LOOKUP(2,1/($B$9:$B$422=$B423),$T$9:$T422),0)&gt;0))),IFERROR(LOOKUP(2,1/($B$9:$B$422=$B423),$T$9:$T422),0)+1,IFERROR(LOOKUP(2,1/($B$9:$B$422=$B423),$T$9:$T422),0)))</f>
        <v/>
      </c>
      <c r="U423" s="47" t="str">
        <f t="shared" si="104"/>
        <v/>
      </c>
      <c r="V423" s="47" t="str">
        <f>IF($A423="","",IF(OR($B423="",$C423="",$D423="",$E423="",$F423=""),"Missing required field",IF(COUNTIFS($A$9:$A423,$A423,$B$9:$B423,$B423)&gt;1,"Duplicate event ID",IF(AND($E423&lt;&gt;IFERROR(LOOKUP(2,1/($B$9:$B$422=$B423),$E$9:$E422),0),IFERROR(LOOKUP(2,1/($B$9:$B$422=$B423),$E$9:$E422),0)&gt;$E423),"Date out of order",IF(AND(OR($F423="buy_to_close",$F423="expire",$F423="roll",$F423="assignment",$F423="called_away"),$AF423=0),"Unknown lot",IF(OR(AND($F423="assignment",$AF423&gt;0,IF($AF423&gt;0,INDEX($AG$9:$AG$422,$AF423),"")&lt;&gt;"put"),AND($F423="called_away",$AF423&gt;0,IF($AF423&gt;0,INDEX($AG$9:$AG$422,$AF423),"")&lt;&gt;"call")),"Wrong option leg",IF(OR(AND(OR($F423="sell_put",$F423="sell_call"),OR($H423&lt;=0,$I423&lt;=0,$J423&lt;0)),AND(OR($F423="buy_to_close",$F423="expire",$F423="assignment",$F423="called_away"),OR($H423&lt;=0,$J423&lt;0)),AND($F423="roll",OR($H423&lt;=0,$I423&lt;=0,$J423&lt;0,$K423&lt;0)),AND(OR($F423="buy_shares",$F423="sell_shares"),OR($L423&lt;=0,$M423&lt;0)),AND(OR($F423="dividend",$F423="fee"),$N423&lt;0)),"Invalid value",IF(AND(OR($F423="sell_shares",$F423="called_away"),$AL423&lt;IF($F423="called_away",$AE423*$D423,$L423)),"Insufficient shares (capped)",IF(AND(OR($F423="buy_to_close",$F423="expire",$F423="roll",$F423="assignment",$F423="called_away"),$AF423&gt;0,$H423&gt;IF($AF423&gt;0,MAX(0,INDEX($AI$9:$AI$422,$AF423)-SUMIFS($AE$9:$AE$422,$G$9:$G$422,$G423,$B$9:$B$422,$B423)),0)),"Close quantity capped","OK")))))))))</f>
        <v/>
      </c>
      <c r="W423" s="48" t="str">
        <f t="shared" si="105"/>
        <v/>
      </c>
      <c r="X423" s="49" t="str">
        <f t="shared" si="106"/>
        <v/>
      </c>
      <c r="Y423" s="50" t="str">
        <f t="shared" si="107"/>
        <v/>
      </c>
      <c r="Z423" s="50" t="str">
        <f t="shared" si="108"/>
        <v/>
      </c>
      <c r="AA423" s="50" t="str">
        <f t="shared" si="109"/>
        <v/>
      </c>
      <c r="AB423" s="50" t="str">
        <f t="shared" si="110"/>
        <v/>
      </c>
      <c r="AC423" s="50" t="str">
        <f>IF($A423="","",IF($F423="assignment",IF($AF423&gt;0,INDEX($AH$9:$AH$422,$AF423),0)*$AE423*$D423,IF($F423="buy_shares",$M423*$AL423,0)))</f>
        <v/>
      </c>
      <c r="AD423" s="50" t="str">
        <f>IF($A423="","",IF($F423="called_away",IF($AF423&gt;0,INDEX($AH$9:$AH$422,$AF423),0)*$AL423,IF($F423="sell_shares",$M423*$AL423,0)))</f>
        <v/>
      </c>
      <c r="AE423" s="51" t="str">
        <f>IF($A423="","",IF(OR($F423="sell_put",$F423="sell_call"),IF(AND($H423&gt;0,$I423&gt;0,$J423&gt;=0),$H423,0),IF(OR($F423="buy_to_close",$F423="expire",$F423="roll",$F423="assignment",$F423="called_away"),IF(AND($AF423&gt;0,$H423&gt;0,IF($F423="assignment",IF($AF423&gt;0,INDEX($AG$9:$AG$422,$AF423),"")="put",TRUE),IF($F423="called_away",IF($AF423&gt;0,INDEX($AG$9:$AG$422,$AF423),"")="call",TRUE)),MIN($H423,IF($AF423&gt;0,MAX(0,INDEX($AI$9:$AI$422,$AF423)-SUMIFS($AE$9:$AE$422,$G$9:$G$422,$G423,$B$9:$B$422,$B423)),0)),0),0)))</f>
        <v/>
      </c>
      <c r="AF423" t="str">
        <f>IF($A423="","",IFERROR(MATCH(LEN($B423)&amp;":"&amp;$B423&amp;$G423,$AY$9:$AY$422,0),0))</f>
        <v/>
      </c>
      <c r="AG423" t="str">
        <f>IF($A423="","",IF($F423="sell_put","put",IF($F423="sell_call","call",IF($F423="roll",IF($AF423&gt;0,IF($AF423&gt;0,INDEX($AG$9:$AG$422,$AF423),""),""),IF($AF423&gt;0,IF($AF423&gt;0,INDEX($AG$9:$AG$422,$AF423),""),"")))))</f>
        <v/>
      </c>
      <c r="AH423" t="str">
        <f>IF($A423="","",IF(OR($F423="sell_put",$F423="sell_call",$F423="roll"),$I423,IF($AF423&gt;0,IF($AF423&gt;0,INDEX($AH$9:$AH$422,$AF423),0),0)))</f>
        <v/>
      </c>
      <c r="AI423" s="51" t="str">
        <f t="shared" si="111"/>
        <v/>
      </c>
      <c r="AJ423" s="51" t="str">
        <f>IF($A423="","",IFERROR(LOOKUP(2,1/($B$9:$B$422=$B423),$AM$9:$AM422),0))</f>
        <v/>
      </c>
      <c r="AK423" t="str">
        <f>IF($A423="","",IFERROR(LOOKUP(2,1/($B$9:$B$422=$B423),$AN$9:$AN422),0))</f>
        <v/>
      </c>
      <c r="AL423" s="51" t="str">
        <f t="shared" si="112"/>
        <v/>
      </c>
      <c r="AM423" s="51" t="str">
        <f t="shared" si="113"/>
        <v/>
      </c>
      <c r="AN423" t="str">
        <f t="shared" si="114"/>
        <v/>
      </c>
      <c r="AO423" s="50" t="str">
        <f>IF($A423="","",IFERROR(LOOKUP(2,1/($B$9:$B$422=$B423),$AO$9:$AO422),0)+IF($F423="sell_put",$I423*$AE423*$D423,IF($F423="roll",IF($AG423="put",($I423-IF($AF423&gt;0,INDEX($AH$9:$AH$422,$AF423),0))*$AE423*$D423,0),IF(AND(OR($F423="buy_to_close",$F423="expire",$F423="roll",$F423="assignment",$F423="called_away"),$F423&lt;&gt;"roll",$AG423="put"),-IF($AF423&gt;0,INDEX($AH$9:$AH$422,$AF423),0)*$AE423*$D423,0))))</f>
        <v/>
      </c>
      <c r="AP423" s="51" t="str">
        <f>IF($A423="","",IFERROR(LOOKUP(2,1/($B$9:$B$422=$B423),$AP$9:$AP422),0)+IF($F423="sell_put",$AE423*$D423,IF(AND(OR($F423="buy_to_close",$F423="expire",$F423="roll",$F423="assignment",$F423="called_away"),$F423&lt;&gt;"roll",$AG423="put"),-$AE423*$D423,0)))</f>
        <v/>
      </c>
      <c r="AQ423" s="51" t="str">
        <f>IF($A423="","",IFERROR(LOOKUP(2,1/($B$9:$B$422=$B423),$AQ$9:$AQ422),0)+IF(OR($F423="sell_put",$F423="sell_call"),$AE423,0)-IF(AND(OR($F423="buy_to_close",$F423="expire",$F423="roll",$F423="assignment",$F423="called_away"),$F423&lt;&gt;"roll"),$AE423,0))</f>
        <v/>
      </c>
      <c r="AR423" t="str">
        <f t="shared" si="115"/>
        <v/>
      </c>
      <c r="AS423" s="50" t="str">
        <f t="shared" si="116"/>
        <v/>
      </c>
      <c r="AT423" s="50" t="str">
        <f>IF($A423="","",MAX(IF($T423=IFERROR(LOOKUP(2,1/($B$9:$B$422=$B423),$T$9:$T422),0),IFERROR(LOOKUP(2,1/($B$9:$B$422=$B423),$AT$9:$AT422),0),0),$AS423))</f>
        <v/>
      </c>
      <c r="AU423" t="str">
        <f t="shared" si="117"/>
        <v/>
      </c>
      <c r="AV423" s="51">
        <f>IF($AU423="",0,IF(AND(IFERROR(LOOKUP(2,1/($B$9:$B$422=$B423),$AR$9:$AR422),1),NOT(AND(OR($F423="dividend",$F423="fee"),IFERROR(LOOKUP(2,1/($B$9:$B$422=$B423),$T$9:$T422),0)&gt;0))),ROW(),0))</f>
        <v>0</v>
      </c>
      <c r="AW423">
        <f>IF($A423="",0,IF($AV423&gt;0,MAX($AW$9:$AW$422)+1,MAX($AW$9:$AW$422)))</f>
        <v>0</v>
      </c>
      <c r="AX423">
        <f>IF($AU423="",0,IF(AND($AR423,OR(NOT(IFERROR(LOOKUP(2,1/($B$9:$B$422=$B423),$AR$9:$AR422),1)),IFERROR(LOOKUP(2,1/($B$9:$B$422=$B423),$T$9:$T422),0)=0)),ROW(),0))</f>
        <v>0</v>
      </c>
      <c r="AY423" t="str">
        <f t="shared" si="118"/>
        <v/>
      </c>
    </row>
    <row r="424" spans="1:51" ht="15" x14ac:dyDescent="0.25">
      <c r="A424" s="52" t="str">
        <f>IF(Trades!$A424="","",Trades!O424)</f>
        <v/>
      </c>
      <c r="B424" s="52" t="str">
        <f>IF(Trades!$A424="","",Trades!B424)</f>
        <v/>
      </c>
      <c r="C424" s="52" t="str">
        <f>IF(Trades!$A424="","",Trades!C424)</f>
        <v/>
      </c>
      <c r="D424" s="53" t="str">
        <f>IF(Trades!$A424="","",IF(Trades!$L424&gt;0,Trades!$L424,Trades!$C$6))</f>
        <v/>
      </c>
      <c r="E424" s="54" t="str">
        <f>IF(Trades!$A424="","",Trades!A424)</f>
        <v/>
      </c>
      <c r="F424" s="52" t="str">
        <f>IF(Trades!$A424="","",IFERROR(INDEX(Trades!$V$2:$V$14,MATCH(Trades!$E424,Trades!$U$2:$U$14,0)),""))</f>
        <v/>
      </c>
      <c r="G424" s="52" t="str">
        <f>IF(Trades!$A424="","",Trades!N424)</f>
        <v/>
      </c>
      <c r="H424" s="53" t="str">
        <f>IF(Trades!$A424="","",Trades!F424)</f>
        <v/>
      </c>
      <c r="I424" s="55" t="str">
        <f>IF(Trades!$A424="","",Trades!G424)</f>
        <v/>
      </c>
      <c r="J424" s="55" t="str">
        <f>IF(Trades!$A424="","",Trades!I424)</f>
        <v/>
      </c>
      <c r="K424" s="55" t="str">
        <f>IF(Trades!$A424="","",Trades!Q424)</f>
        <v/>
      </c>
      <c r="L424" s="53" t="str">
        <f>IF(Trades!$A424="","",Trades!F424)</f>
        <v/>
      </c>
      <c r="M424" s="55" t="str">
        <f>IF(Trades!$A424="","",Trades!M424)</f>
        <v/>
      </c>
      <c r="N424" s="55" t="str">
        <f>IF(Trades!$A424="","",Trades!R424)</f>
        <v/>
      </c>
      <c r="O424" s="55" t="str">
        <f>IF(Trades!$A424="","",Trades!J424)</f>
        <v/>
      </c>
      <c r="P424" s="54" t="str">
        <f>IF(Trades!$A424="","",Trades!H424)</f>
        <v/>
      </c>
      <c r="Q424" s="52" t="str">
        <f>IF(Trades!$A424="","",Trades!P424)</f>
        <v/>
      </c>
      <c r="R424" s="56" t="str">
        <f t="shared" si="102"/>
        <v/>
      </c>
      <c r="S424" s="56" t="str">
        <f t="shared" si="103"/>
        <v/>
      </c>
      <c r="T424" s="57" t="str">
        <f>IF(OR($A424="",$B424=""),"",IF(AND(IFERROR(LOOKUP(2,1/($B$9:$B$423=$B424),$AR$9:$AR423),1),NOT(AND(OR($F424="dividend",$F424="fee"),IFERROR(LOOKUP(2,1/($B$9:$B$423=$B424),$T$9:$T423),0)&gt;0))),IFERROR(LOOKUP(2,1/($B$9:$B$423=$B424),$T$9:$T423),0)+1,IFERROR(LOOKUP(2,1/($B$9:$B$423=$B424),$T$9:$T423),0)))</f>
        <v/>
      </c>
      <c r="U424" s="58" t="str">
        <f t="shared" si="104"/>
        <v/>
      </c>
      <c r="V424" s="58" t="str">
        <f>IF($A424="","",IF(OR($B424="",$C424="",$D424="",$E424="",$F424=""),"Missing required field",IF(COUNTIFS($A$9:$A424,$A424,$B$9:$B424,$B424)&gt;1,"Duplicate event ID",IF(AND($E424&lt;&gt;IFERROR(LOOKUP(2,1/($B$9:$B$423=$B424),$E$9:$E423),0),IFERROR(LOOKUP(2,1/($B$9:$B$423=$B424),$E$9:$E423),0)&gt;$E424),"Date out of order",IF(AND(OR($F424="buy_to_close",$F424="expire",$F424="roll",$F424="assignment",$F424="called_away"),$AF424=0),"Unknown lot",IF(OR(AND($F424="assignment",$AF424&gt;0,IF($AF424&gt;0,INDEX($AG$9:$AG$423,$AF424),"")&lt;&gt;"put"),AND($F424="called_away",$AF424&gt;0,IF($AF424&gt;0,INDEX($AG$9:$AG$423,$AF424),"")&lt;&gt;"call")),"Wrong option leg",IF(OR(AND(OR($F424="sell_put",$F424="sell_call"),OR($H424&lt;=0,$I424&lt;=0,$J424&lt;0)),AND(OR($F424="buy_to_close",$F424="expire",$F424="assignment",$F424="called_away"),OR($H424&lt;=0,$J424&lt;0)),AND($F424="roll",OR($H424&lt;=0,$I424&lt;=0,$J424&lt;0,$K424&lt;0)),AND(OR($F424="buy_shares",$F424="sell_shares"),OR($L424&lt;=0,$M424&lt;0)),AND(OR($F424="dividend",$F424="fee"),$N424&lt;0)),"Invalid value",IF(AND(OR($F424="sell_shares",$F424="called_away"),$AL424&lt;IF($F424="called_away",$AE424*$D424,$L424)),"Insufficient shares (capped)",IF(AND(OR($F424="buy_to_close",$F424="expire",$F424="roll",$F424="assignment",$F424="called_away"),$AF424&gt;0,$H424&gt;IF($AF424&gt;0,MAX(0,INDEX($AI$9:$AI$423,$AF424)-SUMIFS($AE$9:$AE$423,$G$9:$G$423,$G424,$B$9:$B$423,$B424)),0)),"Close quantity capped","OK")))))))))</f>
        <v/>
      </c>
      <c r="W424" s="59" t="str">
        <f t="shared" si="105"/>
        <v/>
      </c>
      <c r="X424" s="60" t="str">
        <f t="shared" si="106"/>
        <v/>
      </c>
      <c r="Y424" s="50" t="str">
        <f t="shared" si="107"/>
        <v/>
      </c>
      <c r="Z424" s="50" t="str">
        <f t="shared" si="108"/>
        <v/>
      </c>
      <c r="AA424" s="50" t="str">
        <f t="shared" si="109"/>
        <v/>
      </c>
      <c r="AB424" s="50" t="str">
        <f t="shared" si="110"/>
        <v/>
      </c>
      <c r="AC424" s="50" t="str">
        <f>IF($A424="","",IF($F424="assignment",IF($AF424&gt;0,INDEX($AH$9:$AH$423,$AF424),0)*$AE424*$D424,IF($F424="buy_shares",$M424*$AL424,0)))</f>
        <v/>
      </c>
      <c r="AD424" s="50" t="str">
        <f>IF($A424="","",IF($F424="called_away",IF($AF424&gt;0,INDEX($AH$9:$AH$423,$AF424),0)*$AL424,IF($F424="sell_shares",$M424*$AL424,0)))</f>
        <v/>
      </c>
      <c r="AE424" s="51" t="str">
        <f>IF($A424="","",IF(OR($F424="sell_put",$F424="sell_call"),IF(AND($H424&gt;0,$I424&gt;0,$J424&gt;=0),$H424,0),IF(OR($F424="buy_to_close",$F424="expire",$F424="roll",$F424="assignment",$F424="called_away"),IF(AND($AF424&gt;0,$H424&gt;0,IF($F424="assignment",IF($AF424&gt;0,INDEX($AG$9:$AG$423,$AF424),"")="put",TRUE),IF($F424="called_away",IF($AF424&gt;0,INDEX($AG$9:$AG$423,$AF424),"")="call",TRUE)),MIN($H424,IF($AF424&gt;0,MAX(0,INDEX($AI$9:$AI$423,$AF424)-SUMIFS($AE$9:$AE$423,$G$9:$G$423,$G424,$B$9:$B$423,$B424)),0)),0),0)))</f>
        <v/>
      </c>
      <c r="AF424" t="str">
        <f>IF($A424="","",IFERROR(MATCH(LEN($B424)&amp;":"&amp;$B424&amp;$G424,$AY$9:$AY$423,0),0))</f>
        <v/>
      </c>
      <c r="AG424" t="str">
        <f>IF($A424="","",IF($F424="sell_put","put",IF($F424="sell_call","call",IF($F424="roll",IF($AF424&gt;0,IF($AF424&gt;0,INDEX($AG$9:$AG$423,$AF424),""),""),IF($AF424&gt;0,IF($AF424&gt;0,INDEX($AG$9:$AG$423,$AF424),""),"")))))</f>
        <v/>
      </c>
      <c r="AH424" t="str">
        <f>IF($A424="","",IF(OR($F424="sell_put",$F424="sell_call",$F424="roll"),$I424,IF($AF424&gt;0,IF($AF424&gt;0,INDEX($AH$9:$AH$423,$AF424),0),0)))</f>
        <v/>
      </c>
      <c r="AI424" s="51" t="str">
        <f t="shared" si="111"/>
        <v/>
      </c>
      <c r="AJ424" s="51" t="str">
        <f>IF($A424="","",IFERROR(LOOKUP(2,1/($B$9:$B$423=$B424),$AM$9:$AM423),0))</f>
        <v/>
      </c>
      <c r="AK424" t="str">
        <f>IF($A424="","",IFERROR(LOOKUP(2,1/($B$9:$B$423=$B424),$AN$9:$AN423),0))</f>
        <v/>
      </c>
      <c r="AL424" s="51" t="str">
        <f t="shared" si="112"/>
        <v/>
      </c>
      <c r="AM424" s="51" t="str">
        <f t="shared" si="113"/>
        <v/>
      </c>
      <c r="AN424" t="str">
        <f t="shared" si="114"/>
        <v/>
      </c>
      <c r="AO424" s="50" t="str">
        <f>IF($A424="","",IFERROR(LOOKUP(2,1/($B$9:$B$423=$B424),$AO$9:$AO423),0)+IF($F424="sell_put",$I424*$AE424*$D424,IF($F424="roll",IF($AG424="put",($I424-IF($AF424&gt;0,INDEX($AH$9:$AH$423,$AF424),0))*$AE424*$D424,0),IF(AND(OR($F424="buy_to_close",$F424="expire",$F424="roll",$F424="assignment",$F424="called_away"),$F424&lt;&gt;"roll",$AG424="put"),-IF($AF424&gt;0,INDEX($AH$9:$AH$423,$AF424),0)*$AE424*$D424,0))))</f>
        <v/>
      </c>
      <c r="AP424" s="51" t="str">
        <f>IF($A424="","",IFERROR(LOOKUP(2,1/($B$9:$B$423=$B424),$AP$9:$AP423),0)+IF($F424="sell_put",$AE424*$D424,IF(AND(OR($F424="buy_to_close",$F424="expire",$F424="roll",$F424="assignment",$F424="called_away"),$F424&lt;&gt;"roll",$AG424="put"),-$AE424*$D424,0)))</f>
        <v/>
      </c>
      <c r="AQ424" s="51" t="str">
        <f>IF($A424="","",IFERROR(LOOKUP(2,1/($B$9:$B$423=$B424),$AQ$9:$AQ423),0)+IF(OR($F424="sell_put",$F424="sell_call"),$AE424,0)-IF(AND(OR($F424="buy_to_close",$F424="expire",$F424="roll",$F424="assignment",$F424="called_away"),$F424&lt;&gt;"roll"),$AE424,0))</f>
        <v/>
      </c>
      <c r="AR424" t="str">
        <f t="shared" si="115"/>
        <v/>
      </c>
      <c r="AS424" s="50" t="str">
        <f t="shared" si="116"/>
        <v/>
      </c>
      <c r="AT424" s="50" t="str">
        <f>IF($A424="","",MAX(IF($T424=IFERROR(LOOKUP(2,1/($B$9:$B$423=$B424),$T$9:$T423),0),IFERROR(LOOKUP(2,1/($B$9:$B$423=$B424),$AT$9:$AT423),0),0),$AS424))</f>
        <v/>
      </c>
      <c r="AU424" t="str">
        <f t="shared" si="117"/>
        <v/>
      </c>
      <c r="AV424" s="51">
        <f>IF($AU424="",0,IF(AND(IFERROR(LOOKUP(2,1/($B$9:$B$423=$B424),$AR$9:$AR423),1),NOT(AND(OR($F424="dividend",$F424="fee"),IFERROR(LOOKUP(2,1/($B$9:$B$423=$B424),$T$9:$T423),0)&gt;0))),ROW(),0))</f>
        <v>0</v>
      </c>
      <c r="AW424">
        <f>IF($A424="",0,IF($AV424&gt;0,MAX($AW$9:$AW$423)+1,MAX($AW$9:$AW$423)))</f>
        <v>0</v>
      </c>
      <c r="AX424">
        <f>IF($AU424="",0,IF(AND($AR424,OR(NOT(IFERROR(LOOKUP(2,1/($B$9:$B$423=$B424),$AR$9:$AR423),1)),IFERROR(LOOKUP(2,1/($B$9:$B$423=$B424),$T$9:$T423),0)=0)),ROW(),0))</f>
        <v>0</v>
      </c>
      <c r="AY424" t="str">
        <f t="shared" si="118"/>
        <v/>
      </c>
    </row>
    <row r="425" spans="1:51" ht="15" x14ac:dyDescent="0.25">
      <c r="A425" s="41" t="str">
        <f>IF(Trades!$A425="","",Trades!O425)</f>
        <v/>
      </c>
      <c r="B425" s="41" t="str">
        <f>IF(Trades!$A425="","",Trades!B425)</f>
        <v/>
      </c>
      <c r="C425" s="41" t="str">
        <f>IF(Trades!$A425="","",Trades!C425)</f>
        <v/>
      </c>
      <c r="D425" s="42" t="str">
        <f>IF(Trades!$A425="","",IF(Trades!$L425&gt;0,Trades!$L425,Trades!$C$6))</f>
        <v/>
      </c>
      <c r="E425" s="43" t="str">
        <f>IF(Trades!$A425="","",Trades!A425)</f>
        <v/>
      </c>
      <c r="F425" s="41" t="str">
        <f>IF(Trades!$A425="","",IFERROR(INDEX(Trades!$V$2:$V$14,MATCH(Trades!$E425,Trades!$U$2:$U$14,0)),""))</f>
        <v/>
      </c>
      <c r="G425" s="41" t="str">
        <f>IF(Trades!$A425="","",Trades!N425)</f>
        <v/>
      </c>
      <c r="H425" s="42" t="str">
        <f>IF(Trades!$A425="","",Trades!F425)</f>
        <v/>
      </c>
      <c r="I425" s="44" t="str">
        <f>IF(Trades!$A425="","",Trades!G425)</f>
        <v/>
      </c>
      <c r="J425" s="44" t="str">
        <f>IF(Trades!$A425="","",Trades!I425)</f>
        <v/>
      </c>
      <c r="K425" s="44" t="str">
        <f>IF(Trades!$A425="","",Trades!Q425)</f>
        <v/>
      </c>
      <c r="L425" s="42" t="str">
        <f>IF(Trades!$A425="","",Trades!F425)</f>
        <v/>
      </c>
      <c r="M425" s="44" t="str">
        <f>IF(Trades!$A425="","",Trades!M425)</f>
        <v/>
      </c>
      <c r="N425" s="44" t="str">
        <f>IF(Trades!$A425="","",Trades!R425)</f>
        <v/>
      </c>
      <c r="O425" s="44" t="str">
        <f>IF(Trades!$A425="","",Trades!J425)</f>
        <v/>
      </c>
      <c r="P425" s="43" t="str">
        <f>IF(Trades!$A425="","",Trades!H425)</f>
        <v/>
      </c>
      <c r="Q425" s="41" t="str">
        <f>IF(Trades!$A425="","",Trades!P425)</f>
        <v/>
      </c>
      <c r="R425" s="45" t="str">
        <f t="shared" si="102"/>
        <v/>
      </c>
      <c r="S425" s="45" t="str">
        <f t="shared" si="103"/>
        <v/>
      </c>
      <c r="T425" s="46" t="str">
        <f>IF(OR($A425="",$B425=""),"",IF(AND(IFERROR(LOOKUP(2,1/($B$9:$B$424=$B425),$AR$9:$AR424),1),NOT(AND(OR($F425="dividend",$F425="fee"),IFERROR(LOOKUP(2,1/($B$9:$B$424=$B425),$T$9:$T424),0)&gt;0))),IFERROR(LOOKUP(2,1/($B$9:$B$424=$B425),$T$9:$T424),0)+1,IFERROR(LOOKUP(2,1/($B$9:$B$424=$B425),$T$9:$T424),0)))</f>
        <v/>
      </c>
      <c r="U425" s="47" t="str">
        <f t="shared" si="104"/>
        <v/>
      </c>
      <c r="V425" s="47" t="str">
        <f>IF($A425="","",IF(OR($B425="",$C425="",$D425="",$E425="",$F425=""),"Missing required field",IF(COUNTIFS($A$9:$A425,$A425,$B$9:$B425,$B425)&gt;1,"Duplicate event ID",IF(AND($E425&lt;&gt;IFERROR(LOOKUP(2,1/($B$9:$B$424=$B425),$E$9:$E424),0),IFERROR(LOOKUP(2,1/($B$9:$B$424=$B425),$E$9:$E424),0)&gt;$E425),"Date out of order",IF(AND(OR($F425="buy_to_close",$F425="expire",$F425="roll",$F425="assignment",$F425="called_away"),$AF425=0),"Unknown lot",IF(OR(AND($F425="assignment",$AF425&gt;0,IF($AF425&gt;0,INDEX($AG$9:$AG$424,$AF425),"")&lt;&gt;"put"),AND($F425="called_away",$AF425&gt;0,IF($AF425&gt;0,INDEX($AG$9:$AG$424,$AF425),"")&lt;&gt;"call")),"Wrong option leg",IF(OR(AND(OR($F425="sell_put",$F425="sell_call"),OR($H425&lt;=0,$I425&lt;=0,$J425&lt;0)),AND(OR($F425="buy_to_close",$F425="expire",$F425="assignment",$F425="called_away"),OR($H425&lt;=0,$J425&lt;0)),AND($F425="roll",OR($H425&lt;=0,$I425&lt;=0,$J425&lt;0,$K425&lt;0)),AND(OR($F425="buy_shares",$F425="sell_shares"),OR($L425&lt;=0,$M425&lt;0)),AND(OR($F425="dividend",$F425="fee"),$N425&lt;0)),"Invalid value",IF(AND(OR($F425="sell_shares",$F425="called_away"),$AL425&lt;IF($F425="called_away",$AE425*$D425,$L425)),"Insufficient shares (capped)",IF(AND(OR($F425="buy_to_close",$F425="expire",$F425="roll",$F425="assignment",$F425="called_away"),$AF425&gt;0,$H425&gt;IF($AF425&gt;0,MAX(0,INDEX($AI$9:$AI$424,$AF425)-SUMIFS($AE$9:$AE$424,$G$9:$G$424,$G425,$B$9:$B$424,$B425)),0)),"Close quantity capped","OK")))))))))</f>
        <v/>
      </c>
      <c r="W425" s="48" t="str">
        <f t="shared" si="105"/>
        <v/>
      </c>
      <c r="X425" s="49" t="str">
        <f t="shared" si="106"/>
        <v/>
      </c>
      <c r="Y425" s="50" t="str">
        <f t="shared" si="107"/>
        <v/>
      </c>
      <c r="Z425" s="50" t="str">
        <f t="shared" si="108"/>
        <v/>
      </c>
      <c r="AA425" s="50" t="str">
        <f t="shared" si="109"/>
        <v/>
      </c>
      <c r="AB425" s="50" t="str">
        <f t="shared" si="110"/>
        <v/>
      </c>
      <c r="AC425" s="50" t="str">
        <f>IF($A425="","",IF($F425="assignment",IF($AF425&gt;0,INDEX($AH$9:$AH$424,$AF425),0)*$AE425*$D425,IF($F425="buy_shares",$M425*$AL425,0)))</f>
        <v/>
      </c>
      <c r="AD425" s="50" t="str">
        <f>IF($A425="","",IF($F425="called_away",IF($AF425&gt;0,INDEX($AH$9:$AH$424,$AF425),0)*$AL425,IF($F425="sell_shares",$M425*$AL425,0)))</f>
        <v/>
      </c>
      <c r="AE425" s="51" t="str">
        <f>IF($A425="","",IF(OR($F425="sell_put",$F425="sell_call"),IF(AND($H425&gt;0,$I425&gt;0,$J425&gt;=0),$H425,0),IF(OR($F425="buy_to_close",$F425="expire",$F425="roll",$F425="assignment",$F425="called_away"),IF(AND($AF425&gt;0,$H425&gt;0,IF($F425="assignment",IF($AF425&gt;0,INDEX($AG$9:$AG$424,$AF425),"")="put",TRUE),IF($F425="called_away",IF($AF425&gt;0,INDEX($AG$9:$AG$424,$AF425),"")="call",TRUE)),MIN($H425,IF($AF425&gt;0,MAX(0,INDEX($AI$9:$AI$424,$AF425)-SUMIFS($AE$9:$AE$424,$G$9:$G$424,$G425,$B$9:$B$424,$B425)),0)),0),0)))</f>
        <v/>
      </c>
      <c r="AF425" t="str">
        <f>IF($A425="","",IFERROR(MATCH(LEN($B425)&amp;":"&amp;$B425&amp;$G425,$AY$9:$AY$424,0),0))</f>
        <v/>
      </c>
      <c r="AG425" t="str">
        <f>IF($A425="","",IF($F425="sell_put","put",IF($F425="sell_call","call",IF($F425="roll",IF($AF425&gt;0,IF($AF425&gt;0,INDEX($AG$9:$AG$424,$AF425),""),""),IF($AF425&gt;0,IF($AF425&gt;0,INDEX($AG$9:$AG$424,$AF425),""),"")))))</f>
        <v/>
      </c>
      <c r="AH425" t="str">
        <f>IF($A425="","",IF(OR($F425="sell_put",$F425="sell_call",$F425="roll"),$I425,IF($AF425&gt;0,IF($AF425&gt;0,INDEX($AH$9:$AH$424,$AF425),0),0)))</f>
        <v/>
      </c>
      <c r="AI425" s="51" t="str">
        <f t="shared" si="111"/>
        <v/>
      </c>
      <c r="AJ425" s="51" t="str">
        <f>IF($A425="","",IFERROR(LOOKUP(2,1/($B$9:$B$424=$B425),$AM$9:$AM424),0))</f>
        <v/>
      </c>
      <c r="AK425" t="str">
        <f>IF($A425="","",IFERROR(LOOKUP(2,1/($B$9:$B$424=$B425),$AN$9:$AN424),0))</f>
        <v/>
      </c>
      <c r="AL425" s="51" t="str">
        <f t="shared" si="112"/>
        <v/>
      </c>
      <c r="AM425" s="51" t="str">
        <f t="shared" si="113"/>
        <v/>
      </c>
      <c r="AN425" t="str">
        <f t="shared" si="114"/>
        <v/>
      </c>
      <c r="AO425" s="50" t="str">
        <f>IF($A425="","",IFERROR(LOOKUP(2,1/($B$9:$B$424=$B425),$AO$9:$AO424),0)+IF($F425="sell_put",$I425*$AE425*$D425,IF($F425="roll",IF($AG425="put",($I425-IF($AF425&gt;0,INDEX($AH$9:$AH$424,$AF425),0))*$AE425*$D425,0),IF(AND(OR($F425="buy_to_close",$F425="expire",$F425="roll",$F425="assignment",$F425="called_away"),$F425&lt;&gt;"roll",$AG425="put"),-IF($AF425&gt;0,INDEX($AH$9:$AH$424,$AF425),0)*$AE425*$D425,0))))</f>
        <v/>
      </c>
      <c r="AP425" s="51" t="str">
        <f>IF($A425="","",IFERROR(LOOKUP(2,1/($B$9:$B$424=$B425),$AP$9:$AP424),0)+IF($F425="sell_put",$AE425*$D425,IF(AND(OR($F425="buy_to_close",$F425="expire",$F425="roll",$F425="assignment",$F425="called_away"),$F425&lt;&gt;"roll",$AG425="put"),-$AE425*$D425,0)))</f>
        <v/>
      </c>
      <c r="AQ425" s="51" t="str">
        <f>IF($A425="","",IFERROR(LOOKUP(2,1/($B$9:$B$424=$B425),$AQ$9:$AQ424),0)+IF(OR($F425="sell_put",$F425="sell_call"),$AE425,0)-IF(AND(OR($F425="buy_to_close",$F425="expire",$F425="roll",$F425="assignment",$F425="called_away"),$F425&lt;&gt;"roll"),$AE425,0))</f>
        <v/>
      </c>
      <c r="AR425" t="str">
        <f t="shared" si="115"/>
        <v/>
      </c>
      <c r="AS425" s="50" t="str">
        <f t="shared" si="116"/>
        <v/>
      </c>
      <c r="AT425" s="50" t="str">
        <f>IF($A425="","",MAX(IF($T425=IFERROR(LOOKUP(2,1/($B$9:$B$424=$B425),$T$9:$T424),0),IFERROR(LOOKUP(2,1/($B$9:$B$424=$B425),$AT$9:$AT424),0),0),$AS425))</f>
        <v/>
      </c>
      <c r="AU425" t="str">
        <f t="shared" si="117"/>
        <v/>
      </c>
      <c r="AV425" s="51">
        <f>IF($AU425="",0,IF(AND(IFERROR(LOOKUP(2,1/($B$9:$B$424=$B425),$AR$9:$AR424),1),NOT(AND(OR($F425="dividend",$F425="fee"),IFERROR(LOOKUP(2,1/($B$9:$B$424=$B425),$T$9:$T424),0)&gt;0))),ROW(),0))</f>
        <v>0</v>
      </c>
      <c r="AW425">
        <f>IF($A425="",0,IF($AV425&gt;0,MAX($AW$9:$AW$424)+1,MAX($AW$9:$AW$424)))</f>
        <v>0</v>
      </c>
      <c r="AX425">
        <f>IF($AU425="",0,IF(AND($AR425,OR(NOT(IFERROR(LOOKUP(2,1/($B$9:$B$424=$B425),$AR$9:$AR424),1)),IFERROR(LOOKUP(2,1/($B$9:$B$424=$B425),$T$9:$T424),0)=0)),ROW(),0))</f>
        <v>0</v>
      </c>
      <c r="AY425" t="str">
        <f t="shared" si="118"/>
        <v/>
      </c>
    </row>
    <row r="426" spans="1:51" ht="15" x14ac:dyDescent="0.25">
      <c r="A426" s="52" t="str">
        <f>IF(Trades!$A426="","",Trades!O426)</f>
        <v/>
      </c>
      <c r="B426" s="52" t="str">
        <f>IF(Trades!$A426="","",Trades!B426)</f>
        <v/>
      </c>
      <c r="C426" s="52" t="str">
        <f>IF(Trades!$A426="","",Trades!C426)</f>
        <v/>
      </c>
      <c r="D426" s="53" t="str">
        <f>IF(Trades!$A426="","",IF(Trades!$L426&gt;0,Trades!$L426,Trades!$C$6))</f>
        <v/>
      </c>
      <c r="E426" s="54" t="str">
        <f>IF(Trades!$A426="","",Trades!A426)</f>
        <v/>
      </c>
      <c r="F426" s="52" t="str">
        <f>IF(Trades!$A426="","",IFERROR(INDEX(Trades!$V$2:$V$14,MATCH(Trades!$E426,Trades!$U$2:$U$14,0)),""))</f>
        <v/>
      </c>
      <c r="G426" s="52" t="str">
        <f>IF(Trades!$A426="","",Trades!N426)</f>
        <v/>
      </c>
      <c r="H426" s="53" t="str">
        <f>IF(Trades!$A426="","",Trades!F426)</f>
        <v/>
      </c>
      <c r="I426" s="55" t="str">
        <f>IF(Trades!$A426="","",Trades!G426)</f>
        <v/>
      </c>
      <c r="J426" s="55" t="str">
        <f>IF(Trades!$A426="","",Trades!I426)</f>
        <v/>
      </c>
      <c r="K426" s="55" t="str">
        <f>IF(Trades!$A426="","",Trades!Q426)</f>
        <v/>
      </c>
      <c r="L426" s="53" t="str">
        <f>IF(Trades!$A426="","",Trades!F426)</f>
        <v/>
      </c>
      <c r="M426" s="55" t="str">
        <f>IF(Trades!$A426="","",Trades!M426)</f>
        <v/>
      </c>
      <c r="N426" s="55" t="str">
        <f>IF(Trades!$A426="","",Trades!R426)</f>
        <v/>
      </c>
      <c r="O426" s="55" t="str">
        <f>IF(Trades!$A426="","",Trades!J426)</f>
        <v/>
      </c>
      <c r="P426" s="54" t="str">
        <f>IF(Trades!$A426="","",Trades!H426)</f>
        <v/>
      </c>
      <c r="Q426" s="52" t="str">
        <f>IF(Trades!$A426="","",Trades!P426)</f>
        <v/>
      </c>
      <c r="R426" s="56" t="str">
        <f t="shared" si="102"/>
        <v/>
      </c>
      <c r="S426" s="56" t="str">
        <f t="shared" si="103"/>
        <v/>
      </c>
      <c r="T426" s="57" t="str">
        <f>IF(OR($A426="",$B426=""),"",IF(AND(IFERROR(LOOKUP(2,1/($B$9:$B$425=$B426),$AR$9:$AR425),1),NOT(AND(OR($F426="dividend",$F426="fee"),IFERROR(LOOKUP(2,1/($B$9:$B$425=$B426),$T$9:$T425),0)&gt;0))),IFERROR(LOOKUP(2,1/($B$9:$B$425=$B426),$T$9:$T425),0)+1,IFERROR(LOOKUP(2,1/($B$9:$B$425=$B426),$T$9:$T425),0)))</f>
        <v/>
      </c>
      <c r="U426" s="58" t="str">
        <f t="shared" si="104"/>
        <v/>
      </c>
      <c r="V426" s="58" t="str">
        <f>IF($A426="","",IF(OR($B426="",$C426="",$D426="",$E426="",$F426=""),"Missing required field",IF(COUNTIFS($A$9:$A426,$A426,$B$9:$B426,$B426)&gt;1,"Duplicate event ID",IF(AND($E426&lt;&gt;IFERROR(LOOKUP(2,1/($B$9:$B$425=$B426),$E$9:$E425),0),IFERROR(LOOKUP(2,1/($B$9:$B$425=$B426),$E$9:$E425),0)&gt;$E426),"Date out of order",IF(AND(OR($F426="buy_to_close",$F426="expire",$F426="roll",$F426="assignment",$F426="called_away"),$AF426=0),"Unknown lot",IF(OR(AND($F426="assignment",$AF426&gt;0,IF($AF426&gt;0,INDEX($AG$9:$AG$425,$AF426),"")&lt;&gt;"put"),AND($F426="called_away",$AF426&gt;0,IF($AF426&gt;0,INDEX($AG$9:$AG$425,$AF426),"")&lt;&gt;"call")),"Wrong option leg",IF(OR(AND(OR($F426="sell_put",$F426="sell_call"),OR($H426&lt;=0,$I426&lt;=0,$J426&lt;0)),AND(OR($F426="buy_to_close",$F426="expire",$F426="assignment",$F426="called_away"),OR($H426&lt;=0,$J426&lt;0)),AND($F426="roll",OR($H426&lt;=0,$I426&lt;=0,$J426&lt;0,$K426&lt;0)),AND(OR($F426="buy_shares",$F426="sell_shares"),OR($L426&lt;=0,$M426&lt;0)),AND(OR($F426="dividend",$F426="fee"),$N426&lt;0)),"Invalid value",IF(AND(OR($F426="sell_shares",$F426="called_away"),$AL426&lt;IF($F426="called_away",$AE426*$D426,$L426)),"Insufficient shares (capped)",IF(AND(OR($F426="buy_to_close",$F426="expire",$F426="roll",$F426="assignment",$F426="called_away"),$AF426&gt;0,$H426&gt;IF($AF426&gt;0,MAX(0,INDEX($AI$9:$AI$425,$AF426)-SUMIFS($AE$9:$AE$425,$G$9:$G$425,$G426,$B$9:$B$425,$B426)),0)),"Close quantity capped","OK")))))))))</f>
        <v/>
      </c>
      <c r="W426" s="59" t="str">
        <f t="shared" si="105"/>
        <v/>
      </c>
      <c r="X426" s="60" t="str">
        <f t="shared" si="106"/>
        <v/>
      </c>
      <c r="Y426" s="50" t="str">
        <f t="shared" si="107"/>
        <v/>
      </c>
      <c r="Z426" s="50" t="str">
        <f t="shared" si="108"/>
        <v/>
      </c>
      <c r="AA426" s="50" t="str">
        <f t="shared" si="109"/>
        <v/>
      </c>
      <c r="AB426" s="50" t="str">
        <f t="shared" si="110"/>
        <v/>
      </c>
      <c r="AC426" s="50" t="str">
        <f>IF($A426="","",IF($F426="assignment",IF($AF426&gt;0,INDEX($AH$9:$AH$425,$AF426),0)*$AE426*$D426,IF($F426="buy_shares",$M426*$AL426,0)))</f>
        <v/>
      </c>
      <c r="AD426" s="50" t="str">
        <f>IF($A426="","",IF($F426="called_away",IF($AF426&gt;0,INDEX($AH$9:$AH$425,$AF426),0)*$AL426,IF($F426="sell_shares",$M426*$AL426,0)))</f>
        <v/>
      </c>
      <c r="AE426" s="51" t="str">
        <f>IF($A426="","",IF(OR($F426="sell_put",$F426="sell_call"),IF(AND($H426&gt;0,$I426&gt;0,$J426&gt;=0),$H426,0),IF(OR($F426="buy_to_close",$F426="expire",$F426="roll",$F426="assignment",$F426="called_away"),IF(AND($AF426&gt;0,$H426&gt;0,IF($F426="assignment",IF($AF426&gt;0,INDEX($AG$9:$AG$425,$AF426),"")="put",TRUE),IF($F426="called_away",IF($AF426&gt;0,INDEX($AG$9:$AG$425,$AF426),"")="call",TRUE)),MIN($H426,IF($AF426&gt;0,MAX(0,INDEX($AI$9:$AI$425,$AF426)-SUMIFS($AE$9:$AE$425,$G$9:$G$425,$G426,$B$9:$B$425,$B426)),0)),0),0)))</f>
        <v/>
      </c>
      <c r="AF426" t="str">
        <f>IF($A426="","",IFERROR(MATCH(LEN($B426)&amp;":"&amp;$B426&amp;$G426,$AY$9:$AY$425,0),0))</f>
        <v/>
      </c>
      <c r="AG426" t="str">
        <f>IF($A426="","",IF($F426="sell_put","put",IF($F426="sell_call","call",IF($F426="roll",IF($AF426&gt;0,IF($AF426&gt;0,INDEX($AG$9:$AG$425,$AF426),""),""),IF($AF426&gt;0,IF($AF426&gt;0,INDEX($AG$9:$AG$425,$AF426),""),"")))))</f>
        <v/>
      </c>
      <c r="AH426" t="str">
        <f>IF($A426="","",IF(OR($F426="sell_put",$F426="sell_call",$F426="roll"),$I426,IF($AF426&gt;0,IF($AF426&gt;0,INDEX($AH$9:$AH$425,$AF426),0),0)))</f>
        <v/>
      </c>
      <c r="AI426" s="51" t="str">
        <f t="shared" si="111"/>
        <v/>
      </c>
      <c r="AJ426" s="51" t="str">
        <f>IF($A426="","",IFERROR(LOOKUP(2,1/($B$9:$B$425=$B426),$AM$9:$AM425),0))</f>
        <v/>
      </c>
      <c r="AK426" t="str">
        <f>IF($A426="","",IFERROR(LOOKUP(2,1/($B$9:$B$425=$B426),$AN$9:$AN425),0))</f>
        <v/>
      </c>
      <c r="AL426" s="51" t="str">
        <f t="shared" si="112"/>
        <v/>
      </c>
      <c r="AM426" s="51" t="str">
        <f t="shared" si="113"/>
        <v/>
      </c>
      <c r="AN426" t="str">
        <f t="shared" si="114"/>
        <v/>
      </c>
      <c r="AO426" s="50" t="str">
        <f>IF($A426="","",IFERROR(LOOKUP(2,1/($B$9:$B$425=$B426),$AO$9:$AO425),0)+IF($F426="sell_put",$I426*$AE426*$D426,IF($F426="roll",IF($AG426="put",($I426-IF($AF426&gt;0,INDEX($AH$9:$AH$425,$AF426),0))*$AE426*$D426,0),IF(AND(OR($F426="buy_to_close",$F426="expire",$F426="roll",$F426="assignment",$F426="called_away"),$F426&lt;&gt;"roll",$AG426="put"),-IF($AF426&gt;0,INDEX($AH$9:$AH$425,$AF426),0)*$AE426*$D426,0))))</f>
        <v/>
      </c>
      <c r="AP426" s="51" t="str">
        <f>IF($A426="","",IFERROR(LOOKUP(2,1/($B$9:$B$425=$B426),$AP$9:$AP425),0)+IF($F426="sell_put",$AE426*$D426,IF(AND(OR($F426="buy_to_close",$F426="expire",$F426="roll",$F426="assignment",$F426="called_away"),$F426&lt;&gt;"roll",$AG426="put"),-$AE426*$D426,0)))</f>
        <v/>
      </c>
      <c r="AQ426" s="51" t="str">
        <f>IF($A426="","",IFERROR(LOOKUP(2,1/($B$9:$B$425=$B426),$AQ$9:$AQ425),0)+IF(OR($F426="sell_put",$F426="sell_call"),$AE426,0)-IF(AND(OR($F426="buy_to_close",$F426="expire",$F426="roll",$F426="assignment",$F426="called_away"),$F426&lt;&gt;"roll"),$AE426,0))</f>
        <v/>
      </c>
      <c r="AR426" t="str">
        <f t="shared" si="115"/>
        <v/>
      </c>
      <c r="AS426" s="50" t="str">
        <f t="shared" si="116"/>
        <v/>
      </c>
      <c r="AT426" s="50" t="str">
        <f>IF($A426="","",MAX(IF($T426=IFERROR(LOOKUP(2,1/($B$9:$B$425=$B426),$T$9:$T425),0),IFERROR(LOOKUP(2,1/($B$9:$B$425=$B426),$AT$9:$AT425),0),0),$AS426))</f>
        <v/>
      </c>
      <c r="AU426" t="str">
        <f t="shared" si="117"/>
        <v/>
      </c>
      <c r="AV426" s="51">
        <f>IF($AU426="",0,IF(AND(IFERROR(LOOKUP(2,1/($B$9:$B$425=$B426),$AR$9:$AR425),1),NOT(AND(OR($F426="dividend",$F426="fee"),IFERROR(LOOKUP(2,1/($B$9:$B$425=$B426),$T$9:$T425),0)&gt;0))),ROW(),0))</f>
        <v>0</v>
      </c>
      <c r="AW426">
        <f>IF($A426="",0,IF($AV426&gt;0,MAX($AW$9:$AW$425)+1,MAX($AW$9:$AW$425)))</f>
        <v>0</v>
      </c>
      <c r="AX426">
        <f>IF($AU426="",0,IF(AND($AR426,OR(NOT(IFERROR(LOOKUP(2,1/($B$9:$B$425=$B426),$AR$9:$AR425),1)),IFERROR(LOOKUP(2,1/($B$9:$B$425=$B426),$T$9:$T425),0)=0)),ROW(),0))</f>
        <v>0</v>
      </c>
      <c r="AY426" t="str">
        <f t="shared" si="118"/>
        <v/>
      </c>
    </row>
    <row r="427" spans="1:51" ht="15" x14ac:dyDescent="0.25">
      <c r="A427" s="41" t="str">
        <f>IF(Trades!$A427="","",Trades!O427)</f>
        <v/>
      </c>
      <c r="B427" s="41" t="str">
        <f>IF(Trades!$A427="","",Trades!B427)</f>
        <v/>
      </c>
      <c r="C427" s="41" t="str">
        <f>IF(Trades!$A427="","",Trades!C427)</f>
        <v/>
      </c>
      <c r="D427" s="42" t="str">
        <f>IF(Trades!$A427="","",IF(Trades!$L427&gt;0,Trades!$L427,Trades!$C$6))</f>
        <v/>
      </c>
      <c r="E427" s="43" t="str">
        <f>IF(Trades!$A427="","",Trades!A427)</f>
        <v/>
      </c>
      <c r="F427" s="41" t="str">
        <f>IF(Trades!$A427="","",IFERROR(INDEX(Trades!$V$2:$V$14,MATCH(Trades!$E427,Trades!$U$2:$U$14,0)),""))</f>
        <v/>
      </c>
      <c r="G427" s="41" t="str">
        <f>IF(Trades!$A427="","",Trades!N427)</f>
        <v/>
      </c>
      <c r="H427" s="42" t="str">
        <f>IF(Trades!$A427="","",Trades!F427)</f>
        <v/>
      </c>
      <c r="I427" s="44" t="str">
        <f>IF(Trades!$A427="","",Trades!G427)</f>
        <v/>
      </c>
      <c r="J427" s="44" t="str">
        <f>IF(Trades!$A427="","",Trades!I427)</f>
        <v/>
      </c>
      <c r="K427" s="44" t="str">
        <f>IF(Trades!$A427="","",Trades!Q427)</f>
        <v/>
      </c>
      <c r="L427" s="42" t="str">
        <f>IF(Trades!$A427="","",Trades!F427)</f>
        <v/>
      </c>
      <c r="M427" s="44" t="str">
        <f>IF(Trades!$A427="","",Trades!M427)</f>
        <v/>
      </c>
      <c r="N427" s="44" t="str">
        <f>IF(Trades!$A427="","",Trades!R427)</f>
        <v/>
      </c>
      <c r="O427" s="44" t="str">
        <f>IF(Trades!$A427="","",Trades!J427)</f>
        <v/>
      </c>
      <c r="P427" s="43" t="str">
        <f>IF(Trades!$A427="","",Trades!H427)</f>
        <v/>
      </c>
      <c r="Q427" s="41" t="str">
        <f>IF(Trades!$A427="","",Trades!P427)</f>
        <v/>
      </c>
      <c r="R427" s="45" t="str">
        <f t="shared" si="102"/>
        <v/>
      </c>
      <c r="S427" s="45" t="str">
        <f t="shared" si="103"/>
        <v/>
      </c>
      <c r="T427" s="46" t="str">
        <f>IF(OR($A427="",$B427=""),"",IF(AND(IFERROR(LOOKUP(2,1/($B$9:$B$426=$B427),$AR$9:$AR426),1),NOT(AND(OR($F427="dividend",$F427="fee"),IFERROR(LOOKUP(2,1/($B$9:$B$426=$B427),$T$9:$T426),0)&gt;0))),IFERROR(LOOKUP(2,1/($B$9:$B$426=$B427),$T$9:$T426),0)+1,IFERROR(LOOKUP(2,1/($B$9:$B$426=$B427),$T$9:$T426),0)))</f>
        <v/>
      </c>
      <c r="U427" s="47" t="str">
        <f t="shared" si="104"/>
        <v/>
      </c>
      <c r="V427" s="47" t="str">
        <f>IF($A427="","",IF(OR($B427="",$C427="",$D427="",$E427="",$F427=""),"Missing required field",IF(COUNTIFS($A$9:$A427,$A427,$B$9:$B427,$B427)&gt;1,"Duplicate event ID",IF(AND($E427&lt;&gt;IFERROR(LOOKUP(2,1/($B$9:$B$426=$B427),$E$9:$E426),0),IFERROR(LOOKUP(2,1/($B$9:$B$426=$B427),$E$9:$E426),0)&gt;$E427),"Date out of order",IF(AND(OR($F427="buy_to_close",$F427="expire",$F427="roll",$F427="assignment",$F427="called_away"),$AF427=0),"Unknown lot",IF(OR(AND($F427="assignment",$AF427&gt;0,IF($AF427&gt;0,INDEX($AG$9:$AG$426,$AF427),"")&lt;&gt;"put"),AND($F427="called_away",$AF427&gt;0,IF($AF427&gt;0,INDEX($AG$9:$AG$426,$AF427),"")&lt;&gt;"call")),"Wrong option leg",IF(OR(AND(OR($F427="sell_put",$F427="sell_call"),OR($H427&lt;=0,$I427&lt;=0,$J427&lt;0)),AND(OR($F427="buy_to_close",$F427="expire",$F427="assignment",$F427="called_away"),OR($H427&lt;=0,$J427&lt;0)),AND($F427="roll",OR($H427&lt;=0,$I427&lt;=0,$J427&lt;0,$K427&lt;0)),AND(OR($F427="buy_shares",$F427="sell_shares"),OR($L427&lt;=0,$M427&lt;0)),AND(OR($F427="dividend",$F427="fee"),$N427&lt;0)),"Invalid value",IF(AND(OR($F427="sell_shares",$F427="called_away"),$AL427&lt;IF($F427="called_away",$AE427*$D427,$L427)),"Insufficient shares (capped)",IF(AND(OR($F427="buy_to_close",$F427="expire",$F427="roll",$F427="assignment",$F427="called_away"),$AF427&gt;0,$H427&gt;IF($AF427&gt;0,MAX(0,INDEX($AI$9:$AI$426,$AF427)-SUMIFS($AE$9:$AE$426,$G$9:$G$426,$G427,$B$9:$B$426,$B427)),0)),"Close quantity capped","OK")))))))))</f>
        <v/>
      </c>
      <c r="W427" s="48" t="str">
        <f t="shared" si="105"/>
        <v/>
      </c>
      <c r="X427" s="49" t="str">
        <f t="shared" si="106"/>
        <v/>
      </c>
      <c r="Y427" s="50" t="str">
        <f t="shared" si="107"/>
        <v/>
      </c>
      <c r="Z427" s="50" t="str">
        <f t="shared" si="108"/>
        <v/>
      </c>
      <c r="AA427" s="50" t="str">
        <f t="shared" si="109"/>
        <v/>
      </c>
      <c r="AB427" s="50" t="str">
        <f t="shared" si="110"/>
        <v/>
      </c>
      <c r="AC427" s="50" t="str">
        <f>IF($A427="","",IF($F427="assignment",IF($AF427&gt;0,INDEX($AH$9:$AH$426,$AF427),0)*$AE427*$D427,IF($F427="buy_shares",$M427*$AL427,0)))</f>
        <v/>
      </c>
      <c r="AD427" s="50" t="str">
        <f>IF($A427="","",IF($F427="called_away",IF($AF427&gt;0,INDEX($AH$9:$AH$426,$AF427),0)*$AL427,IF($F427="sell_shares",$M427*$AL427,0)))</f>
        <v/>
      </c>
      <c r="AE427" s="51" t="str">
        <f>IF($A427="","",IF(OR($F427="sell_put",$F427="sell_call"),IF(AND($H427&gt;0,$I427&gt;0,$J427&gt;=0),$H427,0),IF(OR($F427="buy_to_close",$F427="expire",$F427="roll",$F427="assignment",$F427="called_away"),IF(AND($AF427&gt;0,$H427&gt;0,IF($F427="assignment",IF($AF427&gt;0,INDEX($AG$9:$AG$426,$AF427),"")="put",TRUE),IF($F427="called_away",IF($AF427&gt;0,INDEX($AG$9:$AG$426,$AF427),"")="call",TRUE)),MIN($H427,IF($AF427&gt;0,MAX(0,INDEX($AI$9:$AI$426,$AF427)-SUMIFS($AE$9:$AE$426,$G$9:$G$426,$G427,$B$9:$B$426,$B427)),0)),0),0)))</f>
        <v/>
      </c>
      <c r="AF427" t="str">
        <f>IF($A427="","",IFERROR(MATCH(LEN($B427)&amp;":"&amp;$B427&amp;$G427,$AY$9:$AY$426,0),0))</f>
        <v/>
      </c>
      <c r="AG427" t="str">
        <f>IF($A427="","",IF($F427="sell_put","put",IF($F427="sell_call","call",IF($F427="roll",IF($AF427&gt;0,IF($AF427&gt;0,INDEX($AG$9:$AG$426,$AF427),""),""),IF($AF427&gt;0,IF($AF427&gt;0,INDEX($AG$9:$AG$426,$AF427),""),"")))))</f>
        <v/>
      </c>
      <c r="AH427" t="str">
        <f>IF($A427="","",IF(OR($F427="sell_put",$F427="sell_call",$F427="roll"),$I427,IF($AF427&gt;0,IF($AF427&gt;0,INDEX($AH$9:$AH$426,$AF427),0),0)))</f>
        <v/>
      </c>
      <c r="AI427" s="51" t="str">
        <f t="shared" si="111"/>
        <v/>
      </c>
      <c r="AJ427" s="51" t="str">
        <f>IF($A427="","",IFERROR(LOOKUP(2,1/($B$9:$B$426=$B427),$AM$9:$AM426),0))</f>
        <v/>
      </c>
      <c r="AK427" t="str">
        <f>IF($A427="","",IFERROR(LOOKUP(2,1/($B$9:$B$426=$B427),$AN$9:$AN426),0))</f>
        <v/>
      </c>
      <c r="AL427" s="51" t="str">
        <f t="shared" si="112"/>
        <v/>
      </c>
      <c r="AM427" s="51" t="str">
        <f t="shared" si="113"/>
        <v/>
      </c>
      <c r="AN427" t="str">
        <f t="shared" si="114"/>
        <v/>
      </c>
      <c r="AO427" s="50" t="str">
        <f>IF($A427="","",IFERROR(LOOKUP(2,1/($B$9:$B$426=$B427),$AO$9:$AO426),0)+IF($F427="sell_put",$I427*$AE427*$D427,IF($F427="roll",IF($AG427="put",($I427-IF($AF427&gt;0,INDEX($AH$9:$AH$426,$AF427),0))*$AE427*$D427,0),IF(AND(OR($F427="buy_to_close",$F427="expire",$F427="roll",$F427="assignment",$F427="called_away"),$F427&lt;&gt;"roll",$AG427="put"),-IF($AF427&gt;0,INDEX($AH$9:$AH$426,$AF427),0)*$AE427*$D427,0))))</f>
        <v/>
      </c>
      <c r="AP427" s="51" t="str">
        <f>IF($A427="","",IFERROR(LOOKUP(2,1/($B$9:$B$426=$B427),$AP$9:$AP426),0)+IF($F427="sell_put",$AE427*$D427,IF(AND(OR($F427="buy_to_close",$F427="expire",$F427="roll",$F427="assignment",$F427="called_away"),$F427&lt;&gt;"roll",$AG427="put"),-$AE427*$D427,0)))</f>
        <v/>
      </c>
      <c r="AQ427" s="51" t="str">
        <f>IF($A427="","",IFERROR(LOOKUP(2,1/($B$9:$B$426=$B427),$AQ$9:$AQ426),0)+IF(OR($F427="sell_put",$F427="sell_call"),$AE427,0)-IF(AND(OR($F427="buy_to_close",$F427="expire",$F427="roll",$F427="assignment",$F427="called_away"),$F427&lt;&gt;"roll"),$AE427,0))</f>
        <v/>
      </c>
      <c r="AR427" t="str">
        <f t="shared" si="115"/>
        <v/>
      </c>
      <c r="AS427" s="50" t="str">
        <f t="shared" si="116"/>
        <v/>
      </c>
      <c r="AT427" s="50" t="str">
        <f>IF($A427="","",MAX(IF($T427=IFERROR(LOOKUP(2,1/($B$9:$B$426=$B427),$T$9:$T426),0),IFERROR(LOOKUP(2,1/($B$9:$B$426=$B427),$AT$9:$AT426),0),0),$AS427))</f>
        <v/>
      </c>
      <c r="AU427" t="str">
        <f t="shared" si="117"/>
        <v/>
      </c>
      <c r="AV427" s="51">
        <f>IF($AU427="",0,IF(AND(IFERROR(LOOKUP(2,1/($B$9:$B$426=$B427),$AR$9:$AR426),1),NOT(AND(OR($F427="dividend",$F427="fee"),IFERROR(LOOKUP(2,1/($B$9:$B$426=$B427),$T$9:$T426),0)&gt;0))),ROW(),0))</f>
        <v>0</v>
      </c>
      <c r="AW427">
        <f>IF($A427="",0,IF($AV427&gt;0,MAX($AW$9:$AW$426)+1,MAX($AW$9:$AW$426)))</f>
        <v>0</v>
      </c>
      <c r="AX427">
        <f>IF($AU427="",0,IF(AND($AR427,OR(NOT(IFERROR(LOOKUP(2,1/($B$9:$B$426=$B427),$AR$9:$AR426),1)),IFERROR(LOOKUP(2,1/($B$9:$B$426=$B427),$T$9:$T426),0)=0)),ROW(),0))</f>
        <v>0</v>
      </c>
      <c r="AY427" t="str">
        <f t="shared" si="118"/>
        <v/>
      </c>
    </row>
    <row r="428" spans="1:51" ht="15" x14ac:dyDescent="0.25">
      <c r="A428" s="52" t="str">
        <f>IF(Trades!$A428="","",Trades!O428)</f>
        <v/>
      </c>
      <c r="B428" s="52" t="str">
        <f>IF(Trades!$A428="","",Trades!B428)</f>
        <v/>
      </c>
      <c r="C428" s="52" t="str">
        <f>IF(Trades!$A428="","",Trades!C428)</f>
        <v/>
      </c>
      <c r="D428" s="53" t="str">
        <f>IF(Trades!$A428="","",IF(Trades!$L428&gt;0,Trades!$L428,Trades!$C$6))</f>
        <v/>
      </c>
      <c r="E428" s="54" t="str">
        <f>IF(Trades!$A428="","",Trades!A428)</f>
        <v/>
      </c>
      <c r="F428" s="52" t="str">
        <f>IF(Trades!$A428="","",IFERROR(INDEX(Trades!$V$2:$V$14,MATCH(Trades!$E428,Trades!$U$2:$U$14,0)),""))</f>
        <v/>
      </c>
      <c r="G428" s="52" t="str">
        <f>IF(Trades!$A428="","",Trades!N428)</f>
        <v/>
      </c>
      <c r="H428" s="53" t="str">
        <f>IF(Trades!$A428="","",Trades!F428)</f>
        <v/>
      </c>
      <c r="I428" s="55" t="str">
        <f>IF(Trades!$A428="","",Trades!G428)</f>
        <v/>
      </c>
      <c r="J428" s="55" t="str">
        <f>IF(Trades!$A428="","",Trades!I428)</f>
        <v/>
      </c>
      <c r="K428" s="55" t="str">
        <f>IF(Trades!$A428="","",Trades!Q428)</f>
        <v/>
      </c>
      <c r="L428" s="53" t="str">
        <f>IF(Trades!$A428="","",Trades!F428)</f>
        <v/>
      </c>
      <c r="M428" s="55" t="str">
        <f>IF(Trades!$A428="","",Trades!M428)</f>
        <v/>
      </c>
      <c r="N428" s="55" t="str">
        <f>IF(Trades!$A428="","",Trades!R428)</f>
        <v/>
      </c>
      <c r="O428" s="55" t="str">
        <f>IF(Trades!$A428="","",Trades!J428)</f>
        <v/>
      </c>
      <c r="P428" s="54" t="str">
        <f>IF(Trades!$A428="","",Trades!H428)</f>
        <v/>
      </c>
      <c r="Q428" s="52" t="str">
        <f>IF(Trades!$A428="","",Trades!P428)</f>
        <v/>
      </c>
      <c r="R428" s="56" t="str">
        <f t="shared" si="102"/>
        <v/>
      </c>
      <c r="S428" s="56" t="str">
        <f t="shared" si="103"/>
        <v/>
      </c>
      <c r="T428" s="57" t="str">
        <f>IF(OR($A428="",$B428=""),"",IF(AND(IFERROR(LOOKUP(2,1/($B$9:$B$427=$B428),$AR$9:$AR427),1),NOT(AND(OR($F428="dividend",$F428="fee"),IFERROR(LOOKUP(2,1/($B$9:$B$427=$B428),$T$9:$T427),0)&gt;0))),IFERROR(LOOKUP(2,1/($B$9:$B$427=$B428),$T$9:$T427),0)+1,IFERROR(LOOKUP(2,1/($B$9:$B$427=$B428),$T$9:$T427),0)))</f>
        <v/>
      </c>
      <c r="U428" s="58" t="str">
        <f t="shared" si="104"/>
        <v/>
      </c>
      <c r="V428" s="58" t="str">
        <f>IF($A428="","",IF(OR($B428="",$C428="",$D428="",$E428="",$F428=""),"Missing required field",IF(COUNTIFS($A$9:$A428,$A428,$B$9:$B428,$B428)&gt;1,"Duplicate event ID",IF(AND($E428&lt;&gt;IFERROR(LOOKUP(2,1/($B$9:$B$427=$B428),$E$9:$E427),0),IFERROR(LOOKUP(2,1/($B$9:$B$427=$B428),$E$9:$E427),0)&gt;$E428),"Date out of order",IF(AND(OR($F428="buy_to_close",$F428="expire",$F428="roll",$F428="assignment",$F428="called_away"),$AF428=0),"Unknown lot",IF(OR(AND($F428="assignment",$AF428&gt;0,IF($AF428&gt;0,INDEX($AG$9:$AG$427,$AF428),"")&lt;&gt;"put"),AND($F428="called_away",$AF428&gt;0,IF($AF428&gt;0,INDEX($AG$9:$AG$427,$AF428),"")&lt;&gt;"call")),"Wrong option leg",IF(OR(AND(OR($F428="sell_put",$F428="sell_call"),OR($H428&lt;=0,$I428&lt;=0,$J428&lt;0)),AND(OR($F428="buy_to_close",$F428="expire",$F428="assignment",$F428="called_away"),OR($H428&lt;=0,$J428&lt;0)),AND($F428="roll",OR($H428&lt;=0,$I428&lt;=0,$J428&lt;0,$K428&lt;0)),AND(OR($F428="buy_shares",$F428="sell_shares"),OR($L428&lt;=0,$M428&lt;0)),AND(OR($F428="dividend",$F428="fee"),$N428&lt;0)),"Invalid value",IF(AND(OR($F428="sell_shares",$F428="called_away"),$AL428&lt;IF($F428="called_away",$AE428*$D428,$L428)),"Insufficient shares (capped)",IF(AND(OR($F428="buy_to_close",$F428="expire",$F428="roll",$F428="assignment",$F428="called_away"),$AF428&gt;0,$H428&gt;IF($AF428&gt;0,MAX(0,INDEX($AI$9:$AI$427,$AF428)-SUMIFS($AE$9:$AE$427,$G$9:$G$427,$G428,$B$9:$B$427,$B428)),0)),"Close quantity capped","OK")))))))))</f>
        <v/>
      </c>
      <c r="W428" s="59" t="str">
        <f t="shared" si="105"/>
        <v/>
      </c>
      <c r="X428" s="60" t="str">
        <f t="shared" si="106"/>
        <v/>
      </c>
      <c r="Y428" s="50" t="str">
        <f t="shared" si="107"/>
        <v/>
      </c>
      <c r="Z428" s="50" t="str">
        <f t="shared" si="108"/>
        <v/>
      </c>
      <c r="AA428" s="50" t="str">
        <f t="shared" si="109"/>
        <v/>
      </c>
      <c r="AB428" s="50" t="str">
        <f t="shared" si="110"/>
        <v/>
      </c>
      <c r="AC428" s="50" t="str">
        <f>IF($A428="","",IF($F428="assignment",IF($AF428&gt;0,INDEX($AH$9:$AH$427,$AF428),0)*$AE428*$D428,IF($F428="buy_shares",$M428*$AL428,0)))</f>
        <v/>
      </c>
      <c r="AD428" s="50" t="str">
        <f>IF($A428="","",IF($F428="called_away",IF($AF428&gt;0,INDEX($AH$9:$AH$427,$AF428),0)*$AL428,IF($F428="sell_shares",$M428*$AL428,0)))</f>
        <v/>
      </c>
      <c r="AE428" s="51" t="str">
        <f>IF($A428="","",IF(OR($F428="sell_put",$F428="sell_call"),IF(AND($H428&gt;0,$I428&gt;0,$J428&gt;=0),$H428,0),IF(OR($F428="buy_to_close",$F428="expire",$F428="roll",$F428="assignment",$F428="called_away"),IF(AND($AF428&gt;0,$H428&gt;0,IF($F428="assignment",IF($AF428&gt;0,INDEX($AG$9:$AG$427,$AF428),"")="put",TRUE),IF($F428="called_away",IF($AF428&gt;0,INDEX($AG$9:$AG$427,$AF428),"")="call",TRUE)),MIN($H428,IF($AF428&gt;0,MAX(0,INDEX($AI$9:$AI$427,$AF428)-SUMIFS($AE$9:$AE$427,$G$9:$G$427,$G428,$B$9:$B$427,$B428)),0)),0),0)))</f>
        <v/>
      </c>
      <c r="AF428" t="str">
        <f>IF($A428="","",IFERROR(MATCH(LEN($B428)&amp;":"&amp;$B428&amp;$G428,$AY$9:$AY$427,0),0))</f>
        <v/>
      </c>
      <c r="AG428" t="str">
        <f>IF($A428="","",IF($F428="sell_put","put",IF($F428="sell_call","call",IF($F428="roll",IF($AF428&gt;0,IF($AF428&gt;0,INDEX($AG$9:$AG$427,$AF428),""),""),IF($AF428&gt;0,IF($AF428&gt;0,INDEX($AG$9:$AG$427,$AF428),""),"")))))</f>
        <v/>
      </c>
      <c r="AH428" t="str">
        <f>IF($A428="","",IF(OR($F428="sell_put",$F428="sell_call",$F428="roll"),$I428,IF($AF428&gt;0,IF($AF428&gt;0,INDEX($AH$9:$AH$427,$AF428),0),0)))</f>
        <v/>
      </c>
      <c r="AI428" s="51" t="str">
        <f t="shared" si="111"/>
        <v/>
      </c>
      <c r="AJ428" s="51" t="str">
        <f>IF($A428="","",IFERROR(LOOKUP(2,1/($B$9:$B$427=$B428),$AM$9:$AM427),0))</f>
        <v/>
      </c>
      <c r="AK428" t="str">
        <f>IF($A428="","",IFERROR(LOOKUP(2,1/($B$9:$B$427=$B428),$AN$9:$AN427),0))</f>
        <v/>
      </c>
      <c r="AL428" s="51" t="str">
        <f t="shared" si="112"/>
        <v/>
      </c>
      <c r="AM428" s="51" t="str">
        <f t="shared" si="113"/>
        <v/>
      </c>
      <c r="AN428" t="str">
        <f t="shared" si="114"/>
        <v/>
      </c>
      <c r="AO428" s="50" t="str">
        <f>IF($A428="","",IFERROR(LOOKUP(2,1/($B$9:$B$427=$B428),$AO$9:$AO427),0)+IF($F428="sell_put",$I428*$AE428*$D428,IF($F428="roll",IF($AG428="put",($I428-IF($AF428&gt;0,INDEX($AH$9:$AH$427,$AF428),0))*$AE428*$D428,0),IF(AND(OR($F428="buy_to_close",$F428="expire",$F428="roll",$F428="assignment",$F428="called_away"),$F428&lt;&gt;"roll",$AG428="put"),-IF($AF428&gt;0,INDEX($AH$9:$AH$427,$AF428),0)*$AE428*$D428,0))))</f>
        <v/>
      </c>
      <c r="AP428" s="51" t="str">
        <f>IF($A428="","",IFERROR(LOOKUP(2,1/($B$9:$B$427=$B428),$AP$9:$AP427),0)+IF($F428="sell_put",$AE428*$D428,IF(AND(OR($F428="buy_to_close",$F428="expire",$F428="roll",$F428="assignment",$F428="called_away"),$F428&lt;&gt;"roll",$AG428="put"),-$AE428*$D428,0)))</f>
        <v/>
      </c>
      <c r="AQ428" s="51" t="str">
        <f>IF($A428="","",IFERROR(LOOKUP(2,1/($B$9:$B$427=$B428),$AQ$9:$AQ427),0)+IF(OR($F428="sell_put",$F428="sell_call"),$AE428,0)-IF(AND(OR($F428="buy_to_close",$F428="expire",$F428="roll",$F428="assignment",$F428="called_away"),$F428&lt;&gt;"roll"),$AE428,0))</f>
        <v/>
      </c>
      <c r="AR428" t="str">
        <f t="shared" si="115"/>
        <v/>
      </c>
      <c r="AS428" s="50" t="str">
        <f t="shared" si="116"/>
        <v/>
      </c>
      <c r="AT428" s="50" t="str">
        <f>IF($A428="","",MAX(IF($T428=IFERROR(LOOKUP(2,1/($B$9:$B$427=$B428),$T$9:$T427),0),IFERROR(LOOKUP(2,1/($B$9:$B$427=$B428),$AT$9:$AT427),0),0),$AS428))</f>
        <v/>
      </c>
      <c r="AU428" t="str">
        <f t="shared" si="117"/>
        <v/>
      </c>
      <c r="AV428" s="51">
        <f>IF($AU428="",0,IF(AND(IFERROR(LOOKUP(2,1/($B$9:$B$427=$B428),$AR$9:$AR427),1),NOT(AND(OR($F428="dividend",$F428="fee"),IFERROR(LOOKUP(2,1/($B$9:$B$427=$B428),$T$9:$T427),0)&gt;0))),ROW(),0))</f>
        <v>0</v>
      </c>
      <c r="AW428">
        <f>IF($A428="",0,IF($AV428&gt;0,MAX($AW$9:$AW$427)+1,MAX($AW$9:$AW$427)))</f>
        <v>0</v>
      </c>
      <c r="AX428">
        <f>IF($AU428="",0,IF(AND($AR428,OR(NOT(IFERROR(LOOKUP(2,1/($B$9:$B$427=$B428),$AR$9:$AR427),1)),IFERROR(LOOKUP(2,1/($B$9:$B$427=$B428),$T$9:$T427),0)=0)),ROW(),0))</f>
        <v>0</v>
      </c>
      <c r="AY428" t="str">
        <f t="shared" si="118"/>
        <v/>
      </c>
    </row>
    <row r="429" spans="1:51" ht="15" x14ac:dyDescent="0.25">
      <c r="A429" s="41" t="str">
        <f>IF(Trades!$A429="","",Trades!O429)</f>
        <v/>
      </c>
      <c r="B429" s="41" t="str">
        <f>IF(Trades!$A429="","",Trades!B429)</f>
        <v/>
      </c>
      <c r="C429" s="41" t="str">
        <f>IF(Trades!$A429="","",Trades!C429)</f>
        <v/>
      </c>
      <c r="D429" s="42" t="str">
        <f>IF(Trades!$A429="","",IF(Trades!$L429&gt;0,Trades!$L429,Trades!$C$6))</f>
        <v/>
      </c>
      <c r="E429" s="43" t="str">
        <f>IF(Trades!$A429="","",Trades!A429)</f>
        <v/>
      </c>
      <c r="F429" s="41" t="str">
        <f>IF(Trades!$A429="","",IFERROR(INDEX(Trades!$V$2:$V$14,MATCH(Trades!$E429,Trades!$U$2:$U$14,0)),""))</f>
        <v/>
      </c>
      <c r="G429" s="41" t="str">
        <f>IF(Trades!$A429="","",Trades!N429)</f>
        <v/>
      </c>
      <c r="H429" s="42" t="str">
        <f>IF(Trades!$A429="","",Trades!F429)</f>
        <v/>
      </c>
      <c r="I429" s="44" t="str">
        <f>IF(Trades!$A429="","",Trades!G429)</f>
        <v/>
      </c>
      <c r="J429" s="44" t="str">
        <f>IF(Trades!$A429="","",Trades!I429)</f>
        <v/>
      </c>
      <c r="K429" s="44" t="str">
        <f>IF(Trades!$A429="","",Trades!Q429)</f>
        <v/>
      </c>
      <c r="L429" s="42" t="str">
        <f>IF(Trades!$A429="","",Trades!F429)</f>
        <v/>
      </c>
      <c r="M429" s="44" t="str">
        <f>IF(Trades!$A429="","",Trades!M429)</f>
        <v/>
      </c>
      <c r="N429" s="44" t="str">
        <f>IF(Trades!$A429="","",Trades!R429)</f>
        <v/>
      </c>
      <c r="O429" s="44" t="str">
        <f>IF(Trades!$A429="","",Trades!J429)</f>
        <v/>
      </c>
      <c r="P429" s="43" t="str">
        <f>IF(Trades!$A429="","",Trades!H429)</f>
        <v/>
      </c>
      <c r="Q429" s="41" t="str">
        <f>IF(Trades!$A429="","",Trades!P429)</f>
        <v/>
      </c>
      <c r="R429" s="45" t="str">
        <f t="shared" si="102"/>
        <v/>
      </c>
      <c r="S429" s="45" t="str">
        <f t="shared" si="103"/>
        <v/>
      </c>
      <c r="T429" s="46" t="str">
        <f>IF(OR($A429="",$B429=""),"",IF(AND(IFERROR(LOOKUP(2,1/($B$9:$B$428=$B429),$AR$9:$AR428),1),NOT(AND(OR($F429="dividend",$F429="fee"),IFERROR(LOOKUP(2,1/($B$9:$B$428=$B429),$T$9:$T428),0)&gt;0))),IFERROR(LOOKUP(2,1/($B$9:$B$428=$B429),$T$9:$T428),0)+1,IFERROR(LOOKUP(2,1/($B$9:$B$428=$B429),$T$9:$T428),0)))</f>
        <v/>
      </c>
      <c r="U429" s="47" t="str">
        <f t="shared" si="104"/>
        <v/>
      </c>
      <c r="V429" s="47" t="str">
        <f>IF($A429="","",IF(OR($B429="",$C429="",$D429="",$E429="",$F429=""),"Missing required field",IF(COUNTIFS($A$9:$A429,$A429,$B$9:$B429,$B429)&gt;1,"Duplicate event ID",IF(AND($E429&lt;&gt;IFERROR(LOOKUP(2,1/($B$9:$B$428=$B429),$E$9:$E428),0),IFERROR(LOOKUP(2,1/($B$9:$B$428=$B429),$E$9:$E428),0)&gt;$E429),"Date out of order",IF(AND(OR($F429="buy_to_close",$F429="expire",$F429="roll",$F429="assignment",$F429="called_away"),$AF429=0),"Unknown lot",IF(OR(AND($F429="assignment",$AF429&gt;0,IF($AF429&gt;0,INDEX($AG$9:$AG$428,$AF429),"")&lt;&gt;"put"),AND($F429="called_away",$AF429&gt;0,IF($AF429&gt;0,INDEX($AG$9:$AG$428,$AF429),"")&lt;&gt;"call")),"Wrong option leg",IF(OR(AND(OR($F429="sell_put",$F429="sell_call"),OR($H429&lt;=0,$I429&lt;=0,$J429&lt;0)),AND(OR($F429="buy_to_close",$F429="expire",$F429="assignment",$F429="called_away"),OR($H429&lt;=0,$J429&lt;0)),AND($F429="roll",OR($H429&lt;=0,$I429&lt;=0,$J429&lt;0,$K429&lt;0)),AND(OR($F429="buy_shares",$F429="sell_shares"),OR($L429&lt;=0,$M429&lt;0)),AND(OR($F429="dividend",$F429="fee"),$N429&lt;0)),"Invalid value",IF(AND(OR($F429="sell_shares",$F429="called_away"),$AL429&lt;IF($F429="called_away",$AE429*$D429,$L429)),"Insufficient shares (capped)",IF(AND(OR($F429="buy_to_close",$F429="expire",$F429="roll",$F429="assignment",$F429="called_away"),$AF429&gt;0,$H429&gt;IF($AF429&gt;0,MAX(0,INDEX($AI$9:$AI$428,$AF429)-SUMIFS($AE$9:$AE$428,$G$9:$G$428,$G429,$B$9:$B$428,$B429)),0)),"Close quantity capped","OK")))))))))</f>
        <v/>
      </c>
      <c r="W429" s="48" t="str">
        <f t="shared" si="105"/>
        <v/>
      </c>
      <c r="X429" s="49" t="str">
        <f t="shared" si="106"/>
        <v/>
      </c>
      <c r="Y429" s="50" t="str">
        <f t="shared" si="107"/>
        <v/>
      </c>
      <c r="Z429" s="50" t="str">
        <f t="shared" si="108"/>
        <v/>
      </c>
      <c r="AA429" s="50" t="str">
        <f t="shared" si="109"/>
        <v/>
      </c>
      <c r="AB429" s="50" t="str">
        <f t="shared" si="110"/>
        <v/>
      </c>
      <c r="AC429" s="50" t="str">
        <f>IF($A429="","",IF($F429="assignment",IF($AF429&gt;0,INDEX($AH$9:$AH$428,$AF429),0)*$AE429*$D429,IF($F429="buy_shares",$M429*$AL429,0)))</f>
        <v/>
      </c>
      <c r="AD429" s="50" t="str">
        <f>IF($A429="","",IF($F429="called_away",IF($AF429&gt;0,INDEX($AH$9:$AH$428,$AF429),0)*$AL429,IF($F429="sell_shares",$M429*$AL429,0)))</f>
        <v/>
      </c>
      <c r="AE429" s="51" t="str">
        <f>IF($A429="","",IF(OR($F429="sell_put",$F429="sell_call"),IF(AND($H429&gt;0,$I429&gt;0,$J429&gt;=0),$H429,0),IF(OR($F429="buy_to_close",$F429="expire",$F429="roll",$F429="assignment",$F429="called_away"),IF(AND($AF429&gt;0,$H429&gt;0,IF($F429="assignment",IF($AF429&gt;0,INDEX($AG$9:$AG$428,$AF429),"")="put",TRUE),IF($F429="called_away",IF($AF429&gt;0,INDEX($AG$9:$AG$428,$AF429),"")="call",TRUE)),MIN($H429,IF($AF429&gt;0,MAX(0,INDEX($AI$9:$AI$428,$AF429)-SUMIFS($AE$9:$AE$428,$G$9:$G$428,$G429,$B$9:$B$428,$B429)),0)),0),0)))</f>
        <v/>
      </c>
      <c r="AF429" t="str">
        <f>IF($A429="","",IFERROR(MATCH(LEN($B429)&amp;":"&amp;$B429&amp;$G429,$AY$9:$AY$428,0),0))</f>
        <v/>
      </c>
      <c r="AG429" t="str">
        <f>IF($A429="","",IF($F429="sell_put","put",IF($F429="sell_call","call",IF($F429="roll",IF($AF429&gt;0,IF($AF429&gt;0,INDEX($AG$9:$AG$428,$AF429),""),""),IF($AF429&gt;0,IF($AF429&gt;0,INDEX($AG$9:$AG$428,$AF429),""),"")))))</f>
        <v/>
      </c>
      <c r="AH429" t="str">
        <f>IF($A429="","",IF(OR($F429="sell_put",$F429="sell_call",$F429="roll"),$I429,IF($AF429&gt;0,IF($AF429&gt;0,INDEX($AH$9:$AH$428,$AF429),0),0)))</f>
        <v/>
      </c>
      <c r="AI429" s="51" t="str">
        <f t="shared" si="111"/>
        <v/>
      </c>
      <c r="AJ429" s="51" t="str">
        <f>IF($A429="","",IFERROR(LOOKUP(2,1/($B$9:$B$428=$B429),$AM$9:$AM428),0))</f>
        <v/>
      </c>
      <c r="AK429" t="str">
        <f>IF($A429="","",IFERROR(LOOKUP(2,1/($B$9:$B$428=$B429),$AN$9:$AN428),0))</f>
        <v/>
      </c>
      <c r="AL429" s="51" t="str">
        <f t="shared" si="112"/>
        <v/>
      </c>
      <c r="AM429" s="51" t="str">
        <f t="shared" si="113"/>
        <v/>
      </c>
      <c r="AN429" t="str">
        <f t="shared" si="114"/>
        <v/>
      </c>
      <c r="AO429" s="50" t="str">
        <f>IF($A429="","",IFERROR(LOOKUP(2,1/($B$9:$B$428=$B429),$AO$9:$AO428),0)+IF($F429="sell_put",$I429*$AE429*$D429,IF($F429="roll",IF($AG429="put",($I429-IF($AF429&gt;0,INDEX($AH$9:$AH$428,$AF429),0))*$AE429*$D429,0),IF(AND(OR($F429="buy_to_close",$F429="expire",$F429="roll",$F429="assignment",$F429="called_away"),$F429&lt;&gt;"roll",$AG429="put"),-IF($AF429&gt;0,INDEX($AH$9:$AH$428,$AF429),0)*$AE429*$D429,0))))</f>
        <v/>
      </c>
      <c r="AP429" s="51" t="str">
        <f>IF($A429="","",IFERROR(LOOKUP(2,1/($B$9:$B$428=$B429),$AP$9:$AP428),0)+IF($F429="sell_put",$AE429*$D429,IF(AND(OR($F429="buy_to_close",$F429="expire",$F429="roll",$F429="assignment",$F429="called_away"),$F429&lt;&gt;"roll",$AG429="put"),-$AE429*$D429,0)))</f>
        <v/>
      </c>
      <c r="AQ429" s="51" t="str">
        <f>IF($A429="","",IFERROR(LOOKUP(2,1/($B$9:$B$428=$B429),$AQ$9:$AQ428),0)+IF(OR($F429="sell_put",$F429="sell_call"),$AE429,0)-IF(AND(OR($F429="buy_to_close",$F429="expire",$F429="roll",$F429="assignment",$F429="called_away"),$F429&lt;&gt;"roll"),$AE429,0))</f>
        <v/>
      </c>
      <c r="AR429" t="str">
        <f t="shared" si="115"/>
        <v/>
      </c>
      <c r="AS429" s="50" t="str">
        <f t="shared" si="116"/>
        <v/>
      </c>
      <c r="AT429" s="50" t="str">
        <f>IF($A429="","",MAX(IF($T429=IFERROR(LOOKUP(2,1/($B$9:$B$428=$B429),$T$9:$T428),0),IFERROR(LOOKUP(2,1/($B$9:$B$428=$B429),$AT$9:$AT428),0),0),$AS429))</f>
        <v/>
      </c>
      <c r="AU429" t="str">
        <f t="shared" si="117"/>
        <v/>
      </c>
      <c r="AV429" s="51">
        <f>IF($AU429="",0,IF(AND(IFERROR(LOOKUP(2,1/($B$9:$B$428=$B429),$AR$9:$AR428),1),NOT(AND(OR($F429="dividend",$F429="fee"),IFERROR(LOOKUP(2,1/($B$9:$B$428=$B429),$T$9:$T428),0)&gt;0))),ROW(),0))</f>
        <v>0</v>
      </c>
      <c r="AW429">
        <f>IF($A429="",0,IF($AV429&gt;0,MAX($AW$9:$AW$428)+1,MAX($AW$9:$AW$428)))</f>
        <v>0</v>
      </c>
      <c r="AX429">
        <f>IF($AU429="",0,IF(AND($AR429,OR(NOT(IFERROR(LOOKUP(2,1/($B$9:$B$428=$B429),$AR$9:$AR428),1)),IFERROR(LOOKUP(2,1/($B$9:$B$428=$B429),$T$9:$T428),0)=0)),ROW(),0))</f>
        <v>0</v>
      </c>
      <c r="AY429" t="str">
        <f t="shared" si="118"/>
        <v/>
      </c>
    </row>
    <row r="430" spans="1:51" ht="15" x14ac:dyDescent="0.25">
      <c r="A430" s="52" t="str">
        <f>IF(Trades!$A430="","",Trades!O430)</f>
        <v/>
      </c>
      <c r="B430" s="52" t="str">
        <f>IF(Trades!$A430="","",Trades!B430)</f>
        <v/>
      </c>
      <c r="C430" s="52" t="str">
        <f>IF(Trades!$A430="","",Trades!C430)</f>
        <v/>
      </c>
      <c r="D430" s="53" t="str">
        <f>IF(Trades!$A430="","",IF(Trades!$L430&gt;0,Trades!$L430,Trades!$C$6))</f>
        <v/>
      </c>
      <c r="E430" s="54" t="str">
        <f>IF(Trades!$A430="","",Trades!A430)</f>
        <v/>
      </c>
      <c r="F430" s="52" t="str">
        <f>IF(Trades!$A430="","",IFERROR(INDEX(Trades!$V$2:$V$14,MATCH(Trades!$E430,Trades!$U$2:$U$14,0)),""))</f>
        <v/>
      </c>
      <c r="G430" s="52" t="str">
        <f>IF(Trades!$A430="","",Trades!N430)</f>
        <v/>
      </c>
      <c r="H430" s="53" t="str">
        <f>IF(Trades!$A430="","",Trades!F430)</f>
        <v/>
      </c>
      <c r="I430" s="55" t="str">
        <f>IF(Trades!$A430="","",Trades!G430)</f>
        <v/>
      </c>
      <c r="J430" s="55" t="str">
        <f>IF(Trades!$A430="","",Trades!I430)</f>
        <v/>
      </c>
      <c r="K430" s="55" t="str">
        <f>IF(Trades!$A430="","",Trades!Q430)</f>
        <v/>
      </c>
      <c r="L430" s="53" t="str">
        <f>IF(Trades!$A430="","",Trades!F430)</f>
        <v/>
      </c>
      <c r="M430" s="55" t="str">
        <f>IF(Trades!$A430="","",Trades!M430)</f>
        <v/>
      </c>
      <c r="N430" s="55" t="str">
        <f>IF(Trades!$A430="","",Trades!R430)</f>
        <v/>
      </c>
      <c r="O430" s="55" t="str">
        <f>IF(Trades!$A430="","",Trades!J430)</f>
        <v/>
      </c>
      <c r="P430" s="54" t="str">
        <f>IF(Trades!$A430="","",Trades!H430)</f>
        <v/>
      </c>
      <c r="Q430" s="52" t="str">
        <f>IF(Trades!$A430="","",Trades!P430)</f>
        <v/>
      </c>
      <c r="R430" s="56" t="str">
        <f t="shared" si="102"/>
        <v/>
      </c>
      <c r="S430" s="56" t="str">
        <f t="shared" si="103"/>
        <v/>
      </c>
      <c r="T430" s="57" t="str">
        <f>IF(OR($A430="",$B430=""),"",IF(AND(IFERROR(LOOKUP(2,1/($B$9:$B$429=$B430),$AR$9:$AR429),1),NOT(AND(OR($F430="dividend",$F430="fee"),IFERROR(LOOKUP(2,1/($B$9:$B$429=$B430),$T$9:$T429),0)&gt;0))),IFERROR(LOOKUP(2,1/($B$9:$B$429=$B430),$T$9:$T429),0)+1,IFERROR(LOOKUP(2,1/($B$9:$B$429=$B430),$T$9:$T429),0)))</f>
        <v/>
      </c>
      <c r="U430" s="58" t="str">
        <f t="shared" si="104"/>
        <v/>
      </c>
      <c r="V430" s="58" t="str">
        <f>IF($A430="","",IF(OR($B430="",$C430="",$D430="",$E430="",$F430=""),"Missing required field",IF(COUNTIFS($A$9:$A430,$A430,$B$9:$B430,$B430)&gt;1,"Duplicate event ID",IF(AND($E430&lt;&gt;IFERROR(LOOKUP(2,1/($B$9:$B$429=$B430),$E$9:$E429),0),IFERROR(LOOKUP(2,1/($B$9:$B$429=$B430),$E$9:$E429),0)&gt;$E430),"Date out of order",IF(AND(OR($F430="buy_to_close",$F430="expire",$F430="roll",$F430="assignment",$F430="called_away"),$AF430=0),"Unknown lot",IF(OR(AND($F430="assignment",$AF430&gt;0,IF($AF430&gt;0,INDEX($AG$9:$AG$429,$AF430),"")&lt;&gt;"put"),AND($F430="called_away",$AF430&gt;0,IF($AF430&gt;0,INDEX($AG$9:$AG$429,$AF430),"")&lt;&gt;"call")),"Wrong option leg",IF(OR(AND(OR($F430="sell_put",$F430="sell_call"),OR($H430&lt;=0,$I430&lt;=0,$J430&lt;0)),AND(OR($F430="buy_to_close",$F430="expire",$F430="assignment",$F430="called_away"),OR($H430&lt;=0,$J430&lt;0)),AND($F430="roll",OR($H430&lt;=0,$I430&lt;=0,$J430&lt;0,$K430&lt;0)),AND(OR($F430="buy_shares",$F430="sell_shares"),OR($L430&lt;=0,$M430&lt;0)),AND(OR($F430="dividend",$F430="fee"),$N430&lt;0)),"Invalid value",IF(AND(OR($F430="sell_shares",$F430="called_away"),$AL430&lt;IF($F430="called_away",$AE430*$D430,$L430)),"Insufficient shares (capped)",IF(AND(OR($F430="buy_to_close",$F430="expire",$F430="roll",$F430="assignment",$F430="called_away"),$AF430&gt;0,$H430&gt;IF($AF430&gt;0,MAX(0,INDEX($AI$9:$AI$429,$AF430)-SUMIFS($AE$9:$AE$429,$G$9:$G$429,$G430,$B$9:$B$429,$B430)),0)),"Close quantity capped","OK")))))))))</f>
        <v/>
      </c>
      <c r="W430" s="59" t="str">
        <f t="shared" si="105"/>
        <v/>
      </c>
      <c r="X430" s="60" t="str">
        <f t="shared" si="106"/>
        <v/>
      </c>
      <c r="Y430" s="50" t="str">
        <f t="shared" si="107"/>
        <v/>
      </c>
      <c r="Z430" s="50" t="str">
        <f t="shared" si="108"/>
        <v/>
      </c>
      <c r="AA430" s="50" t="str">
        <f t="shared" si="109"/>
        <v/>
      </c>
      <c r="AB430" s="50" t="str">
        <f t="shared" si="110"/>
        <v/>
      </c>
      <c r="AC430" s="50" t="str">
        <f>IF($A430="","",IF($F430="assignment",IF($AF430&gt;0,INDEX($AH$9:$AH$429,$AF430),0)*$AE430*$D430,IF($F430="buy_shares",$M430*$AL430,0)))</f>
        <v/>
      </c>
      <c r="AD430" s="50" t="str">
        <f>IF($A430="","",IF($F430="called_away",IF($AF430&gt;0,INDEX($AH$9:$AH$429,$AF430),0)*$AL430,IF($F430="sell_shares",$M430*$AL430,0)))</f>
        <v/>
      </c>
      <c r="AE430" s="51" t="str">
        <f>IF($A430="","",IF(OR($F430="sell_put",$F430="sell_call"),IF(AND($H430&gt;0,$I430&gt;0,$J430&gt;=0),$H430,0),IF(OR($F430="buy_to_close",$F430="expire",$F430="roll",$F430="assignment",$F430="called_away"),IF(AND($AF430&gt;0,$H430&gt;0,IF($F430="assignment",IF($AF430&gt;0,INDEX($AG$9:$AG$429,$AF430),"")="put",TRUE),IF($F430="called_away",IF($AF430&gt;0,INDEX($AG$9:$AG$429,$AF430),"")="call",TRUE)),MIN($H430,IF($AF430&gt;0,MAX(0,INDEX($AI$9:$AI$429,$AF430)-SUMIFS($AE$9:$AE$429,$G$9:$G$429,$G430,$B$9:$B$429,$B430)),0)),0),0)))</f>
        <v/>
      </c>
      <c r="AF430" t="str">
        <f>IF($A430="","",IFERROR(MATCH(LEN($B430)&amp;":"&amp;$B430&amp;$G430,$AY$9:$AY$429,0),0))</f>
        <v/>
      </c>
      <c r="AG430" t="str">
        <f>IF($A430="","",IF($F430="sell_put","put",IF($F430="sell_call","call",IF($F430="roll",IF($AF430&gt;0,IF($AF430&gt;0,INDEX($AG$9:$AG$429,$AF430),""),""),IF($AF430&gt;0,IF($AF430&gt;0,INDEX($AG$9:$AG$429,$AF430),""),"")))))</f>
        <v/>
      </c>
      <c r="AH430" t="str">
        <f>IF($A430="","",IF(OR($F430="sell_put",$F430="sell_call",$F430="roll"),$I430,IF($AF430&gt;0,IF($AF430&gt;0,INDEX($AH$9:$AH$429,$AF430),0),0)))</f>
        <v/>
      </c>
      <c r="AI430" s="51" t="str">
        <f t="shared" si="111"/>
        <v/>
      </c>
      <c r="AJ430" s="51" t="str">
        <f>IF($A430="","",IFERROR(LOOKUP(2,1/($B$9:$B$429=$B430),$AM$9:$AM429),0))</f>
        <v/>
      </c>
      <c r="AK430" t="str">
        <f>IF($A430="","",IFERROR(LOOKUP(2,1/($B$9:$B$429=$B430),$AN$9:$AN429),0))</f>
        <v/>
      </c>
      <c r="AL430" s="51" t="str">
        <f t="shared" si="112"/>
        <v/>
      </c>
      <c r="AM430" s="51" t="str">
        <f t="shared" si="113"/>
        <v/>
      </c>
      <c r="AN430" t="str">
        <f t="shared" si="114"/>
        <v/>
      </c>
      <c r="AO430" s="50" t="str">
        <f>IF($A430="","",IFERROR(LOOKUP(2,1/($B$9:$B$429=$B430),$AO$9:$AO429),0)+IF($F430="sell_put",$I430*$AE430*$D430,IF($F430="roll",IF($AG430="put",($I430-IF($AF430&gt;0,INDEX($AH$9:$AH$429,$AF430),0))*$AE430*$D430,0),IF(AND(OR($F430="buy_to_close",$F430="expire",$F430="roll",$F430="assignment",$F430="called_away"),$F430&lt;&gt;"roll",$AG430="put"),-IF($AF430&gt;0,INDEX($AH$9:$AH$429,$AF430),0)*$AE430*$D430,0))))</f>
        <v/>
      </c>
      <c r="AP430" s="51" t="str">
        <f>IF($A430="","",IFERROR(LOOKUP(2,1/($B$9:$B$429=$B430),$AP$9:$AP429),0)+IF($F430="sell_put",$AE430*$D430,IF(AND(OR($F430="buy_to_close",$F430="expire",$F430="roll",$F430="assignment",$F430="called_away"),$F430&lt;&gt;"roll",$AG430="put"),-$AE430*$D430,0)))</f>
        <v/>
      </c>
      <c r="AQ430" s="51" t="str">
        <f>IF($A430="","",IFERROR(LOOKUP(2,1/($B$9:$B$429=$B430),$AQ$9:$AQ429),0)+IF(OR($F430="sell_put",$F430="sell_call"),$AE430,0)-IF(AND(OR($F430="buy_to_close",$F430="expire",$F430="roll",$F430="assignment",$F430="called_away"),$F430&lt;&gt;"roll"),$AE430,0))</f>
        <v/>
      </c>
      <c r="AR430" t="str">
        <f t="shared" si="115"/>
        <v/>
      </c>
      <c r="AS430" s="50" t="str">
        <f t="shared" si="116"/>
        <v/>
      </c>
      <c r="AT430" s="50" t="str">
        <f>IF($A430="","",MAX(IF($T430=IFERROR(LOOKUP(2,1/($B$9:$B$429=$B430),$T$9:$T429),0),IFERROR(LOOKUP(2,1/($B$9:$B$429=$B430),$AT$9:$AT429),0),0),$AS430))</f>
        <v/>
      </c>
      <c r="AU430" t="str">
        <f t="shared" si="117"/>
        <v/>
      </c>
      <c r="AV430" s="51">
        <f>IF($AU430="",0,IF(AND(IFERROR(LOOKUP(2,1/($B$9:$B$429=$B430),$AR$9:$AR429),1),NOT(AND(OR($F430="dividend",$F430="fee"),IFERROR(LOOKUP(2,1/($B$9:$B$429=$B430),$T$9:$T429),0)&gt;0))),ROW(),0))</f>
        <v>0</v>
      </c>
      <c r="AW430">
        <f>IF($A430="",0,IF($AV430&gt;0,MAX($AW$9:$AW$429)+1,MAX($AW$9:$AW$429)))</f>
        <v>0</v>
      </c>
      <c r="AX430">
        <f>IF($AU430="",0,IF(AND($AR430,OR(NOT(IFERROR(LOOKUP(2,1/($B$9:$B$429=$B430),$AR$9:$AR429),1)),IFERROR(LOOKUP(2,1/($B$9:$B$429=$B430),$T$9:$T429),0)=0)),ROW(),0))</f>
        <v>0</v>
      </c>
      <c r="AY430" t="str">
        <f t="shared" si="118"/>
        <v/>
      </c>
    </row>
    <row r="431" spans="1:51" ht="15" x14ac:dyDescent="0.25">
      <c r="A431" s="41" t="str">
        <f>IF(Trades!$A431="","",Trades!O431)</f>
        <v/>
      </c>
      <c r="B431" s="41" t="str">
        <f>IF(Trades!$A431="","",Trades!B431)</f>
        <v/>
      </c>
      <c r="C431" s="41" t="str">
        <f>IF(Trades!$A431="","",Trades!C431)</f>
        <v/>
      </c>
      <c r="D431" s="42" t="str">
        <f>IF(Trades!$A431="","",IF(Trades!$L431&gt;0,Trades!$L431,Trades!$C$6))</f>
        <v/>
      </c>
      <c r="E431" s="43" t="str">
        <f>IF(Trades!$A431="","",Trades!A431)</f>
        <v/>
      </c>
      <c r="F431" s="41" t="str">
        <f>IF(Trades!$A431="","",IFERROR(INDEX(Trades!$V$2:$V$14,MATCH(Trades!$E431,Trades!$U$2:$U$14,0)),""))</f>
        <v/>
      </c>
      <c r="G431" s="41" t="str">
        <f>IF(Trades!$A431="","",Trades!N431)</f>
        <v/>
      </c>
      <c r="H431" s="42" t="str">
        <f>IF(Trades!$A431="","",Trades!F431)</f>
        <v/>
      </c>
      <c r="I431" s="44" t="str">
        <f>IF(Trades!$A431="","",Trades!G431)</f>
        <v/>
      </c>
      <c r="J431" s="44" t="str">
        <f>IF(Trades!$A431="","",Trades!I431)</f>
        <v/>
      </c>
      <c r="K431" s="44" t="str">
        <f>IF(Trades!$A431="","",Trades!Q431)</f>
        <v/>
      </c>
      <c r="L431" s="42" t="str">
        <f>IF(Trades!$A431="","",Trades!F431)</f>
        <v/>
      </c>
      <c r="M431" s="44" t="str">
        <f>IF(Trades!$A431="","",Trades!M431)</f>
        <v/>
      </c>
      <c r="N431" s="44" t="str">
        <f>IF(Trades!$A431="","",Trades!R431)</f>
        <v/>
      </c>
      <c r="O431" s="44" t="str">
        <f>IF(Trades!$A431="","",Trades!J431)</f>
        <v/>
      </c>
      <c r="P431" s="43" t="str">
        <f>IF(Trades!$A431="","",Trades!H431)</f>
        <v/>
      </c>
      <c r="Q431" s="41" t="str">
        <f>IF(Trades!$A431="","",Trades!P431)</f>
        <v/>
      </c>
      <c r="R431" s="45" t="str">
        <f t="shared" si="102"/>
        <v/>
      </c>
      <c r="S431" s="45" t="str">
        <f t="shared" si="103"/>
        <v/>
      </c>
      <c r="T431" s="46" t="str">
        <f>IF(OR($A431="",$B431=""),"",IF(AND(IFERROR(LOOKUP(2,1/($B$9:$B$430=$B431),$AR$9:$AR430),1),NOT(AND(OR($F431="dividend",$F431="fee"),IFERROR(LOOKUP(2,1/($B$9:$B$430=$B431),$T$9:$T430),0)&gt;0))),IFERROR(LOOKUP(2,1/($B$9:$B$430=$B431),$T$9:$T430),0)+1,IFERROR(LOOKUP(2,1/($B$9:$B$430=$B431),$T$9:$T430),0)))</f>
        <v/>
      </c>
      <c r="U431" s="47" t="str">
        <f t="shared" si="104"/>
        <v/>
      </c>
      <c r="V431" s="47" t="str">
        <f>IF($A431="","",IF(OR($B431="",$C431="",$D431="",$E431="",$F431=""),"Missing required field",IF(COUNTIFS($A$9:$A431,$A431,$B$9:$B431,$B431)&gt;1,"Duplicate event ID",IF(AND($E431&lt;&gt;IFERROR(LOOKUP(2,1/($B$9:$B$430=$B431),$E$9:$E430),0),IFERROR(LOOKUP(2,1/($B$9:$B$430=$B431),$E$9:$E430),0)&gt;$E431),"Date out of order",IF(AND(OR($F431="buy_to_close",$F431="expire",$F431="roll",$F431="assignment",$F431="called_away"),$AF431=0),"Unknown lot",IF(OR(AND($F431="assignment",$AF431&gt;0,IF($AF431&gt;0,INDEX($AG$9:$AG$430,$AF431),"")&lt;&gt;"put"),AND($F431="called_away",$AF431&gt;0,IF($AF431&gt;0,INDEX($AG$9:$AG$430,$AF431),"")&lt;&gt;"call")),"Wrong option leg",IF(OR(AND(OR($F431="sell_put",$F431="sell_call"),OR($H431&lt;=0,$I431&lt;=0,$J431&lt;0)),AND(OR($F431="buy_to_close",$F431="expire",$F431="assignment",$F431="called_away"),OR($H431&lt;=0,$J431&lt;0)),AND($F431="roll",OR($H431&lt;=0,$I431&lt;=0,$J431&lt;0,$K431&lt;0)),AND(OR($F431="buy_shares",$F431="sell_shares"),OR($L431&lt;=0,$M431&lt;0)),AND(OR($F431="dividend",$F431="fee"),$N431&lt;0)),"Invalid value",IF(AND(OR($F431="sell_shares",$F431="called_away"),$AL431&lt;IF($F431="called_away",$AE431*$D431,$L431)),"Insufficient shares (capped)",IF(AND(OR($F431="buy_to_close",$F431="expire",$F431="roll",$F431="assignment",$F431="called_away"),$AF431&gt;0,$H431&gt;IF($AF431&gt;0,MAX(0,INDEX($AI$9:$AI$430,$AF431)-SUMIFS($AE$9:$AE$430,$G$9:$G$430,$G431,$B$9:$B$430,$B431)),0)),"Close quantity capped","OK")))))))))</f>
        <v/>
      </c>
      <c r="W431" s="48" t="str">
        <f t="shared" si="105"/>
        <v/>
      </c>
      <c r="X431" s="49" t="str">
        <f t="shared" si="106"/>
        <v/>
      </c>
      <c r="Y431" s="50" t="str">
        <f t="shared" si="107"/>
        <v/>
      </c>
      <c r="Z431" s="50" t="str">
        <f t="shared" si="108"/>
        <v/>
      </c>
      <c r="AA431" s="50" t="str">
        <f t="shared" si="109"/>
        <v/>
      </c>
      <c r="AB431" s="50" t="str">
        <f t="shared" si="110"/>
        <v/>
      </c>
      <c r="AC431" s="50" t="str">
        <f>IF($A431="","",IF($F431="assignment",IF($AF431&gt;0,INDEX($AH$9:$AH$430,$AF431),0)*$AE431*$D431,IF($F431="buy_shares",$M431*$AL431,0)))</f>
        <v/>
      </c>
      <c r="AD431" s="50" t="str">
        <f>IF($A431="","",IF($F431="called_away",IF($AF431&gt;0,INDEX($AH$9:$AH$430,$AF431),0)*$AL431,IF($F431="sell_shares",$M431*$AL431,0)))</f>
        <v/>
      </c>
      <c r="AE431" s="51" t="str">
        <f>IF($A431="","",IF(OR($F431="sell_put",$F431="sell_call"),IF(AND($H431&gt;0,$I431&gt;0,$J431&gt;=0),$H431,0),IF(OR($F431="buy_to_close",$F431="expire",$F431="roll",$F431="assignment",$F431="called_away"),IF(AND($AF431&gt;0,$H431&gt;0,IF($F431="assignment",IF($AF431&gt;0,INDEX($AG$9:$AG$430,$AF431),"")="put",TRUE),IF($F431="called_away",IF($AF431&gt;0,INDEX($AG$9:$AG$430,$AF431),"")="call",TRUE)),MIN($H431,IF($AF431&gt;0,MAX(0,INDEX($AI$9:$AI$430,$AF431)-SUMIFS($AE$9:$AE$430,$G$9:$G$430,$G431,$B$9:$B$430,$B431)),0)),0),0)))</f>
        <v/>
      </c>
      <c r="AF431" t="str">
        <f>IF($A431="","",IFERROR(MATCH(LEN($B431)&amp;":"&amp;$B431&amp;$G431,$AY$9:$AY$430,0),0))</f>
        <v/>
      </c>
      <c r="AG431" t="str">
        <f>IF($A431="","",IF($F431="sell_put","put",IF($F431="sell_call","call",IF($F431="roll",IF($AF431&gt;0,IF($AF431&gt;0,INDEX($AG$9:$AG$430,$AF431),""),""),IF($AF431&gt;0,IF($AF431&gt;0,INDEX($AG$9:$AG$430,$AF431),""),"")))))</f>
        <v/>
      </c>
      <c r="AH431" t="str">
        <f>IF($A431="","",IF(OR($F431="sell_put",$F431="sell_call",$F431="roll"),$I431,IF($AF431&gt;0,IF($AF431&gt;0,INDEX($AH$9:$AH$430,$AF431),0),0)))</f>
        <v/>
      </c>
      <c r="AI431" s="51" t="str">
        <f t="shared" si="111"/>
        <v/>
      </c>
      <c r="AJ431" s="51" t="str">
        <f>IF($A431="","",IFERROR(LOOKUP(2,1/($B$9:$B$430=$B431),$AM$9:$AM430),0))</f>
        <v/>
      </c>
      <c r="AK431" t="str">
        <f>IF($A431="","",IFERROR(LOOKUP(2,1/($B$9:$B$430=$B431),$AN$9:$AN430),0))</f>
        <v/>
      </c>
      <c r="AL431" s="51" t="str">
        <f t="shared" si="112"/>
        <v/>
      </c>
      <c r="AM431" s="51" t="str">
        <f t="shared" si="113"/>
        <v/>
      </c>
      <c r="AN431" t="str">
        <f t="shared" si="114"/>
        <v/>
      </c>
      <c r="AO431" s="50" t="str">
        <f>IF($A431="","",IFERROR(LOOKUP(2,1/($B$9:$B$430=$B431),$AO$9:$AO430),0)+IF($F431="sell_put",$I431*$AE431*$D431,IF($F431="roll",IF($AG431="put",($I431-IF($AF431&gt;0,INDEX($AH$9:$AH$430,$AF431),0))*$AE431*$D431,0),IF(AND(OR($F431="buy_to_close",$F431="expire",$F431="roll",$F431="assignment",$F431="called_away"),$F431&lt;&gt;"roll",$AG431="put"),-IF($AF431&gt;0,INDEX($AH$9:$AH$430,$AF431),0)*$AE431*$D431,0))))</f>
        <v/>
      </c>
      <c r="AP431" s="51" t="str">
        <f>IF($A431="","",IFERROR(LOOKUP(2,1/($B$9:$B$430=$B431),$AP$9:$AP430),0)+IF($F431="sell_put",$AE431*$D431,IF(AND(OR($F431="buy_to_close",$F431="expire",$F431="roll",$F431="assignment",$F431="called_away"),$F431&lt;&gt;"roll",$AG431="put"),-$AE431*$D431,0)))</f>
        <v/>
      </c>
      <c r="AQ431" s="51" t="str">
        <f>IF($A431="","",IFERROR(LOOKUP(2,1/($B$9:$B$430=$B431),$AQ$9:$AQ430),0)+IF(OR($F431="sell_put",$F431="sell_call"),$AE431,0)-IF(AND(OR($F431="buy_to_close",$F431="expire",$F431="roll",$F431="assignment",$F431="called_away"),$F431&lt;&gt;"roll"),$AE431,0))</f>
        <v/>
      </c>
      <c r="AR431" t="str">
        <f t="shared" si="115"/>
        <v/>
      </c>
      <c r="AS431" s="50" t="str">
        <f t="shared" si="116"/>
        <v/>
      </c>
      <c r="AT431" s="50" t="str">
        <f>IF($A431="","",MAX(IF($T431=IFERROR(LOOKUP(2,1/($B$9:$B$430=$B431),$T$9:$T430),0),IFERROR(LOOKUP(2,1/($B$9:$B$430=$B431),$AT$9:$AT430),0),0),$AS431))</f>
        <v/>
      </c>
      <c r="AU431" t="str">
        <f t="shared" si="117"/>
        <v/>
      </c>
      <c r="AV431" s="51">
        <f>IF($AU431="",0,IF(AND(IFERROR(LOOKUP(2,1/($B$9:$B$430=$B431),$AR$9:$AR430),1),NOT(AND(OR($F431="dividend",$F431="fee"),IFERROR(LOOKUP(2,1/($B$9:$B$430=$B431),$T$9:$T430),0)&gt;0))),ROW(),0))</f>
        <v>0</v>
      </c>
      <c r="AW431">
        <f>IF($A431="",0,IF($AV431&gt;0,MAX($AW$9:$AW$430)+1,MAX($AW$9:$AW$430)))</f>
        <v>0</v>
      </c>
      <c r="AX431">
        <f>IF($AU431="",0,IF(AND($AR431,OR(NOT(IFERROR(LOOKUP(2,1/($B$9:$B$430=$B431),$AR$9:$AR430),1)),IFERROR(LOOKUP(2,1/($B$9:$B$430=$B431),$T$9:$T430),0)=0)),ROW(),0))</f>
        <v>0</v>
      </c>
      <c r="AY431" t="str">
        <f t="shared" si="118"/>
        <v/>
      </c>
    </row>
    <row r="432" spans="1:51" ht="15" x14ac:dyDescent="0.25">
      <c r="A432" s="52" t="str">
        <f>IF(Trades!$A432="","",Trades!O432)</f>
        <v/>
      </c>
      <c r="B432" s="52" t="str">
        <f>IF(Trades!$A432="","",Trades!B432)</f>
        <v/>
      </c>
      <c r="C432" s="52" t="str">
        <f>IF(Trades!$A432="","",Trades!C432)</f>
        <v/>
      </c>
      <c r="D432" s="53" t="str">
        <f>IF(Trades!$A432="","",IF(Trades!$L432&gt;0,Trades!$L432,Trades!$C$6))</f>
        <v/>
      </c>
      <c r="E432" s="54" t="str">
        <f>IF(Trades!$A432="","",Trades!A432)</f>
        <v/>
      </c>
      <c r="F432" s="52" t="str">
        <f>IF(Trades!$A432="","",IFERROR(INDEX(Trades!$V$2:$V$14,MATCH(Trades!$E432,Trades!$U$2:$U$14,0)),""))</f>
        <v/>
      </c>
      <c r="G432" s="52" t="str">
        <f>IF(Trades!$A432="","",Trades!N432)</f>
        <v/>
      </c>
      <c r="H432" s="53" t="str">
        <f>IF(Trades!$A432="","",Trades!F432)</f>
        <v/>
      </c>
      <c r="I432" s="55" t="str">
        <f>IF(Trades!$A432="","",Trades!G432)</f>
        <v/>
      </c>
      <c r="J432" s="55" t="str">
        <f>IF(Trades!$A432="","",Trades!I432)</f>
        <v/>
      </c>
      <c r="K432" s="55" t="str">
        <f>IF(Trades!$A432="","",Trades!Q432)</f>
        <v/>
      </c>
      <c r="L432" s="53" t="str">
        <f>IF(Trades!$A432="","",Trades!F432)</f>
        <v/>
      </c>
      <c r="M432" s="55" t="str">
        <f>IF(Trades!$A432="","",Trades!M432)</f>
        <v/>
      </c>
      <c r="N432" s="55" t="str">
        <f>IF(Trades!$A432="","",Trades!R432)</f>
        <v/>
      </c>
      <c r="O432" s="55" t="str">
        <f>IF(Trades!$A432="","",Trades!J432)</f>
        <v/>
      </c>
      <c r="P432" s="54" t="str">
        <f>IF(Trades!$A432="","",Trades!H432)</f>
        <v/>
      </c>
      <c r="Q432" s="52" t="str">
        <f>IF(Trades!$A432="","",Trades!P432)</f>
        <v/>
      </c>
      <c r="R432" s="56" t="str">
        <f t="shared" si="102"/>
        <v/>
      </c>
      <c r="S432" s="56" t="str">
        <f t="shared" si="103"/>
        <v/>
      </c>
      <c r="T432" s="57" t="str">
        <f>IF(OR($A432="",$B432=""),"",IF(AND(IFERROR(LOOKUP(2,1/($B$9:$B$431=$B432),$AR$9:$AR431),1),NOT(AND(OR($F432="dividend",$F432="fee"),IFERROR(LOOKUP(2,1/($B$9:$B$431=$B432),$T$9:$T431),0)&gt;0))),IFERROR(LOOKUP(2,1/($B$9:$B$431=$B432),$T$9:$T431),0)+1,IFERROR(LOOKUP(2,1/($B$9:$B$431=$B432),$T$9:$T431),0)))</f>
        <v/>
      </c>
      <c r="U432" s="58" t="str">
        <f t="shared" si="104"/>
        <v/>
      </c>
      <c r="V432" s="58" t="str">
        <f>IF($A432="","",IF(OR($B432="",$C432="",$D432="",$E432="",$F432=""),"Missing required field",IF(COUNTIFS($A$9:$A432,$A432,$B$9:$B432,$B432)&gt;1,"Duplicate event ID",IF(AND($E432&lt;&gt;IFERROR(LOOKUP(2,1/($B$9:$B$431=$B432),$E$9:$E431),0),IFERROR(LOOKUP(2,1/($B$9:$B$431=$B432),$E$9:$E431),0)&gt;$E432),"Date out of order",IF(AND(OR($F432="buy_to_close",$F432="expire",$F432="roll",$F432="assignment",$F432="called_away"),$AF432=0),"Unknown lot",IF(OR(AND($F432="assignment",$AF432&gt;0,IF($AF432&gt;0,INDEX($AG$9:$AG$431,$AF432),"")&lt;&gt;"put"),AND($F432="called_away",$AF432&gt;0,IF($AF432&gt;0,INDEX($AG$9:$AG$431,$AF432),"")&lt;&gt;"call")),"Wrong option leg",IF(OR(AND(OR($F432="sell_put",$F432="sell_call"),OR($H432&lt;=0,$I432&lt;=0,$J432&lt;0)),AND(OR($F432="buy_to_close",$F432="expire",$F432="assignment",$F432="called_away"),OR($H432&lt;=0,$J432&lt;0)),AND($F432="roll",OR($H432&lt;=0,$I432&lt;=0,$J432&lt;0,$K432&lt;0)),AND(OR($F432="buy_shares",$F432="sell_shares"),OR($L432&lt;=0,$M432&lt;0)),AND(OR($F432="dividend",$F432="fee"),$N432&lt;0)),"Invalid value",IF(AND(OR($F432="sell_shares",$F432="called_away"),$AL432&lt;IF($F432="called_away",$AE432*$D432,$L432)),"Insufficient shares (capped)",IF(AND(OR($F432="buy_to_close",$F432="expire",$F432="roll",$F432="assignment",$F432="called_away"),$AF432&gt;0,$H432&gt;IF($AF432&gt;0,MAX(0,INDEX($AI$9:$AI$431,$AF432)-SUMIFS($AE$9:$AE$431,$G$9:$G$431,$G432,$B$9:$B$431,$B432)),0)),"Close quantity capped","OK")))))))))</f>
        <v/>
      </c>
      <c r="W432" s="59" t="str">
        <f t="shared" si="105"/>
        <v/>
      </c>
      <c r="X432" s="60" t="str">
        <f t="shared" si="106"/>
        <v/>
      </c>
      <c r="Y432" s="50" t="str">
        <f t="shared" si="107"/>
        <v/>
      </c>
      <c r="Z432" s="50" t="str">
        <f t="shared" si="108"/>
        <v/>
      </c>
      <c r="AA432" s="50" t="str">
        <f t="shared" si="109"/>
        <v/>
      </c>
      <c r="AB432" s="50" t="str">
        <f t="shared" si="110"/>
        <v/>
      </c>
      <c r="AC432" s="50" t="str">
        <f>IF($A432="","",IF($F432="assignment",IF($AF432&gt;0,INDEX($AH$9:$AH$431,$AF432),0)*$AE432*$D432,IF($F432="buy_shares",$M432*$AL432,0)))</f>
        <v/>
      </c>
      <c r="AD432" s="50" t="str">
        <f>IF($A432="","",IF($F432="called_away",IF($AF432&gt;0,INDEX($AH$9:$AH$431,$AF432),0)*$AL432,IF($F432="sell_shares",$M432*$AL432,0)))</f>
        <v/>
      </c>
      <c r="AE432" s="51" t="str">
        <f>IF($A432="","",IF(OR($F432="sell_put",$F432="sell_call"),IF(AND($H432&gt;0,$I432&gt;0,$J432&gt;=0),$H432,0),IF(OR($F432="buy_to_close",$F432="expire",$F432="roll",$F432="assignment",$F432="called_away"),IF(AND($AF432&gt;0,$H432&gt;0,IF($F432="assignment",IF($AF432&gt;0,INDEX($AG$9:$AG$431,$AF432),"")="put",TRUE),IF($F432="called_away",IF($AF432&gt;0,INDEX($AG$9:$AG$431,$AF432),"")="call",TRUE)),MIN($H432,IF($AF432&gt;0,MAX(0,INDEX($AI$9:$AI$431,$AF432)-SUMIFS($AE$9:$AE$431,$G$9:$G$431,$G432,$B$9:$B$431,$B432)),0)),0),0)))</f>
        <v/>
      </c>
      <c r="AF432" t="str">
        <f>IF($A432="","",IFERROR(MATCH(LEN($B432)&amp;":"&amp;$B432&amp;$G432,$AY$9:$AY$431,0),0))</f>
        <v/>
      </c>
      <c r="AG432" t="str">
        <f>IF($A432="","",IF($F432="sell_put","put",IF($F432="sell_call","call",IF($F432="roll",IF($AF432&gt;0,IF($AF432&gt;0,INDEX($AG$9:$AG$431,$AF432),""),""),IF($AF432&gt;0,IF($AF432&gt;0,INDEX($AG$9:$AG$431,$AF432),""),"")))))</f>
        <v/>
      </c>
      <c r="AH432" t="str">
        <f>IF($A432="","",IF(OR($F432="sell_put",$F432="sell_call",$F432="roll"),$I432,IF($AF432&gt;0,IF($AF432&gt;0,INDEX($AH$9:$AH$431,$AF432),0),0)))</f>
        <v/>
      </c>
      <c r="AI432" s="51" t="str">
        <f t="shared" si="111"/>
        <v/>
      </c>
      <c r="AJ432" s="51" t="str">
        <f>IF($A432="","",IFERROR(LOOKUP(2,1/($B$9:$B$431=$B432),$AM$9:$AM431),0))</f>
        <v/>
      </c>
      <c r="AK432" t="str">
        <f>IF($A432="","",IFERROR(LOOKUP(2,1/($B$9:$B$431=$B432),$AN$9:$AN431),0))</f>
        <v/>
      </c>
      <c r="AL432" s="51" t="str">
        <f t="shared" si="112"/>
        <v/>
      </c>
      <c r="AM432" s="51" t="str">
        <f t="shared" si="113"/>
        <v/>
      </c>
      <c r="AN432" t="str">
        <f t="shared" si="114"/>
        <v/>
      </c>
      <c r="AO432" s="50" t="str">
        <f>IF($A432="","",IFERROR(LOOKUP(2,1/($B$9:$B$431=$B432),$AO$9:$AO431),0)+IF($F432="sell_put",$I432*$AE432*$D432,IF($F432="roll",IF($AG432="put",($I432-IF($AF432&gt;0,INDEX($AH$9:$AH$431,$AF432),0))*$AE432*$D432,0),IF(AND(OR($F432="buy_to_close",$F432="expire",$F432="roll",$F432="assignment",$F432="called_away"),$F432&lt;&gt;"roll",$AG432="put"),-IF($AF432&gt;0,INDEX($AH$9:$AH$431,$AF432),0)*$AE432*$D432,0))))</f>
        <v/>
      </c>
      <c r="AP432" s="51" t="str">
        <f>IF($A432="","",IFERROR(LOOKUP(2,1/($B$9:$B$431=$B432),$AP$9:$AP431),0)+IF($F432="sell_put",$AE432*$D432,IF(AND(OR($F432="buy_to_close",$F432="expire",$F432="roll",$F432="assignment",$F432="called_away"),$F432&lt;&gt;"roll",$AG432="put"),-$AE432*$D432,0)))</f>
        <v/>
      </c>
      <c r="AQ432" s="51" t="str">
        <f>IF($A432="","",IFERROR(LOOKUP(2,1/($B$9:$B$431=$B432),$AQ$9:$AQ431),0)+IF(OR($F432="sell_put",$F432="sell_call"),$AE432,0)-IF(AND(OR($F432="buy_to_close",$F432="expire",$F432="roll",$F432="assignment",$F432="called_away"),$F432&lt;&gt;"roll"),$AE432,0))</f>
        <v/>
      </c>
      <c r="AR432" t="str">
        <f t="shared" si="115"/>
        <v/>
      </c>
      <c r="AS432" s="50" t="str">
        <f t="shared" si="116"/>
        <v/>
      </c>
      <c r="AT432" s="50" t="str">
        <f>IF($A432="","",MAX(IF($T432=IFERROR(LOOKUP(2,1/($B$9:$B$431=$B432),$T$9:$T431),0),IFERROR(LOOKUP(2,1/($B$9:$B$431=$B432),$AT$9:$AT431),0),0),$AS432))</f>
        <v/>
      </c>
      <c r="AU432" t="str">
        <f t="shared" si="117"/>
        <v/>
      </c>
      <c r="AV432" s="51">
        <f>IF($AU432="",0,IF(AND(IFERROR(LOOKUP(2,1/($B$9:$B$431=$B432),$AR$9:$AR431),1),NOT(AND(OR($F432="dividend",$F432="fee"),IFERROR(LOOKUP(2,1/($B$9:$B$431=$B432),$T$9:$T431),0)&gt;0))),ROW(),0))</f>
        <v>0</v>
      </c>
      <c r="AW432">
        <f>IF($A432="",0,IF($AV432&gt;0,MAX($AW$9:$AW$431)+1,MAX($AW$9:$AW$431)))</f>
        <v>0</v>
      </c>
      <c r="AX432">
        <f>IF($AU432="",0,IF(AND($AR432,OR(NOT(IFERROR(LOOKUP(2,1/($B$9:$B$431=$B432),$AR$9:$AR431),1)),IFERROR(LOOKUP(2,1/($B$9:$B$431=$B432),$T$9:$T431),0)=0)),ROW(),0))</f>
        <v>0</v>
      </c>
      <c r="AY432" t="str">
        <f t="shared" si="118"/>
        <v/>
      </c>
    </row>
    <row r="433" spans="1:51" ht="15" x14ac:dyDescent="0.25">
      <c r="A433" s="41" t="str">
        <f>IF(Trades!$A433="","",Trades!O433)</f>
        <v/>
      </c>
      <c r="B433" s="41" t="str">
        <f>IF(Trades!$A433="","",Trades!B433)</f>
        <v/>
      </c>
      <c r="C433" s="41" t="str">
        <f>IF(Trades!$A433="","",Trades!C433)</f>
        <v/>
      </c>
      <c r="D433" s="42" t="str">
        <f>IF(Trades!$A433="","",IF(Trades!$L433&gt;0,Trades!$L433,Trades!$C$6))</f>
        <v/>
      </c>
      <c r="E433" s="43" t="str">
        <f>IF(Trades!$A433="","",Trades!A433)</f>
        <v/>
      </c>
      <c r="F433" s="41" t="str">
        <f>IF(Trades!$A433="","",IFERROR(INDEX(Trades!$V$2:$V$14,MATCH(Trades!$E433,Trades!$U$2:$U$14,0)),""))</f>
        <v/>
      </c>
      <c r="G433" s="41" t="str">
        <f>IF(Trades!$A433="","",Trades!N433)</f>
        <v/>
      </c>
      <c r="H433" s="42" t="str">
        <f>IF(Trades!$A433="","",Trades!F433)</f>
        <v/>
      </c>
      <c r="I433" s="44" t="str">
        <f>IF(Trades!$A433="","",Trades!G433)</f>
        <v/>
      </c>
      <c r="J433" s="44" t="str">
        <f>IF(Trades!$A433="","",Trades!I433)</f>
        <v/>
      </c>
      <c r="K433" s="44" t="str">
        <f>IF(Trades!$A433="","",Trades!Q433)</f>
        <v/>
      </c>
      <c r="L433" s="42" t="str">
        <f>IF(Trades!$A433="","",Trades!F433)</f>
        <v/>
      </c>
      <c r="M433" s="44" t="str">
        <f>IF(Trades!$A433="","",Trades!M433)</f>
        <v/>
      </c>
      <c r="N433" s="44" t="str">
        <f>IF(Trades!$A433="","",Trades!R433)</f>
        <v/>
      </c>
      <c r="O433" s="44" t="str">
        <f>IF(Trades!$A433="","",Trades!J433)</f>
        <v/>
      </c>
      <c r="P433" s="43" t="str">
        <f>IF(Trades!$A433="","",Trades!H433)</f>
        <v/>
      </c>
      <c r="Q433" s="41" t="str">
        <f>IF(Trades!$A433="","",Trades!P433)</f>
        <v/>
      </c>
      <c r="R433" s="45" t="str">
        <f t="shared" si="102"/>
        <v/>
      </c>
      <c r="S433" s="45" t="str">
        <f t="shared" si="103"/>
        <v/>
      </c>
      <c r="T433" s="46" t="str">
        <f>IF(OR($A433="",$B433=""),"",IF(AND(IFERROR(LOOKUP(2,1/($B$9:$B$432=$B433),$AR$9:$AR432),1),NOT(AND(OR($F433="dividend",$F433="fee"),IFERROR(LOOKUP(2,1/($B$9:$B$432=$B433),$T$9:$T432),0)&gt;0))),IFERROR(LOOKUP(2,1/($B$9:$B$432=$B433),$T$9:$T432),0)+1,IFERROR(LOOKUP(2,1/($B$9:$B$432=$B433),$T$9:$T432),0)))</f>
        <v/>
      </c>
      <c r="U433" s="47" t="str">
        <f t="shared" si="104"/>
        <v/>
      </c>
      <c r="V433" s="47" t="str">
        <f>IF($A433="","",IF(OR($B433="",$C433="",$D433="",$E433="",$F433=""),"Missing required field",IF(COUNTIFS($A$9:$A433,$A433,$B$9:$B433,$B433)&gt;1,"Duplicate event ID",IF(AND($E433&lt;&gt;IFERROR(LOOKUP(2,1/($B$9:$B$432=$B433),$E$9:$E432),0),IFERROR(LOOKUP(2,1/($B$9:$B$432=$B433),$E$9:$E432),0)&gt;$E433),"Date out of order",IF(AND(OR($F433="buy_to_close",$F433="expire",$F433="roll",$F433="assignment",$F433="called_away"),$AF433=0),"Unknown lot",IF(OR(AND($F433="assignment",$AF433&gt;0,IF($AF433&gt;0,INDEX($AG$9:$AG$432,$AF433),"")&lt;&gt;"put"),AND($F433="called_away",$AF433&gt;0,IF($AF433&gt;0,INDEX($AG$9:$AG$432,$AF433),"")&lt;&gt;"call")),"Wrong option leg",IF(OR(AND(OR($F433="sell_put",$F433="sell_call"),OR($H433&lt;=0,$I433&lt;=0,$J433&lt;0)),AND(OR($F433="buy_to_close",$F433="expire",$F433="assignment",$F433="called_away"),OR($H433&lt;=0,$J433&lt;0)),AND($F433="roll",OR($H433&lt;=0,$I433&lt;=0,$J433&lt;0,$K433&lt;0)),AND(OR($F433="buy_shares",$F433="sell_shares"),OR($L433&lt;=0,$M433&lt;0)),AND(OR($F433="dividend",$F433="fee"),$N433&lt;0)),"Invalid value",IF(AND(OR($F433="sell_shares",$F433="called_away"),$AL433&lt;IF($F433="called_away",$AE433*$D433,$L433)),"Insufficient shares (capped)",IF(AND(OR($F433="buy_to_close",$F433="expire",$F433="roll",$F433="assignment",$F433="called_away"),$AF433&gt;0,$H433&gt;IF($AF433&gt;0,MAX(0,INDEX($AI$9:$AI$432,$AF433)-SUMIFS($AE$9:$AE$432,$G$9:$G$432,$G433,$B$9:$B$432,$B433)),0)),"Close quantity capped","OK")))))))))</f>
        <v/>
      </c>
      <c r="W433" s="48" t="str">
        <f t="shared" si="105"/>
        <v/>
      </c>
      <c r="X433" s="49" t="str">
        <f t="shared" si="106"/>
        <v/>
      </c>
      <c r="Y433" s="50" t="str">
        <f t="shared" si="107"/>
        <v/>
      </c>
      <c r="Z433" s="50" t="str">
        <f t="shared" si="108"/>
        <v/>
      </c>
      <c r="AA433" s="50" t="str">
        <f t="shared" si="109"/>
        <v/>
      </c>
      <c r="AB433" s="50" t="str">
        <f t="shared" si="110"/>
        <v/>
      </c>
      <c r="AC433" s="50" t="str">
        <f>IF($A433="","",IF($F433="assignment",IF($AF433&gt;0,INDEX($AH$9:$AH$432,$AF433),0)*$AE433*$D433,IF($F433="buy_shares",$M433*$AL433,0)))</f>
        <v/>
      </c>
      <c r="AD433" s="50" t="str">
        <f>IF($A433="","",IF($F433="called_away",IF($AF433&gt;0,INDEX($AH$9:$AH$432,$AF433),0)*$AL433,IF($F433="sell_shares",$M433*$AL433,0)))</f>
        <v/>
      </c>
      <c r="AE433" s="51" t="str">
        <f>IF($A433="","",IF(OR($F433="sell_put",$F433="sell_call"),IF(AND($H433&gt;0,$I433&gt;0,$J433&gt;=0),$H433,0),IF(OR($F433="buy_to_close",$F433="expire",$F433="roll",$F433="assignment",$F433="called_away"),IF(AND($AF433&gt;0,$H433&gt;0,IF($F433="assignment",IF($AF433&gt;0,INDEX($AG$9:$AG$432,$AF433),"")="put",TRUE),IF($F433="called_away",IF($AF433&gt;0,INDEX($AG$9:$AG$432,$AF433),"")="call",TRUE)),MIN($H433,IF($AF433&gt;0,MAX(0,INDEX($AI$9:$AI$432,$AF433)-SUMIFS($AE$9:$AE$432,$G$9:$G$432,$G433,$B$9:$B$432,$B433)),0)),0),0)))</f>
        <v/>
      </c>
      <c r="AF433" t="str">
        <f>IF($A433="","",IFERROR(MATCH(LEN($B433)&amp;":"&amp;$B433&amp;$G433,$AY$9:$AY$432,0),0))</f>
        <v/>
      </c>
      <c r="AG433" t="str">
        <f>IF($A433="","",IF($F433="sell_put","put",IF($F433="sell_call","call",IF($F433="roll",IF($AF433&gt;0,IF($AF433&gt;0,INDEX($AG$9:$AG$432,$AF433),""),""),IF($AF433&gt;0,IF($AF433&gt;0,INDEX($AG$9:$AG$432,$AF433),""),"")))))</f>
        <v/>
      </c>
      <c r="AH433" t="str">
        <f>IF($A433="","",IF(OR($F433="sell_put",$F433="sell_call",$F433="roll"),$I433,IF($AF433&gt;0,IF($AF433&gt;0,INDEX($AH$9:$AH$432,$AF433),0),0)))</f>
        <v/>
      </c>
      <c r="AI433" s="51" t="str">
        <f t="shared" si="111"/>
        <v/>
      </c>
      <c r="AJ433" s="51" t="str">
        <f>IF($A433="","",IFERROR(LOOKUP(2,1/($B$9:$B$432=$B433),$AM$9:$AM432),0))</f>
        <v/>
      </c>
      <c r="AK433" t="str">
        <f>IF($A433="","",IFERROR(LOOKUP(2,1/($B$9:$B$432=$B433),$AN$9:$AN432),0))</f>
        <v/>
      </c>
      <c r="AL433" s="51" t="str">
        <f t="shared" si="112"/>
        <v/>
      </c>
      <c r="AM433" s="51" t="str">
        <f t="shared" si="113"/>
        <v/>
      </c>
      <c r="AN433" t="str">
        <f t="shared" si="114"/>
        <v/>
      </c>
      <c r="AO433" s="50" t="str">
        <f>IF($A433="","",IFERROR(LOOKUP(2,1/($B$9:$B$432=$B433),$AO$9:$AO432),0)+IF($F433="sell_put",$I433*$AE433*$D433,IF($F433="roll",IF($AG433="put",($I433-IF($AF433&gt;0,INDEX($AH$9:$AH$432,$AF433),0))*$AE433*$D433,0),IF(AND(OR($F433="buy_to_close",$F433="expire",$F433="roll",$F433="assignment",$F433="called_away"),$F433&lt;&gt;"roll",$AG433="put"),-IF($AF433&gt;0,INDEX($AH$9:$AH$432,$AF433),0)*$AE433*$D433,0))))</f>
        <v/>
      </c>
      <c r="AP433" s="51" t="str">
        <f>IF($A433="","",IFERROR(LOOKUP(2,1/($B$9:$B$432=$B433),$AP$9:$AP432),0)+IF($F433="sell_put",$AE433*$D433,IF(AND(OR($F433="buy_to_close",$F433="expire",$F433="roll",$F433="assignment",$F433="called_away"),$F433&lt;&gt;"roll",$AG433="put"),-$AE433*$D433,0)))</f>
        <v/>
      </c>
      <c r="AQ433" s="51" t="str">
        <f>IF($A433="","",IFERROR(LOOKUP(2,1/($B$9:$B$432=$B433),$AQ$9:$AQ432),0)+IF(OR($F433="sell_put",$F433="sell_call"),$AE433,0)-IF(AND(OR($F433="buy_to_close",$F433="expire",$F433="roll",$F433="assignment",$F433="called_away"),$F433&lt;&gt;"roll"),$AE433,0))</f>
        <v/>
      </c>
      <c r="AR433" t="str">
        <f t="shared" si="115"/>
        <v/>
      </c>
      <c r="AS433" s="50" t="str">
        <f t="shared" si="116"/>
        <v/>
      </c>
      <c r="AT433" s="50" t="str">
        <f>IF($A433="","",MAX(IF($T433=IFERROR(LOOKUP(2,1/($B$9:$B$432=$B433),$T$9:$T432),0),IFERROR(LOOKUP(2,1/($B$9:$B$432=$B433),$AT$9:$AT432),0),0),$AS433))</f>
        <v/>
      </c>
      <c r="AU433" t="str">
        <f t="shared" si="117"/>
        <v/>
      </c>
      <c r="AV433" s="51">
        <f>IF($AU433="",0,IF(AND(IFERROR(LOOKUP(2,1/($B$9:$B$432=$B433),$AR$9:$AR432),1),NOT(AND(OR($F433="dividend",$F433="fee"),IFERROR(LOOKUP(2,1/($B$9:$B$432=$B433),$T$9:$T432),0)&gt;0))),ROW(),0))</f>
        <v>0</v>
      </c>
      <c r="AW433">
        <f>IF($A433="",0,IF($AV433&gt;0,MAX($AW$9:$AW$432)+1,MAX($AW$9:$AW$432)))</f>
        <v>0</v>
      </c>
      <c r="AX433">
        <f>IF($AU433="",0,IF(AND($AR433,OR(NOT(IFERROR(LOOKUP(2,1/($B$9:$B$432=$B433),$AR$9:$AR432),1)),IFERROR(LOOKUP(2,1/($B$9:$B$432=$B433),$T$9:$T432),0)=0)),ROW(),0))</f>
        <v>0</v>
      </c>
      <c r="AY433" t="str">
        <f t="shared" si="118"/>
        <v/>
      </c>
    </row>
    <row r="434" spans="1:51" ht="15" x14ac:dyDescent="0.25">
      <c r="A434" s="52" t="str">
        <f>IF(Trades!$A434="","",Trades!O434)</f>
        <v/>
      </c>
      <c r="B434" s="52" t="str">
        <f>IF(Trades!$A434="","",Trades!B434)</f>
        <v/>
      </c>
      <c r="C434" s="52" t="str">
        <f>IF(Trades!$A434="","",Trades!C434)</f>
        <v/>
      </c>
      <c r="D434" s="53" t="str">
        <f>IF(Trades!$A434="","",IF(Trades!$L434&gt;0,Trades!$L434,Trades!$C$6))</f>
        <v/>
      </c>
      <c r="E434" s="54" t="str">
        <f>IF(Trades!$A434="","",Trades!A434)</f>
        <v/>
      </c>
      <c r="F434" s="52" t="str">
        <f>IF(Trades!$A434="","",IFERROR(INDEX(Trades!$V$2:$V$14,MATCH(Trades!$E434,Trades!$U$2:$U$14,0)),""))</f>
        <v/>
      </c>
      <c r="G434" s="52" t="str">
        <f>IF(Trades!$A434="","",Trades!N434)</f>
        <v/>
      </c>
      <c r="H434" s="53" t="str">
        <f>IF(Trades!$A434="","",Trades!F434)</f>
        <v/>
      </c>
      <c r="I434" s="55" t="str">
        <f>IF(Trades!$A434="","",Trades!G434)</f>
        <v/>
      </c>
      <c r="J434" s="55" t="str">
        <f>IF(Trades!$A434="","",Trades!I434)</f>
        <v/>
      </c>
      <c r="K434" s="55" t="str">
        <f>IF(Trades!$A434="","",Trades!Q434)</f>
        <v/>
      </c>
      <c r="L434" s="53" t="str">
        <f>IF(Trades!$A434="","",Trades!F434)</f>
        <v/>
      </c>
      <c r="M434" s="55" t="str">
        <f>IF(Trades!$A434="","",Trades!M434)</f>
        <v/>
      </c>
      <c r="N434" s="55" t="str">
        <f>IF(Trades!$A434="","",Trades!R434)</f>
        <v/>
      </c>
      <c r="O434" s="55" t="str">
        <f>IF(Trades!$A434="","",Trades!J434)</f>
        <v/>
      </c>
      <c r="P434" s="54" t="str">
        <f>IF(Trades!$A434="","",Trades!H434)</f>
        <v/>
      </c>
      <c r="Q434" s="52" t="str">
        <f>IF(Trades!$A434="","",Trades!P434)</f>
        <v/>
      </c>
      <c r="R434" s="56" t="str">
        <f t="shared" si="102"/>
        <v/>
      </c>
      <c r="S434" s="56" t="str">
        <f t="shared" si="103"/>
        <v/>
      </c>
      <c r="T434" s="57" t="str">
        <f>IF(OR($A434="",$B434=""),"",IF(AND(IFERROR(LOOKUP(2,1/($B$9:$B$433=$B434),$AR$9:$AR433),1),NOT(AND(OR($F434="dividend",$F434="fee"),IFERROR(LOOKUP(2,1/($B$9:$B$433=$B434),$T$9:$T433),0)&gt;0))),IFERROR(LOOKUP(2,1/($B$9:$B$433=$B434),$T$9:$T433),0)+1,IFERROR(LOOKUP(2,1/($B$9:$B$433=$B434),$T$9:$T433),0)))</f>
        <v/>
      </c>
      <c r="U434" s="58" t="str">
        <f t="shared" si="104"/>
        <v/>
      </c>
      <c r="V434" s="58" t="str">
        <f>IF($A434="","",IF(OR($B434="",$C434="",$D434="",$E434="",$F434=""),"Missing required field",IF(COUNTIFS($A$9:$A434,$A434,$B$9:$B434,$B434)&gt;1,"Duplicate event ID",IF(AND($E434&lt;&gt;IFERROR(LOOKUP(2,1/($B$9:$B$433=$B434),$E$9:$E433),0),IFERROR(LOOKUP(2,1/($B$9:$B$433=$B434),$E$9:$E433),0)&gt;$E434),"Date out of order",IF(AND(OR($F434="buy_to_close",$F434="expire",$F434="roll",$F434="assignment",$F434="called_away"),$AF434=0),"Unknown lot",IF(OR(AND($F434="assignment",$AF434&gt;0,IF($AF434&gt;0,INDEX($AG$9:$AG$433,$AF434),"")&lt;&gt;"put"),AND($F434="called_away",$AF434&gt;0,IF($AF434&gt;0,INDEX($AG$9:$AG$433,$AF434),"")&lt;&gt;"call")),"Wrong option leg",IF(OR(AND(OR($F434="sell_put",$F434="sell_call"),OR($H434&lt;=0,$I434&lt;=0,$J434&lt;0)),AND(OR($F434="buy_to_close",$F434="expire",$F434="assignment",$F434="called_away"),OR($H434&lt;=0,$J434&lt;0)),AND($F434="roll",OR($H434&lt;=0,$I434&lt;=0,$J434&lt;0,$K434&lt;0)),AND(OR($F434="buy_shares",$F434="sell_shares"),OR($L434&lt;=0,$M434&lt;0)),AND(OR($F434="dividend",$F434="fee"),$N434&lt;0)),"Invalid value",IF(AND(OR($F434="sell_shares",$F434="called_away"),$AL434&lt;IF($F434="called_away",$AE434*$D434,$L434)),"Insufficient shares (capped)",IF(AND(OR($F434="buy_to_close",$F434="expire",$F434="roll",$F434="assignment",$F434="called_away"),$AF434&gt;0,$H434&gt;IF($AF434&gt;0,MAX(0,INDEX($AI$9:$AI$433,$AF434)-SUMIFS($AE$9:$AE$433,$G$9:$G$433,$G434,$B$9:$B$433,$B434)),0)),"Close quantity capped","OK")))))))))</f>
        <v/>
      </c>
      <c r="W434" s="59" t="str">
        <f t="shared" si="105"/>
        <v/>
      </c>
      <c r="X434" s="60" t="str">
        <f t="shared" si="106"/>
        <v/>
      </c>
      <c r="Y434" s="50" t="str">
        <f t="shared" si="107"/>
        <v/>
      </c>
      <c r="Z434" s="50" t="str">
        <f t="shared" si="108"/>
        <v/>
      </c>
      <c r="AA434" s="50" t="str">
        <f t="shared" si="109"/>
        <v/>
      </c>
      <c r="AB434" s="50" t="str">
        <f t="shared" si="110"/>
        <v/>
      </c>
      <c r="AC434" s="50" t="str">
        <f>IF($A434="","",IF($F434="assignment",IF($AF434&gt;0,INDEX($AH$9:$AH$433,$AF434),0)*$AE434*$D434,IF($F434="buy_shares",$M434*$AL434,0)))</f>
        <v/>
      </c>
      <c r="AD434" s="50" t="str">
        <f>IF($A434="","",IF($F434="called_away",IF($AF434&gt;0,INDEX($AH$9:$AH$433,$AF434),0)*$AL434,IF($F434="sell_shares",$M434*$AL434,0)))</f>
        <v/>
      </c>
      <c r="AE434" s="51" t="str">
        <f>IF($A434="","",IF(OR($F434="sell_put",$F434="sell_call"),IF(AND($H434&gt;0,$I434&gt;0,$J434&gt;=0),$H434,0),IF(OR($F434="buy_to_close",$F434="expire",$F434="roll",$F434="assignment",$F434="called_away"),IF(AND($AF434&gt;0,$H434&gt;0,IF($F434="assignment",IF($AF434&gt;0,INDEX($AG$9:$AG$433,$AF434),"")="put",TRUE),IF($F434="called_away",IF($AF434&gt;0,INDEX($AG$9:$AG$433,$AF434),"")="call",TRUE)),MIN($H434,IF($AF434&gt;0,MAX(0,INDEX($AI$9:$AI$433,$AF434)-SUMIFS($AE$9:$AE$433,$G$9:$G$433,$G434,$B$9:$B$433,$B434)),0)),0),0)))</f>
        <v/>
      </c>
      <c r="AF434" t="str">
        <f>IF($A434="","",IFERROR(MATCH(LEN($B434)&amp;":"&amp;$B434&amp;$G434,$AY$9:$AY$433,0),0))</f>
        <v/>
      </c>
      <c r="AG434" t="str">
        <f>IF($A434="","",IF($F434="sell_put","put",IF($F434="sell_call","call",IF($F434="roll",IF($AF434&gt;0,IF($AF434&gt;0,INDEX($AG$9:$AG$433,$AF434),""),""),IF($AF434&gt;0,IF($AF434&gt;0,INDEX($AG$9:$AG$433,$AF434),""),"")))))</f>
        <v/>
      </c>
      <c r="AH434" t="str">
        <f>IF($A434="","",IF(OR($F434="sell_put",$F434="sell_call",$F434="roll"),$I434,IF($AF434&gt;0,IF($AF434&gt;0,INDEX($AH$9:$AH$433,$AF434),0),0)))</f>
        <v/>
      </c>
      <c r="AI434" s="51" t="str">
        <f t="shared" si="111"/>
        <v/>
      </c>
      <c r="AJ434" s="51" t="str">
        <f>IF($A434="","",IFERROR(LOOKUP(2,1/($B$9:$B$433=$B434),$AM$9:$AM433),0))</f>
        <v/>
      </c>
      <c r="AK434" t="str">
        <f>IF($A434="","",IFERROR(LOOKUP(2,1/($B$9:$B$433=$B434),$AN$9:$AN433),0))</f>
        <v/>
      </c>
      <c r="AL434" s="51" t="str">
        <f t="shared" si="112"/>
        <v/>
      </c>
      <c r="AM434" s="51" t="str">
        <f t="shared" si="113"/>
        <v/>
      </c>
      <c r="AN434" t="str">
        <f t="shared" si="114"/>
        <v/>
      </c>
      <c r="AO434" s="50" t="str">
        <f>IF($A434="","",IFERROR(LOOKUP(2,1/($B$9:$B$433=$B434),$AO$9:$AO433),0)+IF($F434="sell_put",$I434*$AE434*$D434,IF($F434="roll",IF($AG434="put",($I434-IF($AF434&gt;0,INDEX($AH$9:$AH$433,$AF434),0))*$AE434*$D434,0),IF(AND(OR($F434="buy_to_close",$F434="expire",$F434="roll",$F434="assignment",$F434="called_away"),$F434&lt;&gt;"roll",$AG434="put"),-IF($AF434&gt;0,INDEX($AH$9:$AH$433,$AF434),0)*$AE434*$D434,0))))</f>
        <v/>
      </c>
      <c r="AP434" s="51" t="str">
        <f>IF($A434="","",IFERROR(LOOKUP(2,1/($B$9:$B$433=$B434),$AP$9:$AP433),0)+IF($F434="sell_put",$AE434*$D434,IF(AND(OR($F434="buy_to_close",$F434="expire",$F434="roll",$F434="assignment",$F434="called_away"),$F434&lt;&gt;"roll",$AG434="put"),-$AE434*$D434,0)))</f>
        <v/>
      </c>
      <c r="AQ434" s="51" t="str">
        <f>IF($A434="","",IFERROR(LOOKUP(2,1/($B$9:$B$433=$B434),$AQ$9:$AQ433),0)+IF(OR($F434="sell_put",$F434="sell_call"),$AE434,0)-IF(AND(OR($F434="buy_to_close",$F434="expire",$F434="roll",$F434="assignment",$F434="called_away"),$F434&lt;&gt;"roll"),$AE434,0))</f>
        <v/>
      </c>
      <c r="AR434" t="str">
        <f t="shared" si="115"/>
        <v/>
      </c>
      <c r="AS434" s="50" t="str">
        <f t="shared" si="116"/>
        <v/>
      </c>
      <c r="AT434" s="50" t="str">
        <f>IF($A434="","",MAX(IF($T434=IFERROR(LOOKUP(2,1/($B$9:$B$433=$B434),$T$9:$T433),0),IFERROR(LOOKUP(2,1/($B$9:$B$433=$B434),$AT$9:$AT433),0),0),$AS434))</f>
        <v/>
      </c>
      <c r="AU434" t="str">
        <f t="shared" si="117"/>
        <v/>
      </c>
      <c r="AV434" s="51">
        <f>IF($AU434="",0,IF(AND(IFERROR(LOOKUP(2,1/($B$9:$B$433=$B434),$AR$9:$AR433),1),NOT(AND(OR($F434="dividend",$F434="fee"),IFERROR(LOOKUP(2,1/($B$9:$B$433=$B434),$T$9:$T433),0)&gt;0))),ROW(),0))</f>
        <v>0</v>
      </c>
      <c r="AW434">
        <f>IF($A434="",0,IF($AV434&gt;0,MAX($AW$9:$AW$433)+1,MAX($AW$9:$AW$433)))</f>
        <v>0</v>
      </c>
      <c r="AX434">
        <f>IF($AU434="",0,IF(AND($AR434,OR(NOT(IFERROR(LOOKUP(2,1/($B$9:$B$433=$B434),$AR$9:$AR433),1)),IFERROR(LOOKUP(2,1/($B$9:$B$433=$B434),$T$9:$T433),0)=0)),ROW(),0))</f>
        <v>0</v>
      </c>
      <c r="AY434" t="str">
        <f t="shared" si="118"/>
        <v/>
      </c>
    </row>
    <row r="435" spans="1:51" ht="15" x14ac:dyDescent="0.25">
      <c r="A435" s="41" t="str">
        <f>IF(Trades!$A435="","",Trades!O435)</f>
        <v/>
      </c>
      <c r="B435" s="41" t="str">
        <f>IF(Trades!$A435="","",Trades!B435)</f>
        <v/>
      </c>
      <c r="C435" s="41" t="str">
        <f>IF(Trades!$A435="","",Trades!C435)</f>
        <v/>
      </c>
      <c r="D435" s="42" t="str">
        <f>IF(Trades!$A435="","",IF(Trades!$L435&gt;0,Trades!$L435,Trades!$C$6))</f>
        <v/>
      </c>
      <c r="E435" s="43" t="str">
        <f>IF(Trades!$A435="","",Trades!A435)</f>
        <v/>
      </c>
      <c r="F435" s="41" t="str">
        <f>IF(Trades!$A435="","",IFERROR(INDEX(Trades!$V$2:$V$14,MATCH(Trades!$E435,Trades!$U$2:$U$14,0)),""))</f>
        <v/>
      </c>
      <c r="G435" s="41" t="str">
        <f>IF(Trades!$A435="","",Trades!N435)</f>
        <v/>
      </c>
      <c r="H435" s="42" t="str">
        <f>IF(Trades!$A435="","",Trades!F435)</f>
        <v/>
      </c>
      <c r="I435" s="44" t="str">
        <f>IF(Trades!$A435="","",Trades!G435)</f>
        <v/>
      </c>
      <c r="J435" s="44" t="str">
        <f>IF(Trades!$A435="","",Trades!I435)</f>
        <v/>
      </c>
      <c r="K435" s="44" t="str">
        <f>IF(Trades!$A435="","",Trades!Q435)</f>
        <v/>
      </c>
      <c r="L435" s="42" t="str">
        <f>IF(Trades!$A435="","",Trades!F435)</f>
        <v/>
      </c>
      <c r="M435" s="44" t="str">
        <f>IF(Trades!$A435="","",Trades!M435)</f>
        <v/>
      </c>
      <c r="N435" s="44" t="str">
        <f>IF(Trades!$A435="","",Trades!R435)</f>
        <v/>
      </c>
      <c r="O435" s="44" t="str">
        <f>IF(Trades!$A435="","",Trades!J435)</f>
        <v/>
      </c>
      <c r="P435" s="43" t="str">
        <f>IF(Trades!$A435="","",Trades!H435)</f>
        <v/>
      </c>
      <c r="Q435" s="41" t="str">
        <f>IF(Trades!$A435="","",Trades!P435)</f>
        <v/>
      </c>
      <c r="R435" s="45" t="str">
        <f t="shared" si="102"/>
        <v/>
      </c>
      <c r="S435" s="45" t="str">
        <f t="shared" si="103"/>
        <v/>
      </c>
      <c r="T435" s="46" t="str">
        <f>IF(OR($A435="",$B435=""),"",IF(AND(IFERROR(LOOKUP(2,1/($B$9:$B$434=$B435),$AR$9:$AR434),1),NOT(AND(OR($F435="dividend",$F435="fee"),IFERROR(LOOKUP(2,1/($B$9:$B$434=$B435),$T$9:$T434),0)&gt;0))),IFERROR(LOOKUP(2,1/($B$9:$B$434=$B435),$T$9:$T434),0)+1,IFERROR(LOOKUP(2,1/($B$9:$B$434=$B435),$T$9:$T434),0)))</f>
        <v/>
      </c>
      <c r="U435" s="47" t="str">
        <f t="shared" si="104"/>
        <v/>
      </c>
      <c r="V435" s="47" t="str">
        <f>IF($A435="","",IF(OR($B435="",$C435="",$D435="",$E435="",$F435=""),"Missing required field",IF(COUNTIFS($A$9:$A435,$A435,$B$9:$B435,$B435)&gt;1,"Duplicate event ID",IF(AND($E435&lt;&gt;IFERROR(LOOKUP(2,1/($B$9:$B$434=$B435),$E$9:$E434),0),IFERROR(LOOKUP(2,1/($B$9:$B$434=$B435),$E$9:$E434),0)&gt;$E435),"Date out of order",IF(AND(OR($F435="buy_to_close",$F435="expire",$F435="roll",$F435="assignment",$F435="called_away"),$AF435=0),"Unknown lot",IF(OR(AND($F435="assignment",$AF435&gt;0,IF($AF435&gt;0,INDEX($AG$9:$AG$434,$AF435),"")&lt;&gt;"put"),AND($F435="called_away",$AF435&gt;0,IF($AF435&gt;0,INDEX($AG$9:$AG$434,$AF435),"")&lt;&gt;"call")),"Wrong option leg",IF(OR(AND(OR($F435="sell_put",$F435="sell_call"),OR($H435&lt;=0,$I435&lt;=0,$J435&lt;0)),AND(OR($F435="buy_to_close",$F435="expire",$F435="assignment",$F435="called_away"),OR($H435&lt;=0,$J435&lt;0)),AND($F435="roll",OR($H435&lt;=0,$I435&lt;=0,$J435&lt;0,$K435&lt;0)),AND(OR($F435="buy_shares",$F435="sell_shares"),OR($L435&lt;=0,$M435&lt;0)),AND(OR($F435="dividend",$F435="fee"),$N435&lt;0)),"Invalid value",IF(AND(OR($F435="sell_shares",$F435="called_away"),$AL435&lt;IF($F435="called_away",$AE435*$D435,$L435)),"Insufficient shares (capped)",IF(AND(OR($F435="buy_to_close",$F435="expire",$F435="roll",$F435="assignment",$F435="called_away"),$AF435&gt;0,$H435&gt;IF($AF435&gt;0,MAX(0,INDEX($AI$9:$AI$434,$AF435)-SUMIFS($AE$9:$AE$434,$G$9:$G$434,$G435,$B$9:$B$434,$B435)),0)),"Close quantity capped","OK")))))))))</f>
        <v/>
      </c>
      <c r="W435" s="48" t="str">
        <f t="shared" si="105"/>
        <v/>
      </c>
      <c r="X435" s="49" t="str">
        <f t="shared" si="106"/>
        <v/>
      </c>
      <c r="Y435" s="50" t="str">
        <f t="shared" si="107"/>
        <v/>
      </c>
      <c r="Z435" s="50" t="str">
        <f t="shared" si="108"/>
        <v/>
      </c>
      <c r="AA435" s="50" t="str">
        <f t="shared" si="109"/>
        <v/>
      </c>
      <c r="AB435" s="50" t="str">
        <f t="shared" si="110"/>
        <v/>
      </c>
      <c r="AC435" s="50" t="str">
        <f>IF($A435="","",IF($F435="assignment",IF($AF435&gt;0,INDEX($AH$9:$AH$434,$AF435),0)*$AE435*$D435,IF($F435="buy_shares",$M435*$AL435,0)))</f>
        <v/>
      </c>
      <c r="AD435" s="50" t="str">
        <f>IF($A435="","",IF($F435="called_away",IF($AF435&gt;0,INDEX($AH$9:$AH$434,$AF435),0)*$AL435,IF($F435="sell_shares",$M435*$AL435,0)))</f>
        <v/>
      </c>
      <c r="AE435" s="51" t="str">
        <f>IF($A435="","",IF(OR($F435="sell_put",$F435="sell_call"),IF(AND($H435&gt;0,$I435&gt;0,$J435&gt;=0),$H435,0),IF(OR($F435="buy_to_close",$F435="expire",$F435="roll",$F435="assignment",$F435="called_away"),IF(AND($AF435&gt;0,$H435&gt;0,IF($F435="assignment",IF($AF435&gt;0,INDEX($AG$9:$AG$434,$AF435),"")="put",TRUE),IF($F435="called_away",IF($AF435&gt;0,INDEX($AG$9:$AG$434,$AF435),"")="call",TRUE)),MIN($H435,IF($AF435&gt;0,MAX(0,INDEX($AI$9:$AI$434,$AF435)-SUMIFS($AE$9:$AE$434,$G$9:$G$434,$G435,$B$9:$B$434,$B435)),0)),0),0)))</f>
        <v/>
      </c>
      <c r="AF435" t="str">
        <f>IF($A435="","",IFERROR(MATCH(LEN($B435)&amp;":"&amp;$B435&amp;$G435,$AY$9:$AY$434,0),0))</f>
        <v/>
      </c>
      <c r="AG435" t="str">
        <f>IF($A435="","",IF($F435="sell_put","put",IF($F435="sell_call","call",IF($F435="roll",IF($AF435&gt;0,IF($AF435&gt;0,INDEX($AG$9:$AG$434,$AF435),""),""),IF($AF435&gt;0,IF($AF435&gt;0,INDEX($AG$9:$AG$434,$AF435),""),"")))))</f>
        <v/>
      </c>
      <c r="AH435" t="str">
        <f>IF($A435="","",IF(OR($F435="sell_put",$F435="sell_call",$F435="roll"),$I435,IF($AF435&gt;0,IF($AF435&gt;0,INDEX($AH$9:$AH$434,$AF435),0),0)))</f>
        <v/>
      </c>
      <c r="AI435" s="51" t="str">
        <f t="shared" si="111"/>
        <v/>
      </c>
      <c r="AJ435" s="51" t="str">
        <f>IF($A435="","",IFERROR(LOOKUP(2,1/($B$9:$B$434=$B435),$AM$9:$AM434),0))</f>
        <v/>
      </c>
      <c r="AK435" t="str">
        <f>IF($A435="","",IFERROR(LOOKUP(2,1/($B$9:$B$434=$B435),$AN$9:$AN434),0))</f>
        <v/>
      </c>
      <c r="AL435" s="51" t="str">
        <f t="shared" si="112"/>
        <v/>
      </c>
      <c r="AM435" s="51" t="str">
        <f t="shared" si="113"/>
        <v/>
      </c>
      <c r="AN435" t="str">
        <f t="shared" si="114"/>
        <v/>
      </c>
      <c r="AO435" s="50" t="str">
        <f>IF($A435="","",IFERROR(LOOKUP(2,1/($B$9:$B$434=$B435),$AO$9:$AO434),0)+IF($F435="sell_put",$I435*$AE435*$D435,IF($F435="roll",IF($AG435="put",($I435-IF($AF435&gt;0,INDEX($AH$9:$AH$434,$AF435),0))*$AE435*$D435,0),IF(AND(OR($F435="buy_to_close",$F435="expire",$F435="roll",$F435="assignment",$F435="called_away"),$F435&lt;&gt;"roll",$AG435="put"),-IF($AF435&gt;0,INDEX($AH$9:$AH$434,$AF435),0)*$AE435*$D435,0))))</f>
        <v/>
      </c>
      <c r="AP435" s="51" t="str">
        <f>IF($A435="","",IFERROR(LOOKUP(2,1/($B$9:$B$434=$B435),$AP$9:$AP434),0)+IF($F435="sell_put",$AE435*$D435,IF(AND(OR($F435="buy_to_close",$F435="expire",$F435="roll",$F435="assignment",$F435="called_away"),$F435&lt;&gt;"roll",$AG435="put"),-$AE435*$D435,0)))</f>
        <v/>
      </c>
      <c r="AQ435" s="51" t="str">
        <f>IF($A435="","",IFERROR(LOOKUP(2,1/($B$9:$B$434=$B435),$AQ$9:$AQ434),0)+IF(OR($F435="sell_put",$F435="sell_call"),$AE435,0)-IF(AND(OR($F435="buy_to_close",$F435="expire",$F435="roll",$F435="assignment",$F435="called_away"),$F435&lt;&gt;"roll"),$AE435,0))</f>
        <v/>
      </c>
      <c r="AR435" t="str">
        <f t="shared" si="115"/>
        <v/>
      </c>
      <c r="AS435" s="50" t="str">
        <f t="shared" si="116"/>
        <v/>
      </c>
      <c r="AT435" s="50" t="str">
        <f>IF($A435="","",MAX(IF($T435=IFERROR(LOOKUP(2,1/($B$9:$B$434=$B435),$T$9:$T434),0),IFERROR(LOOKUP(2,1/($B$9:$B$434=$B435),$AT$9:$AT434),0),0),$AS435))</f>
        <v/>
      </c>
      <c r="AU435" t="str">
        <f t="shared" si="117"/>
        <v/>
      </c>
      <c r="AV435" s="51">
        <f>IF($AU435="",0,IF(AND(IFERROR(LOOKUP(2,1/($B$9:$B$434=$B435),$AR$9:$AR434),1),NOT(AND(OR($F435="dividend",$F435="fee"),IFERROR(LOOKUP(2,1/($B$9:$B$434=$B435),$T$9:$T434),0)&gt;0))),ROW(),0))</f>
        <v>0</v>
      </c>
      <c r="AW435">
        <f>IF($A435="",0,IF($AV435&gt;0,MAX($AW$9:$AW$434)+1,MAX($AW$9:$AW$434)))</f>
        <v>0</v>
      </c>
      <c r="AX435">
        <f>IF($AU435="",0,IF(AND($AR435,OR(NOT(IFERROR(LOOKUP(2,1/($B$9:$B$434=$B435),$AR$9:$AR434),1)),IFERROR(LOOKUP(2,1/($B$9:$B$434=$B435),$T$9:$T434),0)=0)),ROW(),0))</f>
        <v>0</v>
      </c>
      <c r="AY435" t="str">
        <f t="shared" si="118"/>
        <v/>
      </c>
    </row>
    <row r="436" spans="1:51" ht="15" x14ac:dyDescent="0.25">
      <c r="A436" s="52" t="str">
        <f>IF(Trades!$A436="","",Trades!O436)</f>
        <v/>
      </c>
      <c r="B436" s="52" t="str">
        <f>IF(Trades!$A436="","",Trades!B436)</f>
        <v/>
      </c>
      <c r="C436" s="52" t="str">
        <f>IF(Trades!$A436="","",Trades!C436)</f>
        <v/>
      </c>
      <c r="D436" s="53" t="str">
        <f>IF(Trades!$A436="","",IF(Trades!$L436&gt;0,Trades!$L436,Trades!$C$6))</f>
        <v/>
      </c>
      <c r="E436" s="54" t="str">
        <f>IF(Trades!$A436="","",Trades!A436)</f>
        <v/>
      </c>
      <c r="F436" s="52" t="str">
        <f>IF(Trades!$A436="","",IFERROR(INDEX(Trades!$V$2:$V$14,MATCH(Trades!$E436,Trades!$U$2:$U$14,0)),""))</f>
        <v/>
      </c>
      <c r="G436" s="52" t="str">
        <f>IF(Trades!$A436="","",Trades!N436)</f>
        <v/>
      </c>
      <c r="H436" s="53" t="str">
        <f>IF(Trades!$A436="","",Trades!F436)</f>
        <v/>
      </c>
      <c r="I436" s="55" t="str">
        <f>IF(Trades!$A436="","",Trades!G436)</f>
        <v/>
      </c>
      <c r="J436" s="55" t="str">
        <f>IF(Trades!$A436="","",Trades!I436)</f>
        <v/>
      </c>
      <c r="K436" s="55" t="str">
        <f>IF(Trades!$A436="","",Trades!Q436)</f>
        <v/>
      </c>
      <c r="L436" s="53" t="str">
        <f>IF(Trades!$A436="","",Trades!F436)</f>
        <v/>
      </c>
      <c r="M436" s="55" t="str">
        <f>IF(Trades!$A436="","",Trades!M436)</f>
        <v/>
      </c>
      <c r="N436" s="55" t="str">
        <f>IF(Trades!$A436="","",Trades!R436)</f>
        <v/>
      </c>
      <c r="O436" s="55" t="str">
        <f>IF(Trades!$A436="","",Trades!J436)</f>
        <v/>
      </c>
      <c r="P436" s="54" t="str">
        <f>IF(Trades!$A436="","",Trades!H436)</f>
        <v/>
      </c>
      <c r="Q436" s="52" t="str">
        <f>IF(Trades!$A436="","",Trades!P436)</f>
        <v/>
      </c>
      <c r="R436" s="56" t="str">
        <f t="shared" si="102"/>
        <v/>
      </c>
      <c r="S436" s="56" t="str">
        <f t="shared" si="103"/>
        <v/>
      </c>
      <c r="T436" s="57" t="str">
        <f>IF(OR($A436="",$B436=""),"",IF(AND(IFERROR(LOOKUP(2,1/($B$9:$B$435=$B436),$AR$9:$AR435),1),NOT(AND(OR($F436="dividend",$F436="fee"),IFERROR(LOOKUP(2,1/($B$9:$B$435=$B436),$T$9:$T435),0)&gt;0))),IFERROR(LOOKUP(2,1/($B$9:$B$435=$B436),$T$9:$T435),0)+1,IFERROR(LOOKUP(2,1/($B$9:$B$435=$B436),$T$9:$T435),0)))</f>
        <v/>
      </c>
      <c r="U436" s="58" t="str">
        <f t="shared" si="104"/>
        <v/>
      </c>
      <c r="V436" s="58" t="str">
        <f>IF($A436="","",IF(OR($B436="",$C436="",$D436="",$E436="",$F436=""),"Missing required field",IF(COUNTIFS($A$9:$A436,$A436,$B$9:$B436,$B436)&gt;1,"Duplicate event ID",IF(AND($E436&lt;&gt;IFERROR(LOOKUP(2,1/($B$9:$B$435=$B436),$E$9:$E435),0),IFERROR(LOOKUP(2,1/($B$9:$B$435=$B436),$E$9:$E435),0)&gt;$E436),"Date out of order",IF(AND(OR($F436="buy_to_close",$F436="expire",$F436="roll",$F436="assignment",$F436="called_away"),$AF436=0),"Unknown lot",IF(OR(AND($F436="assignment",$AF436&gt;0,IF($AF436&gt;0,INDEX($AG$9:$AG$435,$AF436),"")&lt;&gt;"put"),AND($F436="called_away",$AF436&gt;0,IF($AF436&gt;0,INDEX($AG$9:$AG$435,$AF436),"")&lt;&gt;"call")),"Wrong option leg",IF(OR(AND(OR($F436="sell_put",$F436="sell_call"),OR($H436&lt;=0,$I436&lt;=0,$J436&lt;0)),AND(OR($F436="buy_to_close",$F436="expire",$F436="assignment",$F436="called_away"),OR($H436&lt;=0,$J436&lt;0)),AND($F436="roll",OR($H436&lt;=0,$I436&lt;=0,$J436&lt;0,$K436&lt;0)),AND(OR($F436="buy_shares",$F436="sell_shares"),OR($L436&lt;=0,$M436&lt;0)),AND(OR($F436="dividend",$F436="fee"),$N436&lt;0)),"Invalid value",IF(AND(OR($F436="sell_shares",$F436="called_away"),$AL436&lt;IF($F436="called_away",$AE436*$D436,$L436)),"Insufficient shares (capped)",IF(AND(OR($F436="buy_to_close",$F436="expire",$F436="roll",$F436="assignment",$F436="called_away"),$AF436&gt;0,$H436&gt;IF($AF436&gt;0,MAX(0,INDEX($AI$9:$AI$435,$AF436)-SUMIFS($AE$9:$AE$435,$G$9:$G$435,$G436,$B$9:$B$435,$B436)),0)),"Close quantity capped","OK")))))))))</f>
        <v/>
      </c>
      <c r="W436" s="59" t="str">
        <f t="shared" si="105"/>
        <v/>
      </c>
      <c r="X436" s="60" t="str">
        <f t="shared" si="106"/>
        <v/>
      </c>
      <c r="Y436" s="50" t="str">
        <f t="shared" si="107"/>
        <v/>
      </c>
      <c r="Z436" s="50" t="str">
        <f t="shared" si="108"/>
        <v/>
      </c>
      <c r="AA436" s="50" t="str">
        <f t="shared" si="109"/>
        <v/>
      </c>
      <c r="AB436" s="50" t="str">
        <f t="shared" si="110"/>
        <v/>
      </c>
      <c r="AC436" s="50" t="str">
        <f>IF($A436="","",IF($F436="assignment",IF($AF436&gt;0,INDEX($AH$9:$AH$435,$AF436),0)*$AE436*$D436,IF($F436="buy_shares",$M436*$AL436,0)))</f>
        <v/>
      </c>
      <c r="AD436" s="50" t="str">
        <f>IF($A436="","",IF($F436="called_away",IF($AF436&gt;0,INDEX($AH$9:$AH$435,$AF436),0)*$AL436,IF($F436="sell_shares",$M436*$AL436,0)))</f>
        <v/>
      </c>
      <c r="AE436" s="51" t="str">
        <f>IF($A436="","",IF(OR($F436="sell_put",$F436="sell_call"),IF(AND($H436&gt;0,$I436&gt;0,$J436&gt;=0),$H436,0),IF(OR($F436="buy_to_close",$F436="expire",$F436="roll",$F436="assignment",$F436="called_away"),IF(AND($AF436&gt;0,$H436&gt;0,IF($F436="assignment",IF($AF436&gt;0,INDEX($AG$9:$AG$435,$AF436),"")="put",TRUE),IF($F436="called_away",IF($AF436&gt;0,INDEX($AG$9:$AG$435,$AF436),"")="call",TRUE)),MIN($H436,IF($AF436&gt;0,MAX(0,INDEX($AI$9:$AI$435,$AF436)-SUMIFS($AE$9:$AE$435,$G$9:$G$435,$G436,$B$9:$B$435,$B436)),0)),0),0)))</f>
        <v/>
      </c>
      <c r="AF436" t="str">
        <f>IF($A436="","",IFERROR(MATCH(LEN($B436)&amp;":"&amp;$B436&amp;$G436,$AY$9:$AY$435,0),0))</f>
        <v/>
      </c>
      <c r="AG436" t="str">
        <f>IF($A436="","",IF($F436="sell_put","put",IF($F436="sell_call","call",IF($F436="roll",IF($AF436&gt;0,IF($AF436&gt;0,INDEX($AG$9:$AG$435,$AF436),""),""),IF($AF436&gt;0,IF($AF436&gt;0,INDEX($AG$9:$AG$435,$AF436),""),"")))))</f>
        <v/>
      </c>
      <c r="AH436" t="str">
        <f>IF($A436="","",IF(OR($F436="sell_put",$F436="sell_call",$F436="roll"),$I436,IF($AF436&gt;0,IF($AF436&gt;0,INDEX($AH$9:$AH$435,$AF436),0),0)))</f>
        <v/>
      </c>
      <c r="AI436" s="51" t="str">
        <f t="shared" si="111"/>
        <v/>
      </c>
      <c r="AJ436" s="51" t="str">
        <f>IF($A436="","",IFERROR(LOOKUP(2,1/($B$9:$B$435=$B436),$AM$9:$AM435),0))</f>
        <v/>
      </c>
      <c r="AK436" t="str">
        <f>IF($A436="","",IFERROR(LOOKUP(2,1/($B$9:$B$435=$B436),$AN$9:$AN435),0))</f>
        <v/>
      </c>
      <c r="AL436" s="51" t="str">
        <f t="shared" si="112"/>
        <v/>
      </c>
      <c r="AM436" s="51" t="str">
        <f t="shared" si="113"/>
        <v/>
      </c>
      <c r="AN436" t="str">
        <f t="shared" si="114"/>
        <v/>
      </c>
      <c r="AO436" s="50" t="str">
        <f>IF($A436="","",IFERROR(LOOKUP(2,1/($B$9:$B$435=$B436),$AO$9:$AO435),0)+IF($F436="sell_put",$I436*$AE436*$D436,IF($F436="roll",IF($AG436="put",($I436-IF($AF436&gt;0,INDEX($AH$9:$AH$435,$AF436),0))*$AE436*$D436,0),IF(AND(OR($F436="buy_to_close",$F436="expire",$F436="roll",$F436="assignment",$F436="called_away"),$F436&lt;&gt;"roll",$AG436="put"),-IF($AF436&gt;0,INDEX($AH$9:$AH$435,$AF436),0)*$AE436*$D436,0))))</f>
        <v/>
      </c>
      <c r="AP436" s="51" t="str">
        <f>IF($A436="","",IFERROR(LOOKUP(2,1/($B$9:$B$435=$B436),$AP$9:$AP435),0)+IF($F436="sell_put",$AE436*$D436,IF(AND(OR($F436="buy_to_close",$F436="expire",$F436="roll",$F436="assignment",$F436="called_away"),$F436&lt;&gt;"roll",$AG436="put"),-$AE436*$D436,0)))</f>
        <v/>
      </c>
      <c r="AQ436" s="51" t="str">
        <f>IF($A436="","",IFERROR(LOOKUP(2,1/($B$9:$B$435=$B436),$AQ$9:$AQ435),0)+IF(OR($F436="sell_put",$F436="sell_call"),$AE436,0)-IF(AND(OR($F436="buy_to_close",$F436="expire",$F436="roll",$F436="assignment",$F436="called_away"),$F436&lt;&gt;"roll"),$AE436,0))</f>
        <v/>
      </c>
      <c r="AR436" t="str">
        <f t="shared" si="115"/>
        <v/>
      </c>
      <c r="AS436" s="50" t="str">
        <f t="shared" si="116"/>
        <v/>
      </c>
      <c r="AT436" s="50" t="str">
        <f>IF($A436="","",MAX(IF($T436=IFERROR(LOOKUP(2,1/($B$9:$B$435=$B436),$T$9:$T435),0),IFERROR(LOOKUP(2,1/($B$9:$B$435=$B436),$AT$9:$AT435),0),0),$AS436))</f>
        <v/>
      </c>
      <c r="AU436" t="str">
        <f t="shared" si="117"/>
        <v/>
      </c>
      <c r="AV436" s="51">
        <f>IF($AU436="",0,IF(AND(IFERROR(LOOKUP(2,1/($B$9:$B$435=$B436),$AR$9:$AR435),1),NOT(AND(OR($F436="dividend",$F436="fee"),IFERROR(LOOKUP(2,1/($B$9:$B$435=$B436),$T$9:$T435),0)&gt;0))),ROW(),0))</f>
        <v>0</v>
      </c>
      <c r="AW436">
        <f>IF($A436="",0,IF($AV436&gt;0,MAX($AW$9:$AW$435)+1,MAX($AW$9:$AW$435)))</f>
        <v>0</v>
      </c>
      <c r="AX436">
        <f>IF($AU436="",0,IF(AND($AR436,OR(NOT(IFERROR(LOOKUP(2,1/($B$9:$B$435=$B436),$AR$9:$AR435),1)),IFERROR(LOOKUP(2,1/($B$9:$B$435=$B436),$T$9:$T435),0)=0)),ROW(),0))</f>
        <v>0</v>
      </c>
      <c r="AY436" t="str">
        <f t="shared" si="118"/>
        <v/>
      </c>
    </row>
    <row r="437" spans="1:51" ht="15" x14ac:dyDescent="0.25">
      <c r="A437" s="41" t="str">
        <f>IF(Trades!$A437="","",Trades!O437)</f>
        <v/>
      </c>
      <c r="B437" s="41" t="str">
        <f>IF(Trades!$A437="","",Trades!B437)</f>
        <v/>
      </c>
      <c r="C437" s="41" t="str">
        <f>IF(Trades!$A437="","",Trades!C437)</f>
        <v/>
      </c>
      <c r="D437" s="42" t="str">
        <f>IF(Trades!$A437="","",IF(Trades!$L437&gt;0,Trades!$L437,Trades!$C$6))</f>
        <v/>
      </c>
      <c r="E437" s="43" t="str">
        <f>IF(Trades!$A437="","",Trades!A437)</f>
        <v/>
      </c>
      <c r="F437" s="41" t="str">
        <f>IF(Trades!$A437="","",IFERROR(INDEX(Trades!$V$2:$V$14,MATCH(Trades!$E437,Trades!$U$2:$U$14,0)),""))</f>
        <v/>
      </c>
      <c r="G437" s="41" t="str">
        <f>IF(Trades!$A437="","",Trades!N437)</f>
        <v/>
      </c>
      <c r="H437" s="42" t="str">
        <f>IF(Trades!$A437="","",Trades!F437)</f>
        <v/>
      </c>
      <c r="I437" s="44" t="str">
        <f>IF(Trades!$A437="","",Trades!G437)</f>
        <v/>
      </c>
      <c r="J437" s="44" t="str">
        <f>IF(Trades!$A437="","",Trades!I437)</f>
        <v/>
      </c>
      <c r="K437" s="44" t="str">
        <f>IF(Trades!$A437="","",Trades!Q437)</f>
        <v/>
      </c>
      <c r="L437" s="42" t="str">
        <f>IF(Trades!$A437="","",Trades!F437)</f>
        <v/>
      </c>
      <c r="M437" s="44" t="str">
        <f>IF(Trades!$A437="","",Trades!M437)</f>
        <v/>
      </c>
      <c r="N437" s="44" t="str">
        <f>IF(Trades!$A437="","",Trades!R437)</f>
        <v/>
      </c>
      <c r="O437" s="44" t="str">
        <f>IF(Trades!$A437="","",Trades!J437)</f>
        <v/>
      </c>
      <c r="P437" s="43" t="str">
        <f>IF(Trades!$A437="","",Trades!H437)</f>
        <v/>
      </c>
      <c r="Q437" s="41" t="str">
        <f>IF(Trades!$A437="","",Trades!P437)</f>
        <v/>
      </c>
      <c r="R437" s="45" t="str">
        <f t="shared" si="102"/>
        <v/>
      </c>
      <c r="S437" s="45" t="str">
        <f t="shared" si="103"/>
        <v/>
      </c>
      <c r="T437" s="46" t="str">
        <f>IF(OR($A437="",$B437=""),"",IF(AND(IFERROR(LOOKUP(2,1/($B$9:$B$436=$B437),$AR$9:$AR436),1),NOT(AND(OR($F437="dividend",$F437="fee"),IFERROR(LOOKUP(2,1/($B$9:$B$436=$B437),$T$9:$T436),0)&gt;0))),IFERROR(LOOKUP(2,1/($B$9:$B$436=$B437),$T$9:$T436),0)+1,IFERROR(LOOKUP(2,1/($B$9:$B$436=$B437),$T$9:$T436),0)))</f>
        <v/>
      </c>
      <c r="U437" s="47" t="str">
        <f t="shared" si="104"/>
        <v/>
      </c>
      <c r="V437" s="47" t="str">
        <f>IF($A437="","",IF(OR($B437="",$C437="",$D437="",$E437="",$F437=""),"Missing required field",IF(COUNTIFS($A$9:$A437,$A437,$B$9:$B437,$B437)&gt;1,"Duplicate event ID",IF(AND($E437&lt;&gt;IFERROR(LOOKUP(2,1/($B$9:$B$436=$B437),$E$9:$E436),0),IFERROR(LOOKUP(2,1/($B$9:$B$436=$B437),$E$9:$E436),0)&gt;$E437),"Date out of order",IF(AND(OR($F437="buy_to_close",$F437="expire",$F437="roll",$F437="assignment",$F437="called_away"),$AF437=0),"Unknown lot",IF(OR(AND($F437="assignment",$AF437&gt;0,IF($AF437&gt;0,INDEX($AG$9:$AG$436,$AF437),"")&lt;&gt;"put"),AND($F437="called_away",$AF437&gt;0,IF($AF437&gt;0,INDEX($AG$9:$AG$436,$AF437),"")&lt;&gt;"call")),"Wrong option leg",IF(OR(AND(OR($F437="sell_put",$F437="sell_call"),OR($H437&lt;=0,$I437&lt;=0,$J437&lt;0)),AND(OR($F437="buy_to_close",$F437="expire",$F437="assignment",$F437="called_away"),OR($H437&lt;=0,$J437&lt;0)),AND($F437="roll",OR($H437&lt;=0,$I437&lt;=0,$J437&lt;0,$K437&lt;0)),AND(OR($F437="buy_shares",$F437="sell_shares"),OR($L437&lt;=0,$M437&lt;0)),AND(OR($F437="dividend",$F437="fee"),$N437&lt;0)),"Invalid value",IF(AND(OR($F437="sell_shares",$F437="called_away"),$AL437&lt;IF($F437="called_away",$AE437*$D437,$L437)),"Insufficient shares (capped)",IF(AND(OR($F437="buy_to_close",$F437="expire",$F437="roll",$F437="assignment",$F437="called_away"),$AF437&gt;0,$H437&gt;IF($AF437&gt;0,MAX(0,INDEX($AI$9:$AI$436,$AF437)-SUMIFS($AE$9:$AE$436,$G$9:$G$436,$G437,$B$9:$B$436,$B437)),0)),"Close quantity capped","OK")))))))))</f>
        <v/>
      </c>
      <c r="W437" s="48" t="str">
        <f t="shared" si="105"/>
        <v/>
      </c>
      <c r="X437" s="49" t="str">
        <f t="shared" si="106"/>
        <v/>
      </c>
      <c r="Y437" s="50" t="str">
        <f t="shared" si="107"/>
        <v/>
      </c>
      <c r="Z437" s="50" t="str">
        <f t="shared" si="108"/>
        <v/>
      </c>
      <c r="AA437" s="50" t="str">
        <f t="shared" si="109"/>
        <v/>
      </c>
      <c r="AB437" s="50" t="str">
        <f t="shared" si="110"/>
        <v/>
      </c>
      <c r="AC437" s="50" t="str">
        <f>IF($A437="","",IF($F437="assignment",IF($AF437&gt;0,INDEX($AH$9:$AH$436,$AF437),0)*$AE437*$D437,IF($F437="buy_shares",$M437*$AL437,0)))</f>
        <v/>
      </c>
      <c r="AD437" s="50" t="str">
        <f>IF($A437="","",IF($F437="called_away",IF($AF437&gt;0,INDEX($AH$9:$AH$436,$AF437),0)*$AL437,IF($F437="sell_shares",$M437*$AL437,0)))</f>
        <v/>
      </c>
      <c r="AE437" s="51" t="str">
        <f>IF($A437="","",IF(OR($F437="sell_put",$F437="sell_call"),IF(AND($H437&gt;0,$I437&gt;0,$J437&gt;=0),$H437,0),IF(OR($F437="buy_to_close",$F437="expire",$F437="roll",$F437="assignment",$F437="called_away"),IF(AND($AF437&gt;0,$H437&gt;0,IF($F437="assignment",IF($AF437&gt;0,INDEX($AG$9:$AG$436,$AF437),"")="put",TRUE),IF($F437="called_away",IF($AF437&gt;0,INDEX($AG$9:$AG$436,$AF437),"")="call",TRUE)),MIN($H437,IF($AF437&gt;0,MAX(0,INDEX($AI$9:$AI$436,$AF437)-SUMIFS($AE$9:$AE$436,$G$9:$G$436,$G437,$B$9:$B$436,$B437)),0)),0),0)))</f>
        <v/>
      </c>
      <c r="AF437" t="str">
        <f>IF($A437="","",IFERROR(MATCH(LEN($B437)&amp;":"&amp;$B437&amp;$G437,$AY$9:$AY$436,0),0))</f>
        <v/>
      </c>
      <c r="AG437" t="str">
        <f>IF($A437="","",IF($F437="sell_put","put",IF($F437="sell_call","call",IF($F437="roll",IF($AF437&gt;0,IF($AF437&gt;0,INDEX($AG$9:$AG$436,$AF437),""),""),IF($AF437&gt;0,IF($AF437&gt;0,INDEX($AG$9:$AG$436,$AF437),""),"")))))</f>
        <v/>
      </c>
      <c r="AH437" t="str">
        <f>IF($A437="","",IF(OR($F437="sell_put",$F437="sell_call",$F437="roll"),$I437,IF($AF437&gt;0,IF($AF437&gt;0,INDEX($AH$9:$AH$436,$AF437),0),0)))</f>
        <v/>
      </c>
      <c r="AI437" s="51" t="str">
        <f t="shared" si="111"/>
        <v/>
      </c>
      <c r="AJ437" s="51" t="str">
        <f>IF($A437="","",IFERROR(LOOKUP(2,1/($B$9:$B$436=$B437),$AM$9:$AM436),0))</f>
        <v/>
      </c>
      <c r="AK437" t="str">
        <f>IF($A437="","",IFERROR(LOOKUP(2,1/($B$9:$B$436=$B437),$AN$9:$AN436),0))</f>
        <v/>
      </c>
      <c r="AL437" s="51" t="str">
        <f t="shared" si="112"/>
        <v/>
      </c>
      <c r="AM437" s="51" t="str">
        <f t="shared" si="113"/>
        <v/>
      </c>
      <c r="AN437" t="str">
        <f t="shared" si="114"/>
        <v/>
      </c>
      <c r="AO437" s="50" t="str">
        <f>IF($A437="","",IFERROR(LOOKUP(2,1/($B$9:$B$436=$B437),$AO$9:$AO436),0)+IF($F437="sell_put",$I437*$AE437*$D437,IF($F437="roll",IF($AG437="put",($I437-IF($AF437&gt;0,INDEX($AH$9:$AH$436,$AF437),0))*$AE437*$D437,0),IF(AND(OR($F437="buy_to_close",$F437="expire",$F437="roll",$F437="assignment",$F437="called_away"),$F437&lt;&gt;"roll",$AG437="put"),-IF($AF437&gt;0,INDEX($AH$9:$AH$436,$AF437),0)*$AE437*$D437,0))))</f>
        <v/>
      </c>
      <c r="AP437" s="51" t="str">
        <f>IF($A437="","",IFERROR(LOOKUP(2,1/($B$9:$B$436=$B437),$AP$9:$AP436),0)+IF($F437="sell_put",$AE437*$D437,IF(AND(OR($F437="buy_to_close",$F437="expire",$F437="roll",$F437="assignment",$F437="called_away"),$F437&lt;&gt;"roll",$AG437="put"),-$AE437*$D437,0)))</f>
        <v/>
      </c>
      <c r="AQ437" s="51" t="str">
        <f>IF($A437="","",IFERROR(LOOKUP(2,1/($B$9:$B$436=$B437),$AQ$9:$AQ436),0)+IF(OR($F437="sell_put",$F437="sell_call"),$AE437,0)-IF(AND(OR($F437="buy_to_close",$F437="expire",$F437="roll",$F437="assignment",$F437="called_away"),$F437&lt;&gt;"roll"),$AE437,0))</f>
        <v/>
      </c>
      <c r="AR437" t="str">
        <f t="shared" si="115"/>
        <v/>
      </c>
      <c r="AS437" s="50" t="str">
        <f t="shared" si="116"/>
        <v/>
      </c>
      <c r="AT437" s="50" t="str">
        <f>IF($A437="","",MAX(IF($T437=IFERROR(LOOKUP(2,1/($B$9:$B$436=$B437),$T$9:$T436),0),IFERROR(LOOKUP(2,1/($B$9:$B$436=$B437),$AT$9:$AT436),0),0),$AS437))</f>
        <v/>
      </c>
      <c r="AU437" t="str">
        <f t="shared" si="117"/>
        <v/>
      </c>
      <c r="AV437" s="51">
        <f>IF($AU437="",0,IF(AND(IFERROR(LOOKUP(2,1/($B$9:$B$436=$B437),$AR$9:$AR436),1),NOT(AND(OR($F437="dividend",$F437="fee"),IFERROR(LOOKUP(2,1/($B$9:$B$436=$B437),$T$9:$T436),0)&gt;0))),ROW(),0))</f>
        <v>0</v>
      </c>
      <c r="AW437">
        <f>IF($A437="",0,IF($AV437&gt;0,MAX($AW$9:$AW$436)+1,MAX($AW$9:$AW$436)))</f>
        <v>0</v>
      </c>
      <c r="AX437">
        <f>IF($AU437="",0,IF(AND($AR437,OR(NOT(IFERROR(LOOKUP(2,1/($B$9:$B$436=$B437),$AR$9:$AR436),1)),IFERROR(LOOKUP(2,1/($B$9:$B$436=$B437),$T$9:$T436),0)=0)),ROW(),0))</f>
        <v>0</v>
      </c>
      <c r="AY437" t="str">
        <f t="shared" si="118"/>
        <v/>
      </c>
    </row>
    <row r="438" spans="1:51" ht="15" x14ac:dyDescent="0.25">
      <c r="A438" s="52" t="str">
        <f>IF(Trades!$A438="","",Trades!O438)</f>
        <v/>
      </c>
      <c r="B438" s="52" t="str">
        <f>IF(Trades!$A438="","",Trades!B438)</f>
        <v/>
      </c>
      <c r="C438" s="52" t="str">
        <f>IF(Trades!$A438="","",Trades!C438)</f>
        <v/>
      </c>
      <c r="D438" s="53" t="str">
        <f>IF(Trades!$A438="","",IF(Trades!$L438&gt;0,Trades!$L438,Trades!$C$6))</f>
        <v/>
      </c>
      <c r="E438" s="54" t="str">
        <f>IF(Trades!$A438="","",Trades!A438)</f>
        <v/>
      </c>
      <c r="F438" s="52" t="str">
        <f>IF(Trades!$A438="","",IFERROR(INDEX(Trades!$V$2:$V$14,MATCH(Trades!$E438,Trades!$U$2:$U$14,0)),""))</f>
        <v/>
      </c>
      <c r="G438" s="52" t="str">
        <f>IF(Trades!$A438="","",Trades!N438)</f>
        <v/>
      </c>
      <c r="H438" s="53" t="str">
        <f>IF(Trades!$A438="","",Trades!F438)</f>
        <v/>
      </c>
      <c r="I438" s="55" t="str">
        <f>IF(Trades!$A438="","",Trades!G438)</f>
        <v/>
      </c>
      <c r="J438" s="55" t="str">
        <f>IF(Trades!$A438="","",Trades!I438)</f>
        <v/>
      </c>
      <c r="K438" s="55" t="str">
        <f>IF(Trades!$A438="","",Trades!Q438)</f>
        <v/>
      </c>
      <c r="L438" s="53" t="str">
        <f>IF(Trades!$A438="","",Trades!F438)</f>
        <v/>
      </c>
      <c r="M438" s="55" t="str">
        <f>IF(Trades!$A438="","",Trades!M438)</f>
        <v/>
      </c>
      <c r="N438" s="55" t="str">
        <f>IF(Trades!$A438="","",Trades!R438)</f>
        <v/>
      </c>
      <c r="O438" s="55" t="str">
        <f>IF(Trades!$A438="","",Trades!J438)</f>
        <v/>
      </c>
      <c r="P438" s="54" t="str">
        <f>IF(Trades!$A438="","",Trades!H438)</f>
        <v/>
      </c>
      <c r="Q438" s="52" t="str">
        <f>IF(Trades!$A438="","",Trades!P438)</f>
        <v/>
      </c>
      <c r="R438" s="56" t="str">
        <f t="shared" si="102"/>
        <v/>
      </c>
      <c r="S438" s="56" t="str">
        <f t="shared" si="103"/>
        <v/>
      </c>
      <c r="T438" s="57" t="str">
        <f>IF(OR($A438="",$B438=""),"",IF(AND(IFERROR(LOOKUP(2,1/($B$9:$B$437=$B438),$AR$9:$AR437),1),NOT(AND(OR($F438="dividend",$F438="fee"),IFERROR(LOOKUP(2,1/($B$9:$B$437=$B438),$T$9:$T437),0)&gt;0))),IFERROR(LOOKUP(2,1/($B$9:$B$437=$B438),$T$9:$T437),0)+1,IFERROR(LOOKUP(2,1/($B$9:$B$437=$B438),$T$9:$T437),0)))</f>
        <v/>
      </c>
      <c r="U438" s="58" t="str">
        <f t="shared" si="104"/>
        <v/>
      </c>
      <c r="V438" s="58" t="str">
        <f>IF($A438="","",IF(OR($B438="",$C438="",$D438="",$E438="",$F438=""),"Missing required field",IF(COUNTIFS($A$9:$A438,$A438,$B$9:$B438,$B438)&gt;1,"Duplicate event ID",IF(AND($E438&lt;&gt;IFERROR(LOOKUP(2,1/($B$9:$B$437=$B438),$E$9:$E437),0),IFERROR(LOOKUP(2,1/($B$9:$B$437=$B438),$E$9:$E437),0)&gt;$E438),"Date out of order",IF(AND(OR($F438="buy_to_close",$F438="expire",$F438="roll",$F438="assignment",$F438="called_away"),$AF438=0),"Unknown lot",IF(OR(AND($F438="assignment",$AF438&gt;0,IF($AF438&gt;0,INDEX($AG$9:$AG$437,$AF438),"")&lt;&gt;"put"),AND($F438="called_away",$AF438&gt;0,IF($AF438&gt;0,INDEX($AG$9:$AG$437,$AF438),"")&lt;&gt;"call")),"Wrong option leg",IF(OR(AND(OR($F438="sell_put",$F438="sell_call"),OR($H438&lt;=0,$I438&lt;=0,$J438&lt;0)),AND(OR($F438="buy_to_close",$F438="expire",$F438="assignment",$F438="called_away"),OR($H438&lt;=0,$J438&lt;0)),AND($F438="roll",OR($H438&lt;=0,$I438&lt;=0,$J438&lt;0,$K438&lt;0)),AND(OR($F438="buy_shares",$F438="sell_shares"),OR($L438&lt;=0,$M438&lt;0)),AND(OR($F438="dividend",$F438="fee"),$N438&lt;0)),"Invalid value",IF(AND(OR($F438="sell_shares",$F438="called_away"),$AL438&lt;IF($F438="called_away",$AE438*$D438,$L438)),"Insufficient shares (capped)",IF(AND(OR($F438="buy_to_close",$F438="expire",$F438="roll",$F438="assignment",$F438="called_away"),$AF438&gt;0,$H438&gt;IF($AF438&gt;0,MAX(0,INDEX($AI$9:$AI$437,$AF438)-SUMIFS($AE$9:$AE$437,$G$9:$G$437,$G438,$B$9:$B$437,$B438)),0)),"Close quantity capped","OK")))))))))</f>
        <v/>
      </c>
      <c r="W438" s="59" t="str">
        <f t="shared" si="105"/>
        <v/>
      </c>
      <c r="X438" s="60" t="str">
        <f t="shared" si="106"/>
        <v/>
      </c>
      <c r="Y438" s="50" t="str">
        <f t="shared" si="107"/>
        <v/>
      </c>
      <c r="Z438" s="50" t="str">
        <f t="shared" si="108"/>
        <v/>
      </c>
      <c r="AA438" s="50" t="str">
        <f t="shared" si="109"/>
        <v/>
      </c>
      <c r="AB438" s="50" t="str">
        <f t="shared" si="110"/>
        <v/>
      </c>
      <c r="AC438" s="50" t="str">
        <f>IF($A438="","",IF($F438="assignment",IF($AF438&gt;0,INDEX($AH$9:$AH$437,$AF438),0)*$AE438*$D438,IF($F438="buy_shares",$M438*$AL438,0)))</f>
        <v/>
      </c>
      <c r="AD438" s="50" t="str">
        <f>IF($A438="","",IF($F438="called_away",IF($AF438&gt;0,INDEX($AH$9:$AH$437,$AF438),0)*$AL438,IF($F438="sell_shares",$M438*$AL438,0)))</f>
        <v/>
      </c>
      <c r="AE438" s="51" t="str">
        <f>IF($A438="","",IF(OR($F438="sell_put",$F438="sell_call"),IF(AND($H438&gt;0,$I438&gt;0,$J438&gt;=0),$H438,0),IF(OR($F438="buy_to_close",$F438="expire",$F438="roll",$F438="assignment",$F438="called_away"),IF(AND($AF438&gt;0,$H438&gt;0,IF($F438="assignment",IF($AF438&gt;0,INDEX($AG$9:$AG$437,$AF438),"")="put",TRUE),IF($F438="called_away",IF($AF438&gt;0,INDEX($AG$9:$AG$437,$AF438),"")="call",TRUE)),MIN($H438,IF($AF438&gt;0,MAX(0,INDEX($AI$9:$AI$437,$AF438)-SUMIFS($AE$9:$AE$437,$G$9:$G$437,$G438,$B$9:$B$437,$B438)),0)),0),0)))</f>
        <v/>
      </c>
      <c r="AF438" t="str">
        <f>IF($A438="","",IFERROR(MATCH(LEN($B438)&amp;":"&amp;$B438&amp;$G438,$AY$9:$AY$437,0),0))</f>
        <v/>
      </c>
      <c r="AG438" t="str">
        <f>IF($A438="","",IF($F438="sell_put","put",IF($F438="sell_call","call",IF($F438="roll",IF($AF438&gt;0,IF($AF438&gt;0,INDEX($AG$9:$AG$437,$AF438),""),""),IF($AF438&gt;0,IF($AF438&gt;0,INDEX($AG$9:$AG$437,$AF438),""),"")))))</f>
        <v/>
      </c>
      <c r="AH438" t="str">
        <f>IF($A438="","",IF(OR($F438="sell_put",$F438="sell_call",$F438="roll"),$I438,IF($AF438&gt;0,IF($AF438&gt;0,INDEX($AH$9:$AH$437,$AF438),0),0)))</f>
        <v/>
      </c>
      <c r="AI438" s="51" t="str">
        <f t="shared" si="111"/>
        <v/>
      </c>
      <c r="AJ438" s="51" t="str">
        <f>IF($A438="","",IFERROR(LOOKUP(2,1/($B$9:$B$437=$B438),$AM$9:$AM437),0))</f>
        <v/>
      </c>
      <c r="AK438" t="str">
        <f>IF($A438="","",IFERROR(LOOKUP(2,1/($B$9:$B$437=$B438),$AN$9:$AN437),0))</f>
        <v/>
      </c>
      <c r="AL438" s="51" t="str">
        <f t="shared" si="112"/>
        <v/>
      </c>
      <c r="AM438" s="51" t="str">
        <f t="shared" si="113"/>
        <v/>
      </c>
      <c r="AN438" t="str">
        <f t="shared" si="114"/>
        <v/>
      </c>
      <c r="AO438" s="50" t="str">
        <f>IF($A438="","",IFERROR(LOOKUP(2,1/($B$9:$B$437=$B438),$AO$9:$AO437),0)+IF($F438="sell_put",$I438*$AE438*$D438,IF($F438="roll",IF($AG438="put",($I438-IF($AF438&gt;0,INDEX($AH$9:$AH$437,$AF438),0))*$AE438*$D438,0),IF(AND(OR($F438="buy_to_close",$F438="expire",$F438="roll",$F438="assignment",$F438="called_away"),$F438&lt;&gt;"roll",$AG438="put"),-IF($AF438&gt;0,INDEX($AH$9:$AH$437,$AF438),0)*$AE438*$D438,0))))</f>
        <v/>
      </c>
      <c r="AP438" s="51" t="str">
        <f>IF($A438="","",IFERROR(LOOKUP(2,1/($B$9:$B$437=$B438),$AP$9:$AP437),0)+IF($F438="sell_put",$AE438*$D438,IF(AND(OR($F438="buy_to_close",$F438="expire",$F438="roll",$F438="assignment",$F438="called_away"),$F438&lt;&gt;"roll",$AG438="put"),-$AE438*$D438,0)))</f>
        <v/>
      </c>
      <c r="AQ438" s="51" t="str">
        <f>IF($A438="","",IFERROR(LOOKUP(2,1/($B$9:$B$437=$B438),$AQ$9:$AQ437),0)+IF(OR($F438="sell_put",$F438="sell_call"),$AE438,0)-IF(AND(OR($F438="buy_to_close",$F438="expire",$F438="roll",$F438="assignment",$F438="called_away"),$F438&lt;&gt;"roll"),$AE438,0))</f>
        <v/>
      </c>
      <c r="AR438" t="str">
        <f t="shared" si="115"/>
        <v/>
      </c>
      <c r="AS438" s="50" t="str">
        <f t="shared" si="116"/>
        <v/>
      </c>
      <c r="AT438" s="50" t="str">
        <f>IF($A438="","",MAX(IF($T438=IFERROR(LOOKUP(2,1/($B$9:$B$437=$B438),$T$9:$T437),0),IFERROR(LOOKUP(2,1/($B$9:$B$437=$B438),$AT$9:$AT437),0),0),$AS438))</f>
        <v/>
      </c>
      <c r="AU438" t="str">
        <f t="shared" si="117"/>
        <v/>
      </c>
      <c r="AV438" s="51">
        <f>IF($AU438="",0,IF(AND(IFERROR(LOOKUP(2,1/($B$9:$B$437=$B438),$AR$9:$AR437),1),NOT(AND(OR($F438="dividend",$F438="fee"),IFERROR(LOOKUP(2,1/($B$9:$B$437=$B438),$T$9:$T437),0)&gt;0))),ROW(),0))</f>
        <v>0</v>
      </c>
      <c r="AW438">
        <f>IF($A438="",0,IF($AV438&gt;0,MAX($AW$9:$AW$437)+1,MAX($AW$9:$AW$437)))</f>
        <v>0</v>
      </c>
      <c r="AX438">
        <f>IF($AU438="",0,IF(AND($AR438,OR(NOT(IFERROR(LOOKUP(2,1/($B$9:$B$437=$B438),$AR$9:$AR437),1)),IFERROR(LOOKUP(2,1/($B$9:$B$437=$B438),$T$9:$T437),0)=0)),ROW(),0))</f>
        <v>0</v>
      </c>
      <c r="AY438" t="str">
        <f t="shared" si="118"/>
        <v/>
      </c>
    </row>
    <row r="439" spans="1:51" ht="15" x14ac:dyDescent="0.25">
      <c r="A439" s="41" t="str">
        <f>IF(Trades!$A439="","",Trades!O439)</f>
        <v/>
      </c>
      <c r="B439" s="41" t="str">
        <f>IF(Trades!$A439="","",Trades!B439)</f>
        <v/>
      </c>
      <c r="C439" s="41" t="str">
        <f>IF(Trades!$A439="","",Trades!C439)</f>
        <v/>
      </c>
      <c r="D439" s="42" t="str">
        <f>IF(Trades!$A439="","",IF(Trades!$L439&gt;0,Trades!$L439,Trades!$C$6))</f>
        <v/>
      </c>
      <c r="E439" s="43" t="str">
        <f>IF(Trades!$A439="","",Trades!A439)</f>
        <v/>
      </c>
      <c r="F439" s="41" t="str">
        <f>IF(Trades!$A439="","",IFERROR(INDEX(Trades!$V$2:$V$14,MATCH(Trades!$E439,Trades!$U$2:$U$14,0)),""))</f>
        <v/>
      </c>
      <c r="G439" s="41" t="str">
        <f>IF(Trades!$A439="","",Trades!N439)</f>
        <v/>
      </c>
      <c r="H439" s="42" t="str">
        <f>IF(Trades!$A439="","",Trades!F439)</f>
        <v/>
      </c>
      <c r="I439" s="44" t="str">
        <f>IF(Trades!$A439="","",Trades!G439)</f>
        <v/>
      </c>
      <c r="J439" s="44" t="str">
        <f>IF(Trades!$A439="","",Trades!I439)</f>
        <v/>
      </c>
      <c r="K439" s="44" t="str">
        <f>IF(Trades!$A439="","",Trades!Q439)</f>
        <v/>
      </c>
      <c r="L439" s="42" t="str">
        <f>IF(Trades!$A439="","",Trades!F439)</f>
        <v/>
      </c>
      <c r="M439" s="44" t="str">
        <f>IF(Trades!$A439="","",Trades!M439)</f>
        <v/>
      </c>
      <c r="N439" s="44" t="str">
        <f>IF(Trades!$A439="","",Trades!R439)</f>
        <v/>
      </c>
      <c r="O439" s="44" t="str">
        <f>IF(Trades!$A439="","",Trades!J439)</f>
        <v/>
      </c>
      <c r="P439" s="43" t="str">
        <f>IF(Trades!$A439="","",Trades!H439)</f>
        <v/>
      </c>
      <c r="Q439" s="41" t="str">
        <f>IF(Trades!$A439="","",Trades!P439)</f>
        <v/>
      </c>
      <c r="R439" s="45" t="str">
        <f t="shared" si="102"/>
        <v/>
      </c>
      <c r="S439" s="45" t="str">
        <f t="shared" si="103"/>
        <v/>
      </c>
      <c r="T439" s="46" t="str">
        <f>IF(OR($A439="",$B439=""),"",IF(AND(IFERROR(LOOKUP(2,1/($B$9:$B$438=$B439),$AR$9:$AR438),1),NOT(AND(OR($F439="dividend",$F439="fee"),IFERROR(LOOKUP(2,1/($B$9:$B$438=$B439),$T$9:$T438),0)&gt;0))),IFERROR(LOOKUP(2,1/($B$9:$B$438=$B439),$T$9:$T438),0)+1,IFERROR(LOOKUP(2,1/($B$9:$B$438=$B439),$T$9:$T438),0)))</f>
        <v/>
      </c>
      <c r="U439" s="47" t="str">
        <f t="shared" si="104"/>
        <v/>
      </c>
      <c r="V439" s="47" t="str">
        <f>IF($A439="","",IF(OR($B439="",$C439="",$D439="",$E439="",$F439=""),"Missing required field",IF(COUNTIFS($A$9:$A439,$A439,$B$9:$B439,$B439)&gt;1,"Duplicate event ID",IF(AND($E439&lt;&gt;IFERROR(LOOKUP(2,1/($B$9:$B$438=$B439),$E$9:$E438),0),IFERROR(LOOKUP(2,1/($B$9:$B$438=$B439),$E$9:$E438),0)&gt;$E439),"Date out of order",IF(AND(OR($F439="buy_to_close",$F439="expire",$F439="roll",$F439="assignment",$F439="called_away"),$AF439=0),"Unknown lot",IF(OR(AND($F439="assignment",$AF439&gt;0,IF($AF439&gt;0,INDEX($AG$9:$AG$438,$AF439),"")&lt;&gt;"put"),AND($F439="called_away",$AF439&gt;0,IF($AF439&gt;0,INDEX($AG$9:$AG$438,$AF439),"")&lt;&gt;"call")),"Wrong option leg",IF(OR(AND(OR($F439="sell_put",$F439="sell_call"),OR($H439&lt;=0,$I439&lt;=0,$J439&lt;0)),AND(OR($F439="buy_to_close",$F439="expire",$F439="assignment",$F439="called_away"),OR($H439&lt;=0,$J439&lt;0)),AND($F439="roll",OR($H439&lt;=0,$I439&lt;=0,$J439&lt;0,$K439&lt;0)),AND(OR($F439="buy_shares",$F439="sell_shares"),OR($L439&lt;=0,$M439&lt;0)),AND(OR($F439="dividend",$F439="fee"),$N439&lt;0)),"Invalid value",IF(AND(OR($F439="sell_shares",$F439="called_away"),$AL439&lt;IF($F439="called_away",$AE439*$D439,$L439)),"Insufficient shares (capped)",IF(AND(OR($F439="buy_to_close",$F439="expire",$F439="roll",$F439="assignment",$F439="called_away"),$AF439&gt;0,$H439&gt;IF($AF439&gt;0,MAX(0,INDEX($AI$9:$AI$438,$AF439)-SUMIFS($AE$9:$AE$438,$G$9:$G$438,$G439,$B$9:$B$438,$B439)),0)),"Close quantity capped","OK")))))))))</f>
        <v/>
      </c>
      <c r="W439" s="48" t="str">
        <f t="shared" si="105"/>
        <v/>
      </c>
      <c r="X439" s="49" t="str">
        <f t="shared" si="106"/>
        <v/>
      </c>
      <c r="Y439" s="50" t="str">
        <f t="shared" si="107"/>
        <v/>
      </c>
      <c r="Z439" s="50" t="str">
        <f t="shared" si="108"/>
        <v/>
      </c>
      <c r="AA439" s="50" t="str">
        <f t="shared" si="109"/>
        <v/>
      </c>
      <c r="AB439" s="50" t="str">
        <f t="shared" si="110"/>
        <v/>
      </c>
      <c r="AC439" s="50" t="str">
        <f>IF($A439="","",IF($F439="assignment",IF($AF439&gt;0,INDEX($AH$9:$AH$438,$AF439),0)*$AE439*$D439,IF($F439="buy_shares",$M439*$AL439,0)))</f>
        <v/>
      </c>
      <c r="AD439" s="50" t="str">
        <f>IF($A439="","",IF($F439="called_away",IF($AF439&gt;0,INDEX($AH$9:$AH$438,$AF439),0)*$AL439,IF($F439="sell_shares",$M439*$AL439,0)))</f>
        <v/>
      </c>
      <c r="AE439" s="51" t="str">
        <f>IF($A439="","",IF(OR($F439="sell_put",$F439="sell_call"),IF(AND($H439&gt;0,$I439&gt;0,$J439&gt;=0),$H439,0),IF(OR($F439="buy_to_close",$F439="expire",$F439="roll",$F439="assignment",$F439="called_away"),IF(AND($AF439&gt;0,$H439&gt;0,IF($F439="assignment",IF($AF439&gt;0,INDEX($AG$9:$AG$438,$AF439),"")="put",TRUE),IF($F439="called_away",IF($AF439&gt;0,INDEX($AG$9:$AG$438,$AF439),"")="call",TRUE)),MIN($H439,IF($AF439&gt;0,MAX(0,INDEX($AI$9:$AI$438,$AF439)-SUMIFS($AE$9:$AE$438,$G$9:$G$438,$G439,$B$9:$B$438,$B439)),0)),0),0)))</f>
        <v/>
      </c>
      <c r="AF439" t="str">
        <f>IF($A439="","",IFERROR(MATCH(LEN($B439)&amp;":"&amp;$B439&amp;$G439,$AY$9:$AY$438,0),0))</f>
        <v/>
      </c>
      <c r="AG439" t="str">
        <f>IF($A439="","",IF($F439="sell_put","put",IF($F439="sell_call","call",IF($F439="roll",IF($AF439&gt;0,IF($AF439&gt;0,INDEX($AG$9:$AG$438,$AF439),""),""),IF($AF439&gt;0,IF($AF439&gt;0,INDEX($AG$9:$AG$438,$AF439),""),"")))))</f>
        <v/>
      </c>
      <c r="AH439" t="str">
        <f>IF($A439="","",IF(OR($F439="sell_put",$F439="sell_call",$F439="roll"),$I439,IF($AF439&gt;0,IF($AF439&gt;0,INDEX($AH$9:$AH$438,$AF439),0),0)))</f>
        <v/>
      </c>
      <c r="AI439" s="51" t="str">
        <f t="shared" si="111"/>
        <v/>
      </c>
      <c r="AJ439" s="51" t="str">
        <f>IF($A439="","",IFERROR(LOOKUP(2,1/($B$9:$B$438=$B439),$AM$9:$AM438),0))</f>
        <v/>
      </c>
      <c r="AK439" t="str">
        <f>IF($A439="","",IFERROR(LOOKUP(2,1/($B$9:$B$438=$B439),$AN$9:$AN438),0))</f>
        <v/>
      </c>
      <c r="AL439" s="51" t="str">
        <f t="shared" si="112"/>
        <v/>
      </c>
      <c r="AM439" s="51" t="str">
        <f t="shared" si="113"/>
        <v/>
      </c>
      <c r="AN439" t="str">
        <f t="shared" si="114"/>
        <v/>
      </c>
      <c r="AO439" s="50" t="str">
        <f>IF($A439="","",IFERROR(LOOKUP(2,1/($B$9:$B$438=$B439),$AO$9:$AO438),0)+IF($F439="sell_put",$I439*$AE439*$D439,IF($F439="roll",IF($AG439="put",($I439-IF($AF439&gt;0,INDEX($AH$9:$AH$438,$AF439),0))*$AE439*$D439,0),IF(AND(OR($F439="buy_to_close",$F439="expire",$F439="roll",$F439="assignment",$F439="called_away"),$F439&lt;&gt;"roll",$AG439="put"),-IF($AF439&gt;0,INDEX($AH$9:$AH$438,$AF439),0)*$AE439*$D439,0))))</f>
        <v/>
      </c>
      <c r="AP439" s="51" t="str">
        <f>IF($A439="","",IFERROR(LOOKUP(2,1/($B$9:$B$438=$B439),$AP$9:$AP438),0)+IF($F439="sell_put",$AE439*$D439,IF(AND(OR($F439="buy_to_close",$F439="expire",$F439="roll",$F439="assignment",$F439="called_away"),$F439&lt;&gt;"roll",$AG439="put"),-$AE439*$D439,0)))</f>
        <v/>
      </c>
      <c r="AQ439" s="51" t="str">
        <f>IF($A439="","",IFERROR(LOOKUP(2,1/($B$9:$B$438=$B439),$AQ$9:$AQ438),0)+IF(OR($F439="sell_put",$F439="sell_call"),$AE439,0)-IF(AND(OR($F439="buy_to_close",$F439="expire",$F439="roll",$F439="assignment",$F439="called_away"),$F439&lt;&gt;"roll"),$AE439,0))</f>
        <v/>
      </c>
      <c r="AR439" t="str">
        <f t="shared" si="115"/>
        <v/>
      </c>
      <c r="AS439" s="50" t="str">
        <f t="shared" si="116"/>
        <v/>
      </c>
      <c r="AT439" s="50" t="str">
        <f>IF($A439="","",MAX(IF($T439=IFERROR(LOOKUP(2,1/($B$9:$B$438=$B439),$T$9:$T438),0),IFERROR(LOOKUP(2,1/($B$9:$B$438=$B439),$AT$9:$AT438),0),0),$AS439))</f>
        <v/>
      </c>
      <c r="AU439" t="str">
        <f t="shared" si="117"/>
        <v/>
      </c>
      <c r="AV439" s="51">
        <f>IF($AU439="",0,IF(AND(IFERROR(LOOKUP(2,1/($B$9:$B$438=$B439),$AR$9:$AR438),1),NOT(AND(OR($F439="dividend",$F439="fee"),IFERROR(LOOKUP(2,1/($B$9:$B$438=$B439),$T$9:$T438),0)&gt;0))),ROW(),0))</f>
        <v>0</v>
      </c>
      <c r="AW439">
        <f>IF($A439="",0,IF($AV439&gt;0,MAX($AW$9:$AW$438)+1,MAX($AW$9:$AW$438)))</f>
        <v>0</v>
      </c>
      <c r="AX439">
        <f>IF($AU439="",0,IF(AND($AR439,OR(NOT(IFERROR(LOOKUP(2,1/($B$9:$B$438=$B439),$AR$9:$AR438),1)),IFERROR(LOOKUP(2,1/($B$9:$B$438=$B439),$T$9:$T438),0)=0)),ROW(),0))</f>
        <v>0</v>
      </c>
      <c r="AY439" t="str">
        <f t="shared" si="118"/>
        <v/>
      </c>
    </row>
    <row r="440" spans="1:51" ht="15" x14ac:dyDescent="0.25">
      <c r="A440" s="52" t="str">
        <f>IF(Trades!$A440="","",Trades!O440)</f>
        <v/>
      </c>
      <c r="B440" s="52" t="str">
        <f>IF(Trades!$A440="","",Trades!B440)</f>
        <v/>
      </c>
      <c r="C440" s="52" t="str">
        <f>IF(Trades!$A440="","",Trades!C440)</f>
        <v/>
      </c>
      <c r="D440" s="53" t="str">
        <f>IF(Trades!$A440="","",IF(Trades!$L440&gt;0,Trades!$L440,Trades!$C$6))</f>
        <v/>
      </c>
      <c r="E440" s="54" t="str">
        <f>IF(Trades!$A440="","",Trades!A440)</f>
        <v/>
      </c>
      <c r="F440" s="52" t="str">
        <f>IF(Trades!$A440="","",IFERROR(INDEX(Trades!$V$2:$V$14,MATCH(Trades!$E440,Trades!$U$2:$U$14,0)),""))</f>
        <v/>
      </c>
      <c r="G440" s="52" t="str">
        <f>IF(Trades!$A440="","",Trades!N440)</f>
        <v/>
      </c>
      <c r="H440" s="53" t="str">
        <f>IF(Trades!$A440="","",Trades!F440)</f>
        <v/>
      </c>
      <c r="I440" s="55" t="str">
        <f>IF(Trades!$A440="","",Trades!G440)</f>
        <v/>
      </c>
      <c r="J440" s="55" t="str">
        <f>IF(Trades!$A440="","",Trades!I440)</f>
        <v/>
      </c>
      <c r="K440" s="55" t="str">
        <f>IF(Trades!$A440="","",Trades!Q440)</f>
        <v/>
      </c>
      <c r="L440" s="53" t="str">
        <f>IF(Trades!$A440="","",Trades!F440)</f>
        <v/>
      </c>
      <c r="M440" s="55" t="str">
        <f>IF(Trades!$A440="","",Trades!M440)</f>
        <v/>
      </c>
      <c r="N440" s="55" t="str">
        <f>IF(Trades!$A440="","",Trades!R440)</f>
        <v/>
      </c>
      <c r="O440" s="55" t="str">
        <f>IF(Trades!$A440="","",Trades!J440)</f>
        <v/>
      </c>
      <c r="P440" s="54" t="str">
        <f>IF(Trades!$A440="","",Trades!H440)</f>
        <v/>
      </c>
      <c r="Q440" s="52" t="str">
        <f>IF(Trades!$A440="","",Trades!P440)</f>
        <v/>
      </c>
      <c r="R440" s="56" t="str">
        <f t="shared" si="102"/>
        <v/>
      </c>
      <c r="S440" s="56" t="str">
        <f t="shared" si="103"/>
        <v/>
      </c>
      <c r="T440" s="57" t="str">
        <f>IF(OR($A440="",$B440=""),"",IF(AND(IFERROR(LOOKUP(2,1/($B$9:$B$439=$B440),$AR$9:$AR439),1),NOT(AND(OR($F440="dividend",$F440="fee"),IFERROR(LOOKUP(2,1/($B$9:$B$439=$B440),$T$9:$T439),0)&gt;0))),IFERROR(LOOKUP(2,1/($B$9:$B$439=$B440),$T$9:$T439),0)+1,IFERROR(LOOKUP(2,1/($B$9:$B$439=$B440),$T$9:$T439),0)))</f>
        <v/>
      </c>
      <c r="U440" s="58" t="str">
        <f t="shared" si="104"/>
        <v/>
      </c>
      <c r="V440" s="58" t="str">
        <f>IF($A440="","",IF(OR($B440="",$C440="",$D440="",$E440="",$F440=""),"Missing required field",IF(COUNTIFS($A$9:$A440,$A440,$B$9:$B440,$B440)&gt;1,"Duplicate event ID",IF(AND($E440&lt;&gt;IFERROR(LOOKUP(2,1/($B$9:$B$439=$B440),$E$9:$E439),0),IFERROR(LOOKUP(2,1/($B$9:$B$439=$B440),$E$9:$E439),0)&gt;$E440),"Date out of order",IF(AND(OR($F440="buy_to_close",$F440="expire",$F440="roll",$F440="assignment",$F440="called_away"),$AF440=0),"Unknown lot",IF(OR(AND($F440="assignment",$AF440&gt;0,IF($AF440&gt;0,INDEX($AG$9:$AG$439,$AF440),"")&lt;&gt;"put"),AND($F440="called_away",$AF440&gt;0,IF($AF440&gt;0,INDEX($AG$9:$AG$439,$AF440),"")&lt;&gt;"call")),"Wrong option leg",IF(OR(AND(OR($F440="sell_put",$F440="sell_call"),OR($H440&lt;=0,$I440&lt;=0,$J440&lt;0)),AND(OR($F440="buy_to_close",$F440="expire",$F440="assignment",$F440="called_away"),OR($H440&lt;=0,$J440&lt;0)),AND($F440="roll",OR($H440&lt;=0,$I440&lt;=0,$J440&lt;0,$K440&lt;0)),AND(OR($F440="buy_shares",$F440="sell_shares"),OR($L440&lt;=0,$M440&lt;0)),AND(OR($F440="dividend",$F440="fee"),$N440&lt;0)),"Invalid value",IF(AND(OR($F440="sell_shares",$F440="called_away"),$AL440&lt;IF($F440="called_away",$AE440*$D440,$L440)),"Insufficient shares (capped)",IF(AND(OR($F440="buy_to_close",$F440="expire",$F440="roll",$F440="assignment",$F440="called_away"),$AF440&gt;0,$H440&gt;IF($AF440&gt;0,MAX(0,INDEX($AI$9:$AI$439,$AF440)-SUMIFS($AE$9:$AE$439,$G$9:$G$439,$G440,$B$9:$B$439,$B440)),0)),"Close quantity capped","OK")))))))))</f>
        <v/>
      </c>
      <c r="W440" s="59" t="str">
        <f t="shared" si="105"/>
        <v/>
      </c>
      <c r="X440" s="60" t="str">
        <f t="shared" si="106"/>
        <v/>
      </c>
      <c r="Y440" s="50" t="str">
        <f t="shared" si="107"/>
        <v/>
      </c>
      <c r="Z440" s="50" t="str">
        <f t="shared" si="108"/>
        <v/>
      </c>
      <c r="AA440" s="50" t="str">
        <f t="shared" si="109"/>
        <v/>
      </c>
      <c r="AB440" s="50" t="str">
        <f t="shared" si="110"/>
        <v/>
      </c>
      <c r="AC440" s="50" t="str">
        <f>IF($A440="","",IF($F440="assignment",IF($AF440&gt;0,INDEX($AH$9:$AH$439,$AF440),0)*$AE440*$D440,IF($F440="buy_shares",$M440*$AL440,0)))</f>
        <v/>
      </c>
      <c r="AD440" s="50" t="str">
        <f>IF($A440="","",IF($F440="called_away",IF($AF440&gt;0,INDEX($AH$9:$AH$439,$AF440),0)*$AL440,IF($F440="sell_shares",$M440*$AL440,0)))</f>
        <v/>
      </c>
      <c r="AE440" s="51" t="str">
        <f>IF($A440="","",IF(OR($F440="sell_put",$F440="sell_call"),IF(AND($H440&gt;0,$I440&gt;0,$J440&gt;=0),$H440,0),IF(OR($F440="buy_to_close",$F440="expire",$F440="roll",$F440="assignment",$F440="called_away"),IF(AND($AF440&gt;0,$H440&gt;0,IF($F440="assignment",IF($AF440&gt;0,INDEX($AG$9:$AG$439,$AF440),"")="put",TRUE),IF($F440="called_away",IF($AF440&gt;0,INDEX($AG$9:$AG$439,$AF440),"")="call",TRUE)),MIN($H440,IF($AF440&gt;0,MAX(0,INDEX($AI$9:$AI$439,$AF440)-SUMIFS($AE$9:$AE$439,$G$9:$G$439,$G440,$B$9:$B$439,$B440)),0)),0),0)))</f>
        <v/>
      </c>
      <c r="AF440" t="str">
        <f>IF($A440="","",IFERROR(MATCH(LEN($B440)&amp;":"&amp;$B440&amp;$G440,$AY$9:$AY$439,0),0))</f>
        <v/>
      </c>
      <c r="AG440" t="str">
        <f>IF($A440="","",IF($F440="sell_put","put",IF($F440="sell_call","call",IF($F440="roll",IF($AF440&gt;0,IF($AF440&gt;0,INDEX($AG$9:$AG$439,$AF440),""),""),IF($AF440&gt;0,IF($AF440&gt;0,INDEX($AG$9:$AG$439,$AF440),""),"")))))</f>
        <v/>
      </c>
      <c r="AH440" t="str">
        <f>IF($A440="","",IF(OR($F440="sell_put",$F440="sell_call",$F440="roll"),$I440,IF($AF440&gt;0,IF($AF440&gt;0,INDEX($AH$9:$AH$439,$AF440),0),0)))</f>
        <v/>
      </c>
      <c r="AI440" s="51" t="str">
        <f t="shared" si="111"/>
        <v/>
      </c>
      <c r="AJ440" s="51" t="str">
        <f>IF($A440="","",IFERROR(LOOKUP(2,1/($B$9:$B$439=$B440),$AM$9:$AM439),0))</f>
        <v/>
      </c>
      <c r="AK440" t="str">
        <f>IF($A440="","",IFERROR(LOOKUP(2,1/($B$9:$B$439=$B440),$AN$9:$AN439),0))</f>
        <v/>
      </c>
      <c r="AL440" s="51" t="str">
        <f t="shared" si="112"/>
        <v/>
      </c>
      <c r="AM440" s="51" t="str">
        <f t="shared" si="113"/>
        <v/>
      </c>
      <c r="AN440" t="str">
        <f t="shared" si="114"/>
        <v/>
      </c>
      <c r="AO440" s="50" t="str">
        <f>IF($A440="","",IFERROR(LOOKUP(2,1/($B$9:$B$439=$B440),$AO$9:$AO439),0)+IF($F440="sell_put",$I440*$AE440*$D440,IF($F440="roll",IF($AG440="put",($I440-IF($AF440&gt;0,INDEX($AH$9:$AH$439,$AF440),0))*$AE440*$D440,0),IF(AND(OR($F440="buy_to_close",$F440="expire",$F440="roll",$F440="assignment",$F440="called_away"),$F440&lt;&gt;"roll",$AG440="put"),-IF($AF440&gt;0,INDEX($AH$9:$AH$439,$AF440),0)*$AE440*$D440,0))))</f>
        <v/>
      </c>
      <c r="AP440" s="51" t="str">
        <f>IF($A440="","",IFERROR(LOOKUP(2,1/($B$9:$B$439=$B440),$AP$9:$AP439),0)+IF($F440="sell_put",$AE440*$D440,IF(AND(OR($F440="buy_to_close",$F440="expire",$F440="roll",$F440="assignment",$F440="called_away"),$F440&lt;&gt;"roll",$AG440="put"),-$AE440*$D440,0)))</f>
        <v/>
      </c>
      <c r="AQ440" s="51" t="str">
        <f>IF($A440="","",IFERROR(LOOKUP(2,1/($B$9:$B$439=$B440),$AQ$9:$AQ439),0)+IF(OR($F440="sell_put",$F440="sell_call"),$AE440,0)-IF(AND(OR($F440="buy_to_close",$F440="expire",$F440="roll",$F440="assignment",$F440="called_away"),$F440&lt;&gt;"roll"),$AE440,0))</f>
        <v/>
      </c>
      <c r="AR440" t="str">
        <f t="shared" si="115"/>
        <v/>
      </c>
      <c r="AS440" s="50" t="str">
        <f t="shared" si="116"/>
        <v/>
      </c>
      <c r="AT440" s="50" t="str">
        <f>IF($A440="","",MAX(IF($T440=IFERROR(LOOKUP(2,1/($B$9:$B$439=$B440),$T$9:$T439),0),IFERROR(LOOKUP(2,1/($B$9:$B$439=$B440),$AT$9:$AT439),0),0),$AS440))</f>
        <v/>
      </c>
      <c r="AU440" t="str">
        <f t="shared" si="117"/>
        <v/>
      </c>
      <c r="AV440" s="51">
        <f>IF($AU440="",0,IF(AND(IFERROR(LOOKUP(2,1/($B$9:$B$439=$B440),$AR$9:$AR439),1),NOT(AND(OR($F440="dividend",$F440="fee"),IFERROR(LOOKUP(2,1/($B$9:$B$439=$B440),$T$9:$T439),0)&gt;0))),ROW(),0))</f>
        <v>0</v>
      </c>
      <c r="AW440">
        <f>IF($A440="",0,IF($AV440&gt;0,MAX($AW$9:$AW$439)+1,MAX($AW$9:$AW$439)))</f>
        <v>0</v>
      </c>
      <c r="AX440">
        <f>IF($AU440="",0,IF(AND($AR440,OR(NOT(IFERROR(LOOKUP(2,1/($B$9:$B$439=$B440),$AR$9:$AR439),1)),IFERROR(LOOKUP(2,1/($B$9:$B$439=$B440),$T$9:$T439),0)=0)),ROW(),0))</f>
        <v>0</v>
      </c>
      <c r="AY440" t="str">
        <f t="shared" si="118"/>
        <v/>
      </c>
    </row>
    <row r="441" spans="1:51" ht="15" x14ac:dyDescent="0.25">
      <c r="A441" s="41" t="str">
        <f>IF(Trades!$A441="","",Trades!O441)</f>
        <v/>
      </c>
      <c r="B441" s="41" t="str">
        <f>IF(Trades!$A441="","",Trades!B441)</f>
        <v/>
      </c>
      <c r="C441" s="41" t="str">
        <f>IF(Trades!$A441="","",Trades!C441)</f>
        <v/>
      </c>
      <c r="D441" s="42" t="str">
        <f>IF(Trades!$A441="","",IF(Trades!$L441&gt;0,Trades!$L441,Trades!$C$6))</f>
        <v/>
      </c>
      <c r="E441" s="43" t="str">
        <f>IF(Trades!$A441="","",Trades!A441)</f>
        <v/>
      </c>
      <c r="F441" s="41" t="str">
        <f>IF(Trades!$A441="","",IFERROR(INDEX(Trades!$V$2:$V$14,MATCH(Trades!$E441,Trades!$U$2:$U$14,0)),""))</f>
        <v/>
      </c>
      <c r="G441" s="41" t="str">
        <f>IF(Trades!$A441="","",Trades!N441)</f>
        <v/>
      </c>
      <c r="H441" s="42" t="str">
        <f>IF(Trades!$A441="","",Trades!F441)</f>
        <v/>
      </c>
      <c r="I441" s="44" t="str">
        <f>IF(Trades!$A441="","",Trades!G441)</f>
        <v/>
      </c>
      <c r="J441" s="44" t="str">
        <f>IF(Trades!$A441="","",Trades!I441)</f>
        <v/>
      </c>
      <c r="K441" s="44" t="str">
        <f>IF(Trades!$A441="","",Trades!Q441)</f>
        <v/>
      </c>
      <c r="L441" s="42" t="str">
        <f>IF(Trades!$A441="","",Trades!F441)</f>
        <v/>
      </c>
      <c r="M441" s="44" t="str">
        <f>IF(Trades!$A441="","",Trades!M441)</f>
        <v/>
      </c>
      <c r="N441" s="44" t="str">
        <f>IF(Trades!$A441="","",Trades!R441)</f>
        <v/>
      </c>
      <c r="O441" s="44" t="str">
        <f>IF(Trades!$A441="","",Trades!J441)</f>
        <v/>
      </c>
      <c r="P441" s="43" t="str">
        <f>IF(Trades!$A441="","",Trades!H441)</f>
        <v/>
      </c>
      <c r="Q441" s="41" t="str">
        <f>IF(Trades!$A441="","",Trades!P441)</f>
        <v/>
      </c>
      <c r="R441" s="45" t="str">
        <f t="shared" si="102"/>
        <v/>
      </c>
      <c r="S441" s="45" t="str">
        <f t="shared" si="103"/>
        <v/>
      </c>
      <c r="T441" s="46" t="str">
        <f>IF(OR($A441="",$B441=""),"",IF(AND(IFERROR(LOOKUP(2,1/($B$9:$B$440=$B441),$AR$9:$AR440),1),NOT(AND(OR($F441="dividend",$F441="fee"),IFERROR(LOOKUP(2,1/($B$9:$B$440=$B441),$T$9:$T440),0)&gt;0))),IFERROR(LOOKUP(2,1/($B$9:$B$440=$B441),$T$9:$T440),0)+1,IFERROR(LOOKUP(2,1/($B$9:$B$440=$B441),$T$9:$T440),0)))</f>
        <v/>
      </c>
      <c r="U441" s="47" t="str">
        <f t="shared" si="104"/>
        <v/>
      </c>
      <c r="V441" s="47" t="str">
        <f>IF($A441="","",IF(OR($B441="",$C441="",$D441="",$E441="",$F441=""),"Missing required field",IF(COUNTIFS($A$9:$A441,$A441,$B$9:$B441,$B441)&gt;1,"Duplicate event ID",IF(AND($E441&lt;&gt;IFERROR(LOOKUP(2,1/($B$9:$B$440=$B441),$E$9:$E440),0),IFERROR(LOOKUP(2,1/($B$9:$B$440=$B441),$E$9:$E440),0)&gt;$E441),"Date out of order",IF(AND(OR($F441="buy_to_close",$F441="expire",$F441="roll",$F441="assignment",$F441="called_away"),$AF441=0),"Unknown lot",IF(OR(AND($F441="assignment",$AF441&gt;0,IF($AF441&gt;0,INDEX($AG$9:$AG$440,$AF441),"")&lt;&gt;"put"),AND($F441="called_away",$AF441&gt;0,IF($AF441&gt;0,INDEX($AG$9:$AG$440,$AF441),"")&lt;&gt;"call")),"Wrong option leg",IF(OR(AND(OR($F441="sell_put",$F441="sell_call"),OR($H441&lt;=0,$I441&lt;=0,$J441&lt;0)),AND(OR($F441="buy_to_close",$F441="expire",$F441="assignment",$F441="called_away"),OR($H441&lt;=0,$J441&lt;0)),AND($F441="roll",OR($H441&lt;=0,$I441&lt;=0,$J441&lt;0,$K441&lt;0)),AND(OR($F441="buy_shares",$F441="sell_shares"),OR($L441&lt;=0,$M441&lt;0)),AND(OR($F441="dividend",$F441="fee"),$N441&lt;0)),"Invalid value",IF(AND(OR($F441="sell_shares",$F441="called_away"),$AL441&lt;IF($F441="called_away",$AE441*$D441,$L441)),"Insufficient shares (capped)",IF(AND(OR($F441="buy_to_close",$F441="expire",$F441="roll",$F441="assignment",$F441="called_away"),$AF441&gt;0,$H441&gt;IF($AF441&gt;0,MAX(0,INDEX($AI$9:$AI$440,$AF441)-SUMIFS($AE$9:$AE$440,$G$9:$G$440,$G441,$B$9:$B$440,$B441)),0)),"Close quantity capped","OK")))))))))</f>
        <v/>
      </c>
      <c r="W441" s="48" t="str">
        <f t="shared" si="105"/>
        <v/>
      </c>
      <c r="X441" s="49" t="str">
        <f t="shared" si="106"/>
        <v/>
      </c>
      <c r="Y441" s="50" t="str">
        <f t="shared" si="107"/>
        <v/>
      </c>
      <c r="Z441" s="50" t="str">
        <f t="shared" si="108"/>
        <v/>
      </c>
      <c r="AA441" s="50" t="str">
        <f t="shared" si="109"/>
        <v/>
      </c>
      <c r="AB441" s="50" t="str">
        <f t="shared" si="110"/>
        <v/>
      </c>
      <c r="AC441" s="50" t="str">
        <f>IF($A441="","",IF($F441="assignment",IF($AF441&gt;0,INDEX($AH$9:$AH$440,$AF441),0)*$AE441*$D441,IF($F441="buy_shares",$M441*$AL441,0)))</f>
        <v/>
      </c>
      <c r="AD441" s="50" t="str">
        <f>IF($A441="","",IF($F441="called_away",IF($AF441&gt;0,INDEX($AH$9:$AH$440,$AF441),0)*$AL441,IF($F441="sell_shares",$M441*$AL441,0)))</f>
        <v/>
      </c>
      <c r="AE441" s="51" t="str">
        <f>IF($A441="","",IF(OR($F441="sell_put",$F441="sell_call"),IF(AND($H441&gt;0,$I441&gt;0,$J441&gt;=0),$H441,0),IF(OR($F441="buy_to_close",$F441="expire",$F441="roll",$F441="assignment",$F441="called_away"),IF(AND($AF441&gt;0,$H441&gt;0,IF($F441="assignment",IF($AF441&gt;0,INDEX($AG$9:$AG$440,$AF441),"")="put",TRUE),IF($F441="called_away",IF($AF441&gt;0,INDEX($AG$9:$AG$440,$AF441),"")="call",TRUE)),MIN($H441,IF($AF441&gt;0,MAX(0,INDEX($AI$9:$AI$440,$AF441)-SUMIFS($AE$9:$AE$440,$G$9:$G$440,$G441,$B$9:$B$440,$B441)),0)),0),0)))</f>
        <v/>
      </c>
      <c r="AF441" t="str">
        <f>IF($A441="","",IFERROR(MATCH(LEN($B441)&amp;":"&amp;$B441&amp;$G441,$AY$9:$AY$440,0),0))</f>
        <v/>
      </c>
      <c r="AG441" t="str">
        <f>IF($A441="","",IF($F441="sell_put","put",IF($F441="sell_call","call",IF($F441="roll",IF($AF441&gt;0,IF($AF441&gt;0,INDEX($AG$9:$AG$440,$AF441),""),""),IF($AF441&gt;0,IF($AF441&gt;0,INDEX($AG$9:$AG$440,$AF441),""),"")))))</f>
        <v/>
      </c>
      <c r="AH441" t="str">
        <f>IF($A441="","",IF(OR($F441="sell_put",$F441="sell_call",$F441="roll"),$I441,IF($AF441&gt;0,IF($AF441&gt;0,INDEX($AH$9:$AH$440,$AF441),0),0)))</f>
        <v/>
      </c>
      <c r="AI441" s="51" t="str">
        <f t="shared" si="111"/>
        <v/>
      </c>
      <c r="AJ441" s="51" t="str">
        <f>IF($A441="","",IFERROR(LOOKUP(2,1/($B$9:$B$440=$B441),$AM$9:$AM440),0))</f>
        <v/>
      </c>
      <c r="AK441" t="str">
        <f>IF($A441="","",IFERROR(LOOKUP(2,1/($B$9:$B$440=$B441),$AN$9:$AN440),0))</f>
        <v/>
      </c>
      <c r="AL441" s="51" t="str">
        <f t="shared" si="112"/>
        <v/>
      </c>
      <c r="AM441" s="51" t="str">
        <f t="shared" si="113"/>
        <v/>
      </c>
      <c r="AN441" t="str">
        <f t="shared" si="114"/>
        <v/>
      </c>
      <c r="AO441" s="50" t="str">
        <f>IF($A441="","",IFERROR(LOOKUP(2,1/($B$9:$B$440=$B441),$AO$9:$AO440),0)+IF($F441="sell_put",$I441*$AE441*$D441,IF($F441="roll",IF($AG441="put",($I441-IF($AF441&gt;0,INDEX($AH$9:$AH$440,$AF441),0))*$AE441*$D441,0),IF(AND(OR($F441="buy_to_close",$F441="expire",$F441="roll",$F441="assignment",$F441="called_away"),$F441&lt;&gt;"roll",$AG441="put"),-IF($AF441&gt;0,INDEX($AH$9:$AH$440,$AF441),0)*$AE441*$D441,0))))</f>
        <v/>
      </c>
      <c r="AP441" s="51" t="str">
        <f>IF($A441="","",IFERROR(LOOKUP(2,1/($B$9:$B$440=$B441),$AP$9:$AP440),0)+IF($F441="sell_put",$AE441*$D441,IF(AND(OR($F441="buy_to_close",$F441="expire",$F441="roll",$F441="assignment",$F441="called_away"),$F441&lt;&gt;"roll",$AG441="put"),-$AE441*$D441,0)))</f>
        <v/>
      </c>
      <c r="AQ441" s="51" t="str">
        <f>IF($A441="","",IFERROR(LOOKUP(2,1/($B$9:$B$440=$B441),$AQ$9:$AQ440),0)+IF(OR($F441="sell_put",$F441="sell_call"),$AE441,0)-IF(AND(OR($F441="buy_to_close",$F441="expire",$F441="roll",$F441="assignment",$F441="called_away"),$F441&lt;&gt;"roll"),$AE441,0))</f>
        <v/>
      </c>
      <c r="AR441" t="str">
        <f t="shared" si="115"/>
        <v/>
      </c>
      <c r="AS441" s="50" t="str">
        <f t="shared" si="116"/>
        <v/>
      </c>
      <c r="AT441" s="50" t="str">
        <f>IF($A441="","",MAX(IF($T441=IFERROR(LOOKUP(2,1/($B$9:$B$440=$B441),$T$9:$T440),0),IFERROR(LOOKUP(2,1/($B$9:$B$440=$B441),$AT$9:$AT440),0),0),$AS441))</f>
        <v/>
      </c>
      <c r="AU441" t="str">
        <f t="shared" si="117"/>
        <v/>
      </c>
      <c r="AV441" s="51">
        <f>IF($AU441="",0,IF(AND(IFERROR(LOOKUP(2,1/($B$9:$B$440=$B441),$AR$9:$AR440),1),NOT(AND(OR($F441="dividend",$F441="fee"),IFERROR(LOOKUP(2,1/($B$9:$B$440=$B441),$T$9:$T440),0)&gt;0))),ROW(),0))</f>
        <v>0</v>
      </c>
      <c r="AW441">
        <f>IF($A441="",0,IF($AV441&gt;0,MAX($AW$9:$AW$440)+1,MAX($AW$9:$AW$440)))</f>
        <v>0</v>
      </c>
      <c r="AX441">
        <f>IF($AU441="",0,IF(AND($AR441,OR(NOT(IFERROR(LOOKUP(2,1/($B$9:$B$440=$B441),$AR$9:$AR440),1)),IFERROR(LOOKUP(2,1/($B$9:$B$440=$B441),$T$9:$T440),0)=0)),ROW(),0))</f>
        <v>0</v>
      </c>
      <c r="AY441" t="str">
        <f t="shared" si="118"/>
        <v/>
      </c>
    </row>
    <row r="442" spans="1:51" ht="15" x14ac:dyDescent="0.25">
      <c r="A442" s="52" t="str">
        <f>IF(Trades!$A442="","",Trades!O442)</f>
        <v/>
      </c>
      <c r="B442" s="52" t="str">
        <f>IF(Trades!$A442="","",Trades!B442)</f>
        <v/>
      </c>
      <c r="C442" s="52" t="str">
        <f>IF(Trades!$A442="","",Trades!C442)</f>
        <v/>
      </c>
      <c r="D442" s="53" t="str">
        <f>IF(Trades!$A442="","",IF(Trades!$L442&gt;0,Trades!$L442,Trades!$C$6))</f>
        <v/>
      </c>
      <c r="E442" s="54" t="str">
        <f>IF(Trades!$A442="","",Trades!A442)</f>
        <v/>
      </c>
      <c r="F442" s="52" t="str">
        <f>IF(Trades!$A442="","",IFERROR(INDEX(Trades!$V$2:$V$14,MATCH(Trades!$E442,Trades!$U$2:$U$14,0)),""))</f>
        <v/>
      </c>
      <c r="G442" s="52" t="str">
        <f>IF(Trades!$A442="","",Trades!N442)</f>
        <v/>
      </c>
      <c r="H442" s="53" t="str">
        <f>IF(Trades!$A442="","",Trades!F442)</f>
        <v/>
      </c>
      <c r="I442" s="55" t="str">
        <f>IF(Trades!$A442="","",Trades!G442)</f>
        <v/>
      </c>
      <c r="J442" s="55" t="str">
        <f>IF(Trades!$A442="","",Trades!I442)</f>
        <v/>
      </c>
      <c r="K442" s="55" t="str">
        <f>IF(Trades!$A442="","",Trades!Q442)</f>
        <v/>
      </c>
      <c r="L442" s="53" t="str">
        <f>IF(Trades!$A442="","",Trades!F442)</f>
        <v/>
      </c>
      <c r="M442" s="55" t="str">
        <f>IF(Trades!$A442="","",Trades!M442)</f>
        <v/>
      </c>
      <c r="N442" s="55" t="str">
        <f>IF(Trades!$A442="","",Trades!R442)</f>
        <v/>
      </c>
      <c r="O442" s="55" t="str">
        <f>IF(Trades!$A442="","",Trades!J442)</f>
        <v/>
      </c>
      <c r="P442" s="54" t="str">
        <f>IF(Trades!$A442="","",Trades!H442)</f>
        <v/>
      </c>
      <c r="Q442" s="52" t="str">
        <f>IF(Trades!$A442="","",Trades!P442)</f>
        <v/>
      </c>
      <c r="R442" s="56" t="str">
        <f t="shared" si="102"/>
        <v/>
      </c>
      <c r="S442" s="56" t="str">
        <f t="shared" si="103"/>
        <v/>
      </c>
      <c r="T442" s="57" t="str">
        <f>IF(OR($A442="",$B442=""),"",IF(AND(IFERROR(LOOKUP(2,1/($B$9:$B$441=$B442),$AR$9:$AR441),1),NOT(AND(OR($F442="dividend",$F442="fee"),IFERROR(LOOKUP(2,1/($B$9:$B$441=$B442),$T$9:$T441),0)&gt;0))),IFERROR(LOOKUP(2,1/($B$9:$B$441=$B442),$T$9:$T441),0)+1,IFERROR(LOOKUP(2,1/($B$9:$B$441=$B442),$T$9:$T441),0)))</f>
        <v/>
      </c>
      <c r="U442" s="58" t="str">
        <f t="shared" si="104"/>
        <v/>
      </c>
      <c r="V442" s="58" t="str">
        <f>IF($A442="","",IF(OR($B442="",$C442="",$D442="",$E442="",$F442=""),"Missing required field",IF(COUNTIFS($A$9:$A442,$A442,$B$9:$B442,$B442)&gt;1,"Duplicate event ID",IF(AND($E442&lt;&gt;IFERROR(LOOKUP(2,1/($B$9:$B$441=$B442),$E$9:$E441),0),IFERROR(LOOKUP(2,1/($B$9:$B$441=$B442),$E$9:$E441),0)&gt;$E442),"Date out of order",IF(AND(OR($F442="buy_to_close",$F442="expire",$F442="roll",$F442="assignment",$F442="called_away"),$AF442=0),"Unknown lot",IF(OR(AND($F442="assignment",$AF442&gt;0,IF($AF442&gt;0,INDEX($AG$9:$AG$441,$AF442),"")&lt;&gt;"put"),AND($F442="called_away",$AF442&gt;0,IF($AF442&gt;0,INDEX($AG$9:$AG$441,$AF442),"")&lt;&gt;"call")),"Wrong option leg",IF(OR(AND(OR($F442="sell_put",$F442="sell_call"),OR($H442&lt;=0,$I442&lt;=0,$J442&lt;0)),AND(OR($F442="buy_to_close",$F442="expire",$F442="assignment",$F442="called_away"),OR($H442&lt;=0,$J442&lt;0)),AND($F442="roll",OR($H442&lt;=0,$I442&lt;=0,$J442&lt;0,$K442&lt;0)),AND(OR($F442="buy_shares",$F442="sell_shares"),OR($L442&lt;=0,$M442&lt;0)),AND(OR($F442="dividend",$F442="fee"),$N442&lt;0)),"Invalid value",IF(AND(OR($F442="sell_shares",$F442="called_away"),$AL442&lt;IF($F442="called_away",$AE442*$D442,$L442)),"Insufficient shares (capped)",IF(AND(OR($F442="buy_to_close",$F442="expire",$F442="roll",$F442="assignment",$F442="called_away"),$AF442&gt;0,$H442&gt;IF($AF442&gt;0,MAX(0,INDEX($AI$9:$AI$441,$AF442)-SUMIFS($AE$9:$AE$441,$G$9:$G$441,$G442,$B$9:$B$441,$B442)),0)),"Close quantity capped","OK")))))))))</f>
        <v/>
      </c>
      <c r="W442" s="59" t="str">
        <f t="shared" si="105"/>
        <v/>
      </c>
      <c r="X442" s="60" t="str">
        <f t="shared" si="106"/>
        <v/>
      </c>
      <c r="Y442" s="50" t="str">
        <f t="shared" si="107"/>
        <v/>
      </c>
      <c r="Z442" s="50" t="str">
        <f t="shared" si="108"/>
        <v/>
      </c>
      <c r="AA442" s="50" t="str">
        <f t="shared" si="109"/>
        <v/>
      </c>
      <c r="AB442" s="50" t="str">
        <f t="shared" si="110"/>
        <v/>
      </c>
      <c r="AC442" s="50" t="str">
        <f>IF($A442="","",IF($F442="assignment",IF($AF442&gt;0,INDEX($AH$9:$AH$441,$AF442),0)*$AE442*$D442,IF($F442="buy_shares",$M442*$AL442,0)))</f>
        <v/>
      </c>
      <c r="AD442" s="50" t="str">
        <f>IF($A442="","",IF($F442="called_away",IF($AF442&gt;0,INDEX($AH$9:$AH$441,$AF442),0)*$AL442,IF($F442="sell_shares",$M442*$AL442,0)))</f>
        <v/>
      </c>
      <c r="AE442" s="51" t="str">
        <f>IF($A442="","",IF(OR($F442="sell_put",$F442="sell_call"),IF(AND($H442&gt;0,$I442&gt;0,$J442&gt;=0),$H442,0),IF(OR($F442="buy_to_close",$F442="expire",$F442="roll",$F442="assignment",$F442="called_away"),IF(AND($AF442&gt;0,$H442&gt;0,IF($F442="assignment",IF($AF442&gt;0,INDEX($AG$9:$AG$441,$AF442),"")="put",TRUE),IF($F442="called_away",IF($AF442&gt;0,INDEX($AG$9:$AG$441,$AF442),"")="call",TRUE)),MIN($H442,IF($AF442&gt;0,MAX(0,INDEX($AI$9:$AI$441,$AF442)-SUMIFS($AE$9:$AE$441,$G$9:$G$441,$G442,$B$9:$B$441,$B442)),0)),0),0)))</f>
        <v/>
      </c>
      <c r="AF442" t="str">
        <f>IF($A442="","",IFERROR(MATCH(LEN($B442)&amp;":"&amp;$B442&amp;$G442,$AY$9:$AY$441,0),0))</f>
        <v/>
      </c>
      <c r="AG442" t="str">
        <f>IF($A442="","",IF($F442="sell_put","put",IF($F442="sell_call","call",IF($F442="roll",IF($AF442&gt;0,IF($AF442&gt;0,INDEX($AG$9:$AG$441,$AF442),""),""),IF($AF442&gt;0,IF($AF442&gt;0,INDEX($AG$9:$AG$441,$AF442),""),"")))))</f>
        <v/>
      </c>
      <c r="AH442" t="str">
        <f>IF($A442="","",IF(OR($F442="sell_put",$F442="sell_call",$F442="roll"),$I442,IF($AF442&gt;0,IF($AF442&gt;0,INDEX($AH$9:$AH$441,$AF442),0),0)))</f>
        <v/>
      </c>
      <c r="AI442" s="51" t="str">
        <f t="shared" si="111"/>
        <v/>
      </c>
      <c r="AJ442" s="51" t="str">
        <f>IF($A442="","",IFERROR(LOOKUP(2,1/($B$9:$B$441=$B442),$AM$9:$AM441),0))</f>
        <v/>
      </c>
      <c r="AK442" t="str">
        <f>IF($A442="","",IFERROR(LOOKUP(2,1/($B$9:$B$441=$B442),$AN$9:$AN441),0))</f>
        <v/>
      </c>
      <c r="AL442" s="51" t="str">
        <f t="shared" si="112"/>
        <v/>
      </c>
      <c r="AM442" s="51" t="str">
        <f t="shared" si="113"/>
        <v/>
      </c>
      <c r="AN442" t="str">
        <f t="shared" si="114"/>
        <v/>
      </c>
      <c r="AO442" s="50" t="str">
        <f>IF($A442="","",IFERROR(LOOKUP(2,1/($B$9:$B$441=$B442),$AO$9:$AO441),0)+IF($F442="sell_put",$I442*$AE442*$D442,IF($F442="roll",IF($AG442="put",($I442-IF($AF442&gt;0,INDEX($AH$9:$AH$441,$AF442),0))*$AE442*$D442,0),IF(AND(OR($F442="buy_to_close",$F442="expire",$F442="roll",$F442="assignment",$F442="called_away"),$F442&lt;&gt;"roll",$AG442="put"),-IF($AF442&gt;0,INDEX($AH$9:$AH$441,$AF442),0)*$AE442*$D442,0))))</f>
        <v/>
      </c>
      <c r="AP442" s="51" t="str">
        <f>IF($A442="","",IFERROR(LOOKUP(2,1/($B$9:$B$441=$B442),$AP$9:$AP441),0)+IF($F442="sell_put",$AE442*$D442,IF(AND(OR($F442="buy_to_close",$F442="expire",$F442="roll",$F442="assignment",$F442="called_away"),$F442&lt;&gt;"roll",$AG442="put"),-$AE442*$D442,0)))</f>
        <v/>
      </c>
      <c r="AQ442" s="51" t="str">
        <f>IF($A442="","",IFERROR(LOOKUP(2,1/($B$9:$B$441=$B442),$AQ$9:$AQ441),0)+IF(OR($F442="sell_put",$F442="sell_call"),$AE442,0)-IF(AND(OR($F442="buy_to_close",$F442="expire",$F442="roll",$F442="assignment",$F442="called_away"),$F442&lt;&gt;"roll"),$AE442,0))</f>
        <v/>
      </c>
      <c r="AR442" t="str">
        <f t="shared" si="115"/>
        <v/>
      </c>
      <c r="AS442" s="50" t="str">
        <f t="shared" si="116"/>
        <v/>
      </c>
      <c r="AT442" s="50" t="str">
        <f>IF($A442="","",MAX(IF($T442=IFERROR(LOOKUP(2,1/($B$9:$B$441=$B442),$T$9:$T441),0),IFERROR(LOOKUP(2,1/($B$9:$B$441=$B442),$AT$9:$AT441),0),0),$AS442))</f>
        <v/>
      </c>
      <c r="AU442" t="str">
        <f t="shared" si="117"/>
        <v/>
      </c>
      <c r="AV442" s="51">
        <f>IF($AU442="",0,IF(AND(IFERROR(LOOKUP(2,1/($B$9:$B$441=$B442),$AR$9:$AR441),1),NOT(AND(OR($F442="dividend",$F442="fee"),IFERROR(LOOKUP(2,1/($B$9:$B$441=$B442),$T$9:$T441),0)&gt;0))),ROW(),0))</f>
        <v>0</v>
      </c>
      <c r="AW442">
        <f>IF($A442="",0,IF($AV442&gt;0,MAX($AW$9:$AW$441)+1,MAX($AW$9:$AW$441)))</f>
        <v>0</v>
      </c>
      <c r="AX442">
        <f>IF($AU442="",0,IF(AND($AR442,OR(NOT(IFERROR(LOOKUP(2,1/($B$9:$B$441=$B442),$AR$9:$AR441),1)),IFERROR(LOOKUP(2,1/($B$9:$B$441=$B442),$T$9:$T441),0)=0)),ROW(),0))</f>
        <v>0</v>
      </c>
      <c r="AY442" t="str">
        <f t="shared" si="118"/>
        <v/>
      </c>
    </row>
    <row r="443" spans="1:51" ht="15" x14ac:dyDescent="0.25">
      <c r="A443" s="41" t="str">
        <f>IF(Trades!$A443="","",Trades!O443)</f>
        <v/>
      </c>
      <c r="B443" s="41" t="str">
        <f>IF(Trades!$A443="","",Trades!B443)</f>
        <v/>
      </c>
      <c r="C443" s="41" t="str">
        <f>IF(Trades!$A443="","",Trades!C443)</f>
        <v/>
      </c>
      <c r="D443" s="42" t="str">
        <f>IF(Trades!$A443="","",IF(Trades!$L443&gt;0,Trades!$L443,Trades!$C$6))</f>
        <v/>
      </c>
      <c r="E443" s="43" t="str">
        <f>IF(Trades!$A443="","",Trades!A443)</f>
        <v/>
      </c>
      <c r="F443" s="41" t="str">
        <f>IF(Trades!$A443="","",IFERROR(INDEX(Trades!$V$2:$V$14,MATCH(Trades!$E443,Trades!$U$2:$U$14,0)),""))</f>
        <v/>
      </c>
      <c r="G443" s="41" t="str">
        <f>IF(Trades!$A443="","",Trades!N443)</f>
        <v/>
      </c>
      <c r="H443" s="42" t="str">
        <f>IF(Trades!$A443="","",Trades!F443)</f>
        <v/>
      </c>
      <c r="I443" s="44" t="str">
        <f>IF(Trades!$A443="","",Trades!G443)</f>
        <v/>
      </c>
      <c r="J443" s="44" t="str">
        <f>IF(Trades!$A443="","",Trades!I443)</f>
        <v/>
      </c>
      <c r="K443" s="44" t="str">
        <f>IF(Trades!$A443="","",Trades!Q443)</f>
        <v/>
      </c>
      <c r="L443" s="42" t="str">
        <f>IF(Trades!$A443="","",Trades!F443)</f>
        <v/>
      </c>
      <c r="M443" s="44" t="str">
        <f>IF(Trades!$A443="","",Trades!M443)</f>
        <v/>
      </c>
      <c r="N443" s="44" t="str">
        <f>IF(Trades!$A443="","",Trades!R443)</f>
        <v/>
      </c>
      <c r="O443" s="44" t="str">
        <f>IF(Trades!$A443="","",Trades!J443)</f>
        <v/>
      </c>
      <c r="P443" s="43" t="str">
        <f>IF(Trades!$A443="","",Trades!H443)</f>
        <v/>
      </c>
      <c r="Q443" s="41" t="str">
        <f>IF(Trades!$A443="","",Trades!P443)</f>
        <v/>
      </c>
      <c r="R443" s="45" t="str">
        <f t="shared" si="102"/>
        <v/>
      </c>
      <c r="S443" s="45" t="str">
        <f t="shared" si="103"/>
        <v/>
      </c>
      <c r="T443" s="46" t="str">
        <f>IF(OR($A443="",$B443=""),"",IF(AND(IFERROR(LOOKUP(2,1/($B$9:$B$442=$B443),$AR$9:$AR442),1),NOT(AND(OR($F443="dividend",$F443="fee"),IFERROR(LOOKUP(2,1/($B$9:$B$442=$B443),$T$9:$T442),0)&gt;0))),IFERROR(LOOKUP(2,1/($B$9:$B$442=$B443),$T$9:$T442),0)+1,IFERROR(LOOKUP(2,1/($B$9:$B$442=$B443),$T$9:$T442),0)))</f>
        <v/>
      </c>
      <c r="U443" s="47" t="str">
        <f t="shared" si="104"/>
        <v/>
      </c>
      <c r="V443" s="47" t="str">
        <f>IF($A443="","",IF(OR($B443="",$C443="",$D443="",$E443="",$F443=""),"Missing required field",IF(COUNTIFS($A$9:$A443,$A443,$B$9:$B443,$B443)&gt;1,"Duplicate event ID",IF(AND($E443&lt;&gt;IFERROR(LOOKUP(2,1/($B$9:$B$442=$B443),$E$9:$E442),0),IFERROR(LOOKUP(2,1/($B$9:$B$442=$B443),$E$9:$E442),0)&gt;$E443),"Date out of order",IF(AND(OR($F443="buy_to_close",$F443="expire",$F443="roll",$F443="assignment",$F443="called_away"),$AF443=0),"Unknown lot",IF(OR(AND($F443="assignment",$AF443&gt;0,IF($AF443&gt;0,INDEX($AG$9:$AG$442,$AF443),"")&lt;&gt;"put"),AND($F443="called_away",$AF443&gt;0,IF($AF443&gt;0,INDEX($AG$9:$AG$442,$AF443),"")&lt;&gt;"call")),"Wrong option leg",IF(OR(AND(OR($F443="sell_put",$F443="sell_call"),OR($H443&lt;=0,$I443&lt;=0,$J443&lt;0)),AND(OR($F443="buy_to_close",$F443="expire",$F443="assignment",$F443="called_away"),OR($H443&lt;=0,$J443&lt;0)),AND($F443="roll",OR($H443&lt;=0,$I443&lt;=0,$J443&lt;0,$K443&lt;0)),AND(OR($F443="buy_shares",$F443="sell_shares"),OR($L443&lt;=0,$M443&lt;0)),AND(OR($F443="dividend",$F443="fee"),$N443&lt;0)),"Invalid value",IF(AND(OR($F443="sell_shares",$F443="called_away"),$AL443&lt;IF($F443="called_away",$AE443*$D443,$L443)),"Insufficient shares (capped)",IF(AND(OR($F443="buy_to_close",$F443="expire",$F443="roll",$F443="assignment",$F443="called_away"),$AF443&gt;0,$H443&gt;IF($AF443&gt;0,MAX(0,INDEX($AI$9:$AI$442,$AF443)-SUMIFS($AE$9:$AE$442,$G$9:$G$442,$G443,$B$9:$B$442,$B443)),0)),"Close quantity capped","OK")))))))))</f>
        <v/>
      </c>
      <c r="W443" s="48" t="str">
        <f t="shared" si="105"/>
        <v/>
      </c>
      <c r="X443" s="49" t="str">
        <f t="shared" si="106"/>
        <v/>
      </c>
      <c r="Y443" s="50" t="str">
        <f t="shared" si="107"/>
        <v/>
      </c>
      <c r="Z443" s="50" t="str">
        <f t="shared" si="108"/>
        <v/>
      </c>
      <c r="AA443" s="50" t="str">
        <f t="shared" si="109"/>
        <v/>
      </c>
      <c r="AB443" s="50" t="str">
        <f t="shared" si="110"/>
        <v/>
      </c>
      <c r="AC443" s="50" t="str">
        <f>IF($A443="","",IF($F443="assignment",IF($AF443&gt;0,INDEX($AH$9:$AH$442,$AF443),0)*$AE443*$D443,IF($F443="buy_shares",$M443*$AL443,0)))</f>
        <v/>
      </c>
      <c r="AD443" s="50" t="str">
        <f>IF($A443="","",IF($F443="called_away",IF($AF443&gt;0,INDEX($AH$9:$AH$442,$AF443),0)*$AL443,IF($F443="sell_shares",$M443*$AL443,0)))</f>
        <v/>
      </c>
      <c r="AE443" s="51" t="str">
        <f>IF($A443="","",IF(OR($F443="sell_put",$F443="sell_call"),IF(AND($H443&gt;0,$I443&gt;0,$J443&gt;=0),$H443,0),IF(OR($F443="buy_to_close",$F443="expire",$F443="roll",$F443="assignment",$F443="called_away"),IF(AND($AF443&gt;0,$H443&gt;0,IF($F443="assignment",IF($AF443&gt;0,INDEX($AG$9:$AG$442,$AF443),"")="put",TRUE),IF($F443="called_away",IF($AF443&gt;0,INDEX($AG$9:$AG$442,$AF443),"")="call",TRUE)),MIN($H443,IF($AF443&gt;0,MAX(0,INDEX($AI$9:$AI$442,$AF443)-SUMIFS($AE$9:$AE$442,$G$9:$G$442,$G443,$B$9:$B$442,$B443)),0)),0),0)))</f>
        <v/>
      </c>
      <c r="AF443" t="str">
        <f>IF($A443="","",IFERROR(MATCH(LEN($B443)&amp;":"&amp;$B443&amp;$G443,$AY$9:$AY$442,0),0))</f>
        <v/>
      </c>
      <c r="AG443" t="str">
        <f>IF($A443="","",IF($F443="sell_put","put",IF($F443="sell_call","call",IF($F443="roll",IF($AF443&gt;0,IF($AF443&gt;0,INDEX($AG$9:$AG$442,$AF443),""),""),IF($AF443&gt;0,IF($AF443&gt;0,INDEX($AG$9:$AG$442,$AF443),""),"")))))</f>
        <v/>
      </c>
      <c r="AH443" t="str">
        <f>IF($A443="","",IF(OR($F443="sell_put",$F443="sell_call",$F443="roll"),$I443,IF($AF443&gt;0,IF($AF443&gt;0,INDEX($AH$9:$AH$442,$AF443),0),0)))</f>
        <v/>
      </c>
      <c r="AI443" s="51" t="str">
        <f t="shared" si="111"/>
        <v/>
      </c>
      <c r="AJ443" s="51" t="str">
        <f>IF($A443="","",IFERROR(LOOKUP(2,1/($B$9:$B$442=$B443),$AM$9:$AM442),0))</f>
        <v/>
      </c>
      <c r="AK443" t="str">
        <f>IF($A443="","",IFERROR(LOOKUP(2,1/($B$9:$B$442=$B443),$AN$9:$AN442),0))</f>
        <v/>
      </c>
      <c r="AL443" s="51" t="str">
        <f t="shared" si="112"/>
        <v/>
      </c>
      <c r="AM443" s="51" t="str">
        <f t="shared" si="113"/>
        <v/>
      </c>
      <c r="AN443" t="str">
        <f t="shared" si="114"/>
        <v/>
      </c>
      <c r="AO443" s="50" t="str">
        <f>IF($A443="","",IFERROR(LOOKUP(2,1/($B$9:$B$442=$B443),$AO$9:$AO442),0)+IF($F443="sell_put",$I443*$AE443*$D443,IF($F443="roll",IF($AG443="put",($I443-IF($AF443&gt;0,INDEX($AH$9:$AH$442,$AF443),0))*$AE443*$D443,0),IF(AND(OR($F443="buy_to_close",$F443="expire",$F443="roll",$F443="assignment",$F443="called_away"),$F443&lt;&gt;"roll",$AG443="put"),-IF($AF443&gt;0,INDEX($AH$9:$AH$442,$AF443),0)*$AE443*$D443,0))))</f>
        <v/>
      </c>
      <c r="AP443" s="51" t="str">
        <f>IF($A443="","",IFERROR(LOOKUP(2,1/($B$9:$B$442=$B443),$AP$9:$AP442),0)+IF($F443="sell_put",$AE443*$D443,IF(AND(OR($F443="buy_to_close",$F443="expire",$F443="roll",$F443="assignment",$F443="called_away"),$F443&lt;&gt;"roll",$AG443="put"),-$AE443*$D443,0)))</f>
        <v/>
      </c>
      <c r="AQ443" s="51" t="str">
        <f>IF($A443="","",IFERROR(LOOKUP(2,1/($B$9:$B$442=$B443),$AQ$9:$AQ442),0)+IF(OR($F443="sell_put",$F443="sell_call"),$AE443,0)-IF(AND(OR($F443="buy_to_close",$F443="expire",$F443="roll",$F443="assignment",$F443="called_away"),$F443&lt;&gt;"roll"),$AE443,0))</f>
        <v/>
      </c>
      <c r="AR443" t="str">
        <f t="shared" si="115"/>
        <v/>
      </c>
      <c r="AS443" s="50" t="str">
        <f t="shared" si="116"/>
        <v/>
      </c>
      <c r="AT443" s="50" t="str">
        <f>IF($A443="","",MAX(IF($T443=IFERROR(LOOKUP(2,1/($B$9:$B$442=$B443),$T$9:$T442),0),IFERROR(LOOKUP(2,1/($B$9:$B$442=$B443),$AT$9:$AT442),0),0),$AS443))</f>
        <v/>
      </c>
      <c r="AU443" t="str">
        <f t="shared" si="117"/>
        <v/>
      </c>
      <c r="AV443" s="51">
        <f>IF($AU443="",0,IF(AND(IFERROR(LOOKUP(2,1/($B$9:$B$442=$B443),$AR$9:$AR442),1),NOT(AND(OR($F443="dividend",$F443="fee"),IFERROR(LOOKUP(2,1/($B$9:$B$442=$B443),$T$9:$T442),0)&gt;0))),ROW(),0))</f>
        <v>0</v>
      </c>
      <c r="AW443">
        <f>IF($A443="",0,IF($AV443&gt;0,MAX($AW$9:$AW$442)+1,MAX($AW$9:$AW$442)))</f>
        <v>0</v>
      </c>
      <c r="AX443">
        <f>IF($AU443="",0,IF(AND($AR443,OR(NOT(IFERROR(LOOKUP(2,1/($B$9:$B$442=$B443),$AR$9:$AR442),1)),IFERROR(LOOKUP(2,1/($B$9:$B$442=$B443),$T$9:$T442),0)=0)),ROW(),0))</f>
        <v>0</v>
      </c>
      <c r="AY443" t="str">
        <f t="shared" si="118"/>
        <v/>
      </c>
    </row>
    <row r="444" spans="1:51" ht="15" x14ac:dyDescent="0.25">
      <c r="A444" s="52" t="str">
        <f>IF(Trades!$A444="","",Trades!O444)</f>
        <v/>
      </c>
      <c r="B444" s="52" t="str">
        <f>IF(Trades!$A444="","",Trades!B444)</f>
        <v/>
      </c>
      <c r="C444" s="52" t="str">
        <f>IF(Trades!$A444="","",Trades!C444)</f>
        <v/>
      </c>
      <c r="D444" s="53" t="str">
        <f>IF(Trades!$A444="","",IF(Trades!$L444&gt;0,Trades!$L444,Trades!$C$6))</f>
        <v/>
      </c>
      <c r="E444" s="54" t="str">
        <f>IF(Trades!$A444="","",Trades!A444)</f>
        <v/>
      </c>
      <c r="F444" s="52" t="str">
        <f>IF(Trades!$A444="","",IFERROR(INDEX(Trades!$V$2:$V$14,MATCH(Trades!$E444,Trades!$U$2:$U$14,0)),""))</f>
        <v/>
      </c>
      <c r="G444" s="52" t="str">
        <f>IF(Trades!$A444="","",Trades!N444)</f>
        <v/>
      </c>
      <c r="H444" s="53" t="str">
        <f>IF(Trades!$A444="","",Trades!F444)</f>
        <v/>
      </c>
      <c r="I444" s="55" t="str">
        <f>IF(Trades!$A444="","",Trades!G444)</f>
        <v/>
      </c>
      <c r="J444" s="55" t="str">
        <f>IF(Trades!$A444="","",Trades!I444)</f>
        <v/>
      </c>
      <c r="K444" s="55" t="str">
        <f>IF(Trades!$A444="","",Trades!Q444)</f>
        <v/>
      </c>
      <c r="L444" s="53" t="str">
        <f>IF(Trades!$A444="","",Trades!F444)</f>
        <v/>
      </c>
      <c r="M444" s="55" t="str">
        <f>IF(Trades!$A444="","",Trades!M444)</f>
        <v/>
      </c>
      <c r="N444" s="55" t="str">
        <f>IF(Trades!$A444="","",Trades!R444)</f>
        <v/>
      </c>
      <c r="O444" s="55" t="str">
        <f>IF(Trades!$A444="","",Trades!J444)</f>
        <v/>
      </c>
      <c r="P444" s="54" t="str">
        <f>IF(Trades!$A444="","",Trades!H444)</f>
        <v/>
      </c>
      <c r="Q444" s="52" t="str">
        <f>IF(Trades!$A444="","",Trades!P444)</f>
        <v/>
      </c>
      <c r="R444" s="56" t="str">
        <f t="shared" si="102"/>
        <v/>
      </c>
      <c r="S444" s="56" t="str">
        <f t="shared" si="103"/>
        <v/>
      </c>
      <c r="T444" s="57" t="str">
        <f>IF(OR($A444="",$B444=""),"",IF(AND(IFERROR(LOOKUP(2,1/($B$9:$B$443=$B444),$AR$9:$AR443),1),NOT(AND(OR($F444="dividend",$F444="fee"),IFERROR(LOOKUP(2,1/($B$9:$B$443=$B444),$T$9:$T443),0)&gt;0))),IFERROR(LOOKUP(2,1/($B$9:$B$443=$B444),$T$9:$T443),0)+1,IFERROR(LOOKUP(2,1/($B$9:$B$443=$B444),$T$9:$T443),0)))</f>
        <v/>
      </c>
      <c r="U444" s="58" t="str">
        <f t="shared" si="104"/>
        <v/>
      </c>
      <c r="V444" s="58" t="str">
        <f>IF($A444="","",IF(OR($B444="",$C444="",$D444="",$E444="",$F444=""),"Missing required field",IF(COUNTIFS($A$9:$A444,$A444,$B$9:$B444,$B444)&gt;1,"Duplicate event ID",IF(AND($E444&lt;&gt;IFERROR(LOOKUP(2,1/($B$9:$B$443=$B444),$E$9:$E443),0),IFERROR(LOOKUP(2,1/($B$9:$B$443=$B444),$E$9:$E443),0)&gt;$E444),"Date out of order",IF(AND(OR($F444="buy_to_close",$F444="expire",$F444="roll",$F444="assignment",$F444="called_away"),$AF444=0),"Unknown lot",IF(OR(AND($F444="assignment",$AF444&gt;0,IF($AF444&gt;0,INDEX($AG$9:$AG$443,$AF444),"")&lt;&gt;"put"),AND($F444="called_away",$AF444&gt;0,IF($AF444&gt;0,INDEX($AG$9:$AG$443,$AF444),"")&lt;&gt;"call")),"Wrong option leg",IF(OR(AND(OR($F444="sell_put",$F444="sell_call"),OR($H444&lt;=0,$I444&lt;=0,$J444&lt;0)),AND(OR($F444="buy_to_close",$F444="expire",$F444="assignment",$F444="called_away"),OR($H444&lt;=0,$J444&lt;0)),AND($F444="roll",OR($H444&lt;=0,$I444&lt;=0,$J444&lt;0,$K444&lt;0)),AND(OR($F444="buy_shares",$F444="sell_shares"),OR($L444&lt;=0,$M444&lt;0)),AND(OR($F444="dividend",$F444="fee"),$N444&lt;0)),"Invalid value",IF(AND(OR($F444="sell_shares",$F444="called_away"),$AL444&lt;IF($F444="called_away",$AE444*$D444,$L444)),"Insufficient shares (capped)",IF(AND(OR($F444="buy_to_close",$F444="expire",$F444="roll",$F444="assignment",$F444="called_away"),$AF444&gt;0,$H444&gt;IF($AF444&gt;0,MAX(0,INDEX($AI$9:$AI$443,$AF444)-SUMIFS($AE$9:$AE$443,$G$9:$G$443,$G444,$B$9:$B$443,$B444)),0)),"Close quantity capped","OK")))))))))</f>
        <v/>
      </c>
      <c r="W444" s="59" t="str">
        <f t="shared" si="105"/>
        <v/>
      </c>
      <c r="X444" s="60" t="str">
        <f t="shared" si="106"/>
        <v/>
      </c>
      <c r="Y444" s="50" t="str">
        <f t="shared" si="107"/>
        <v/>
      </c>
      <c r="Z444" s="50" t="str">
        <f t="shared" si="108"/>
        <v/>
      </c>
      <c r="AA444" s="50" t="str">
        <f t="shared" si="109"/>
        <v/>
      </c>
      <c r="AB444" s="50" t="str">
        <f t="shared" si="110"/>
        <v/>
      </c>
      <c r="AC444" s="50" t="str">
        <f>IF($A444="","",IF($F444="assignment",IF($AF444&gt;0,INDEX($AH$9:$AH$443,$AF444),0)*$AE444*$D444,IF($F444="buy_shares",$M444*$AL444,0)))</f>
        <v/>
      </c>
      <c r="AD444" s="50" t="str">
        <f>IF($A444="","",IF($F444="called_away",IF($AF444&gt;0,INDEX($AH$9:$AH$443,$AF444),0)*$AL444,IF($F444="sell_shares",$M444*$AL444,0)))</f>
        <v/>
      </c>
      <c r="AE444" s="51" t="str">
        <f>IF($A444="","",IF(OR($F444="sell_put",$F444="sell_call"),IF(AND($H444&gt;0,$I444&gt;0,$J444&gt;=0),$H444,0),IF(OR($F444="buy_to_close",$F444="expire",$F444="roll",$F444="assignment",$F444="called_away"),IF(AND($AF444&gt;0,$H444&gt;0,IF($F444="assignment",IF($AF444&gt;0,INDEX($AG$9:$AG$443,$AF444),"")="put",TRUE),IF($F444="called_away",IF($AF444&gt;0,INDEX($AG$9:$AG$443,$AF444),"")="call",TRUE)),MIN($H444,IF($AF444&gt;0,MAX(0,INDEX($AI$9:$AI$443,$AF444)-SUMIFS($AE$9:$AE$443,$G$9:$G$443,$G444,$B$9:$B$443,$B444)),0)),0),0)))</f>
        <v/>
      </c>
      <c r="AF444" t="str">
        <f>IF($A444="","",IFERROR(MATCH(LEN($B444)&amp;":"&amp;$B444&amp;$G444,$AY$9:$AY$443,0),0))</f>
        <v/>
      </c>
      <c r="AG444" t="str">
        <f>IF($A444="","",IF($F444="sell_put","put",IF($F444="sell_call","call",IF($F444="roll",IF($AF444&gt;0,IF($AF444&gt;0,INDEX($AG$9:$AG$443,$AF444),""),""),IF($AF444&gt;0,IF($AF444&gt;0,INDEX($AG$9:$AG$443,$AF444),""),"")))))</f>
        <v/>
      </c>
      <c r="AH444" t="str">
        <f>IF($A444="","",IF(OR($F444="sell_put",$F444="sell_call",$F444="roll"),$I444,IF($AF444&gt;0,IF($AF444&gt;0,INDEX($AH$9:$AH$443,$AF444),0),0)))</f>
        <v/>
      </c>
      <c r="AI444" s="51" t="str">
        <f t="shared" si="111"/>
        <v/>
      </c>
      <c r="AJ444" s="51" t="str">
        <f>IF($A444="","",IFERROR(LOOKUP(2,1/($B$9:$B$443=$B444),$AM$9:$AM443),0))</f>
        <v/>
      </c>
      <c r="AK444" t="str">
        <f>IF($A444="","",IFERROR(LOOKUP(2,1/($B$9:$B$443=$B444),$AN$9:$AN443),0))</f>
        <v/>
      </c>
      <c r="AL444" s="51" t="str">
        <f t="shared" si="112"/>
        <v/>
      </c>
      <c r="AM444" s="51" t="str">
        <f t="shared" si="113"/>
        <v/>
      </c>
      <c r="AN444" t="str">
        <f t="shared" si="114"/>
        <v/>
      </c>
      <c r="AO444" s="50" t="str">
        <f>IF($A444="","",IFERROR(LOOKUP(2,1/($B$9:$B$443=$B444),$AO$9:$AO443),0)+IF($F444="sell_put",$I444*$AE444*$D444,IF($F444="roll",IF($AG444="put",($I444-IF($AF444&gt;0,INDEX($AH$9:$AH$443,$AF444),0))*$AE444*$D444,0),IF(AND(OR($F444="buy_to_close",$F444="expire",$F444="roll",$F444="assignment",$F444="called_away"),$F444&lt;&gt;"roll",$AG444="put"),-IF($AF444&gt;0,INDEX($AH$9:$AH$443,$AF444),0)*$AE444*$D444,0))))</f>
        <v/>
      </c>
      <c r="AP444" s="51" t="str">
        <f>IF($A444="","",IFERROR(LOOKUP(2,1/($B$9:$B$443=$B444),$AP$9:$AP443),0)+IF($F444="sell_put",$AE444*$D444,IF(AND(OR($F444="buy_to_close",$F444="expire",$F444="roll",$F444="assignment",$F444="called_away"),$F444&lt;&gt;"roll",$AG444="put"),-$AE444*$D444,0)))</f>
        <v/>
      </c>
      <c r="AQ444" s="51" t="str">
        <f>IF($A444="","",IFERROR(LOOKUP(2,1/($B$9:$B$443=$B444),$AQ$9:$AQ443),0)+IF(OR($F444="sell_put",$F444="sell_call"),$AE444,0)-IF(AND(OR($F444="buy_to_close",$F444="expire",$F444="roll",$F444="assignment",$F444="called_away"),$F444&lt;&gt;"roll"),$AE444,0))</f>
        <v/>
      </c>
      <c r="AR444" t="str">
        <f t="shared" si="115"/>
        <v/>
      </c>
      <c r="AS444" s="50" t="str">
        <f t="shared" si="116"/>
        <v/>
      </c>
      <c r="AT444" s="50" t="str">
        <f>IF($A444="","",MAX(IF($T444=IFERROR(LOOKUP(2,1/($B$9:$B$443=$B444),$T$9:$T443),0),IFERROR(LOOKUP(2,1/($B$9:$B$443=$B444),$AT$9:$AT443),0),0),$AS444))</f>
        <v/>
      </c>
      <c r="AU444" t="str">
        <f t="shared" si="117"/>
        <v/>
      </c>
      <c r="AV444" s="51">
        <f>IF($AU444="",0,IF(AND(IFERROR(LOOKUP(2,1/($B$9:$B$443=$B444),$AR$9:$AR443),1),NOT(AND(OR($F444="dividend",$F444="fee"),IFERROR(LOOKUP(2,1/($B$9:$B$443=$B444),$T$9:$T443),0)&gt;0))),ROW(),0))</f>
        <v>0</v>
      </c>
      <c r="AW444">
        <f>IF($A444="",0,IF($AV444&gt;0,MAX($AW$9:$AW$443)+1,MAX($AW$9:$AW$443)))</f>
        <v>0</v>
      </c>
      <c r="AX444">
        <f>IF($AU444="",0,IF(AND($AR444,OR(NOT(IFERROR(LOOKUP(2,1/($B$9:$B$443=$B444),$AR$9:$AR443),1)),IFERROR(LOOKUP(2,1/($B$9:$B$443=$B444),$T$9:$T443),0)=0)),ROW(),0))</f>
        <v>0</v>
      </c>
      <c r="AY444" t="str">
        <f t="shared" si="118"/>
        <v/>
      </c>
    </row>
    <row r="445" spans="1:51" ht="15" x14ac:dyDescent="0.25">
      <c r="A445" s="41" t="str">
        <f>IF(Trades!$A445="","",Trades!O445)</f>
        <v/>
      </c>
      <c r="B445" s="41" t="str">
        <f>IF(Trades!$A445="","",Trades!B445)</f>
        <v/>
      </c>
      <c r="C445" s="41" t="str">
        <f>IF(Trades!$A445="","",Trades!C445)</f>
        <v/>
      </c>
      <c r="D445" s="42" t="str">
        <f>IF(Trades!$A445="","",IF(Trades!$L445&gt;0,Trades!$L445,Trades!$C$6))</f>
        <v/>
      </c>
      <c r="E445" s="43" t="str">
        <f>IF(Trades!$A445="","",Trades!A445)</f>
        <v/>
      </c>
      <c r="F445" s="41" t="str">
        <f>IF(Trades!$A445="","",IFERROR(INDEX(Trades!$V$2:$V$14,MATCH(Trades!$E445,Trades!$U$2:$U$14,0)),""))</f>
        <v/>
      </c>
      <c r="G445" s="41" t="str">
        <f>IF(Trades!$A445="","",Trades!N445)</f>
        <v/>
      </c>
      <c r="H445" s="42" t="str">
        <f>IF(Trades!$A445="","",Trades!F445)</f>
        <v/>
      </c>
      <c r="I445" s="44" t="str">
        <f>IF(Trades!$A445="","",Trades!G445)</f>
        <v/>
      </c>
      <c r="J445" s="44" t="str">
        <f>IF(Trades!$A445="","",Trades!I445)</f>
        <v/>
      </c>
      <c r="K445" s="44" t="str">
        <f>IF(Trades!$A445="","",Trades!Q445)</f>
        <v/>
      </c>
      <c r="L445" s="42" t="str">
        <f>IF(Trades!$A445="","",Trades!F445)</f>
        <v/>
      </c>
      <c r="M445" s="44" t="str">
        <f>IF(Trades!$A445="","",Trades!M445)</f>
        <v/>
      </c>
      <c r="N445" s="44" t="str">
        <f>IF(Trades!$A445="","",Trades!R445)</f>
        <v/>
      </c>
      <c r="O445" s="44" t="str">
        <f>IF(Trades!$A445="","",Trades!J445)</f>
        <v/>
      </c>
      <c r="P445" s="43" t="str">
        <f>IF(Trades!$A445="","",Trades!H445)</f>
        <v/>
      </c>
      <c r="Q445" s="41" t="str">
        <f>IF(Trades!$A445="","",Trades!P445)</f>
        <v/>
      </c>
      <c r="R445" s="45" t="str">
        <f t="shared" si="102"/>
        <v/>
      </c>
      <c r="S445" s="45" t="str">
        <f t="shared" si="103"/>
        <v/>
      </c>
      <c r="T445" s="46" t="str">
        <f>IF(OR($A445="",$B445=""),"",IF(AND(IFERROR(LOOKUP(2,1/($B$9:$B$444=$B445),$AR$9:$AR444),1),NOT(AND(OR($F445="dividend",$F445="fee"),IFERROR(LOOKUP(2,1/($B$9:$B$444=$B445),$T$9:$T444),0)&gt;0))),IFERROR(LOOKUP(2,1/($B$9:$B$444=$B445),$T$9:$T444),0)+1,IFERROR(LOOKUP(2,1/($B$9:$B$444=$B445),$T$9:$T444),0)))</f>
        <v/>
      </c>
      <c r="U445" s="47" t="str">
        <f t="shared" si="104"/>
        <v/>
      </c>
      <c r="V445" s="47" t="str">
        <f>IF($A445="","",IF(OR($B445="",$C445="",$D445="",$E445="",$F445=""),"Missing required field",IF(COUNTIFS($A$9:$A445,$A445,$B$9:$B445,$B445)&gt;1,"Duplicate event ID",IF(AND($E445&lt;&gt;IFERROR(LOOKUP(2,1/($B$9:$B$444=$B445),$E$9:$E444),0),IFERROR(LOOKUP(2,1/($B$9:$B$444=$B445),$E$9:$E444),0)&gt;$E445),"Date out of order",IF(AND(OR($F445="buy_to_close",$F445="expire",$F445="roll",$F445="assignment",$F445="called_away"),$AF445=0),"Unknown lot",IF(OR(AND($F445="assignment",$AF445&gt;0,IF($AF445&gt;0,INDEX($AG$9:$AG$444,$AF445),"")&lt;&gt;"put"),AND($F445="called_away",$AF445&gt;0,IF($AF445&gt;0,INDEX($AG$9:$AG$444,$AF445),"")&lt;&gt;"call")),"Wrong option leg",IF(OR(AND(OR($F445="sell_put",$F445="sell_call"),OR($H445&lt;=0,$I445&lt;=0,$J445&lt;0)),AND(OR($F445="buy_to_close",$F445="expire",$F445="assignment",$F445="called_away"),OR($H445&lt;=0,$J445&lt;0)),AND($F445="roll",OR($H445&lt;=0,$I445&lt;=0,$J445&lt;0,$K445&lt;0)),AND(OR($F445="buy_shares",$F445="sell_shares"),OR($L445&lt;=0,$M445&lt;0)),AND(OR($F445="dividend",$F445="fee"),$N445&lt;0)),"Invalid value",IF(AND(OR($F445="sell_shares",$F445="called_away"),$AL445&lt;IF($F445="called_away",$AE445*$D445,$L445)),"Insufficient shares (capped)",IF(AND(OR($F445="buy_to_close",$F445="expire",$F445="roll",$F445="assignment",$F445="called_away"),$AF445&gt;0,$H445&gt;IF($AF445&gt;0,MAX(0,INDEX($AI$9:$AI$444,$AF445)-SUMIFS($AE$9:$AE$444,$G$9:$G$444,$G445,$B$9:$B$444,$B445)),0)),"Close quantity capped","OK")))))))))</f>
        <v/>
      </c>
      <c r="W445" s="48" t="str">
        <f t="shared" si="105"/>
        <v/>
      </c>
      <c r="X445" s="49" t="str">
        <f t="shared" si="106"/>
        <v/>
      </c>
      <c r="Y445" s="50" t="str">
        <f t="shared" si="107"/>
        <v/>
      </c>
      <c r="Z445" s="50" t="str">
        <f t="shared" si="108"/>
        <v/>
      </c>
      <c r="AA445" s="50" t="str">
        <f t="shared" si="109"/>
        <v/>
      </c>
      <c r="AB445" s="50" t="str">
        <f t="shared" si="110"/>
        <v/>
      </c>
      <c r="AC445" s="50" t="str">
        <f>IF($A445="","",IF($F445="assignment",IF($AF445&gt;0,INDEX($AH$9:$AH$444,$AF445),0)*$AE445*$D445,IF($F445="buy_shares",$M445*$AL445,0)))</f>
        <v/>
      </c>
      <c r="AD445" s="50" t="str">
        <f>IF($A445="","",IF($F445="called_away",IF($AF445&gt;0,INDEX($AH$9:$AH$444,$AF445),0)*$AL445,IF($F445="sell_shares",$M445*$AL445,0)))</f>
        <v/>
      </c>
      <c r="AE445" s="51" t="str">
        <f>IF($A445="","",IF(OR($F445="sell_put",$F445="sell_call"),IF(AND($H445&gt;0,$I445&gt;0,$J445&gt;=0),$H445,0),IF(OR($F445="buy_to_close",$F445="expire",$F445="roll",$F445="assignment",$F445="called_away"),IF(AND($AF445&gt;0,$H445&gt;0,IF($F445="assignment",IF($AF445&gt;0,INDEX($AG$9:$AG$444,$AF445),"")="put",TRUE),IF($F445="called_away",IF($AF445&gt;0,INDEX($AG$9:$AG$444,$AF445),"")="call",TRUE)),MIN($H445,IF($AF445&gt;0,MAX(0,INDEX($AI$9:$AI$444,$AF445)-SUMIFS($AE$9:$AE$444,$G$9:$G$444,$G445,$B$9:$B$444,$B445)),0)),0),0)))</f>
        <v/>
      </c>
      <c r="AF445" t="str">
        <f>IF($A445="","",IFERROR(MATCH(LEN($B445)&amp;":"&amp;$B445&amp;$G445,$AY$9:$AY$444,0),0))</f>
        <v/>
      </c>
      <c r="AG445" t="str">
        <f>IF($A445="","",IF($F445="sell_put","put",IF($F445="sell_call","call",IF($F445="roll",IF($AF445&gt;0,IF($AF445&gt;0,INDEX($AG$9:$AG$444,$AF445),""),""),IF($AF445&gt;0,IF($AF445&gt;0,INDEX($AG$9:$AG$444,$AF445),""),"")))))</f>
        <v/>
      </c>
      <c r="AH445" t="str">
        <f>IF($A445="","",IF(OR($F445="sell_put",$F445="sell_call",$F445="roll"),$I445,IF($AF445&gt;0,IF($AF445&gt;0,INDEX($AH$9:$AH$444,$AF445),0),0)))</f>
        <v/>
      </c>
      <c r="AI445" s="51" t="str">
        <f t="shared" si="111"/>
        <v/>
      </c>
      <c r="AJ445" s="51" t="str">
        <f>IF($A445="","",IFERROR(LOOKUP(2,1/($B$9:$B$444=$B445),$AM$9:$AM444),0))</f>
        <v/>
      </c>
      <c r="AK445" t="str">
        <f>IF($A445="","",IFERROR(LOOKUP(2,1/($B$9:$B$444=$B445),$AN$9:$AN444),0))</f>
        <v/>
      </c>
      <c r="AL445" s="51" t="str">
        <f t="shared" si="112"/>
        <v/>
      </c>
      <c r="AM445" s="51" t="str">
        <f t="shared" si="113"/>
        <v/>
      </c>
      <c r="AN445" t="str">
        <f t="shared" si="114"/>
        <v/>
      </c>
      <c r="AO445" s="50" t="str">
        <f>IF($A445="","",IFERROR(LOOKUP(2,1/($B$9:$B$444=$B445),$AO$9:$AO444),0)+IF($F445="sell_put",$I445*$AE445*$D445,IF($F445="roll",IF($AG445="put",($I445-IF($AF445&gt;0,INDEX($AH$9:$AH$444,$AF445),0))*$AE445*$D445,0),IF(AND(OR($F445="buy_to_close",$F445="expire",$F445="roll",$F445="assignment",$F445="called_away"),$F445&lt;&gt;"roll",$AG445="put"),-IF($AF445&gt;0,INDEX($AH$9:$AH$444,$AF445),0)*$AE445*$D445,0))))</f>
        <v/>
      </c>
      <c r="AP445" s="51" t="str">
        <f>IF($A445="","",IFERROR(LOOKUP(2,1/($B$9:$B$444=$B445),$AP$9:$AP444),0)+IF($F445="sell_put",$AE445*$D445,IF(AND(OR($F445="buy_to_close",$F445="expire",$F445="roll",$F445="assignment",$F445="called_away"),$F445&lt;&gt;"roll",$AG445="put"),-$AE445*$D445,0)))</f>
        <v/>
      </c>
      <c r="AQ445" s="51" t="str">
        <f>IF($A445="","",IFERROR(LOOKUP(2,1/($B$9:$B$444=$B445),$AQ$9:$AQ444),0)+IF(OR($F445="sell_put",$F445="sell_call"),$AE445,0)-IF(AND(OR($F445="buy_to_close",$F445="expire",$F445="roll",$F445="assignment",$F445="called_away"),$F445&lt;&gt;"roll"),$AE445,0))</f>
        <v/>
      </c>
      <c r="AR445" t="str">
        <f t="shared" si="115"/>
        <v/>
      </c>
      <c r="AS445" s="50" t="str">
        <f t="shared" si="116"/>
        <v/>
      </c>
      <c r="AT445" s="50" t="str">
        <f>IF($A445="","",MAX(IF($T445=IFERROR(LOOKUP(2,1/($B$9:$B$444=$B445),$T$9:$T444),0),IFERROR(LOOKUP(2,1/($B$9:$B$444=$B445),$AT$9:$AT444),0),0),$AS445))</f>
        <v/>
      </c>
      <c r="AU445" t="str">
        <f t="shared" si="117"/>
        <v/>
      </c>
      <c r="AV445" s="51">
        <f>IF($AU445="",0,IF(AND(IFERROR(LOOKUP(2,1/($B$9:$B$444=$B445),$AR$9:$AR444),1),NOT(AND(OR($F445="dividend",$F445="fee"),IFERROR(LOOKUP(2,1/($B$9:$B$444=$B445),$T$9:$T444),0)&gt;0))),ROW(),0))</f>
        <v>0</v>
      </c>
      <c r="AW445">
        <f>IF($A445="",0,IF($AV445&gt;0,MAX($AW$9:$AW$444)+1,MAX($AW$9:$AW$444)))</f>
        <v>0</v>
      </c>
      <c r="AX445">
        <f>IF($AU445="",0,IF(AND($AR445,OR(NOT(IFERROR(LOOKUP(2,1/($B$9:$B$444=$B445),$AR$9:$AR444),1)),IFERROR(LOOKUP(2,1/($B$9:$B$444=$B445),$T$9:$T444),0)=0)),ROW(),0))</f>
        <v>0</v>
      </c>
      <c r="AY445" t="str">
        <f t="shared" si="118"/>
        <v/>
      </c>
    </row>
    <row r="446" spans="1:51" ht="15" x14ac:dyDescent="0.25">
      <c r="A446" s="52" t="str">
        <f>IF(Trades!$A446="","",Trades!O446)</f>
        <v/>
      </c>
      <c r="B446" s="52" t="str">
        <f>IF(Trades!$A446="","",Trades!B446)</f>
        <v/>
      </c>
      <c r="C446" s="52" t="str">
        <f>IF(Trades!$A446="","",Trades!C446)</f>
        <v/>
      </c>
      <c r="D446" s="53" t="str">
        <f>IF(Trades!$A446="","",IF(Trades!$L446&gt;0,Trades!$L446,Trades!$C$6))</f>
        <v/>
      </c>
      <c r="E446" s="54" t="str">
        <f>IF(Trades!$A446="","",Trades!A446)</f>
        <v/>
      </c>
      <c r="F446" s="52" t="str">
        <f>IF(Trades!$A446="","",IFERROR(INDEX(Trades!$V$2:$V$14,MATCH(Trades!$E446,Trades!$U$2:$U$14,0)),""))</f>
        <v/>
      </c>
      <c r="G446" s="52" t="str">
        <f>IF(Trades!$A446="","",Trades!N446)</f>
        <v/>
      </c>
      <c r="H446" s="53" t="str">
        <f>IF(Trades!$A446="","",Trades!F446)</f>
        <v/>
      </c>
      <c r="I446" s="55" t="str">
        <f>IF(Trades!$A446="","",Trades!G446)</f>
        <v/>
      </c>
      <c r="J446" s="55" t="str">
        <f>IF(Trades!$A446="","",Trades!I446)</f>
        <v/>
      </c>
      <c r="K446" s="55" t="str">
        <f>IF(Trades!$A446="","",Trades!Q446)</f>
        <v/>
      </c>
      <c r="L446" s="53" t="str">
        <f>IF(Trades!$A446="","",Trades!F446)</f>
        <v/>
      </c>
      <c r="M446" s="55" t="str">
        <f>IF(Trades!$A446="","",Trades!M446)</f>
        <v/>
      </c>
      <c r="N446" s="55" t="str">
        <f>IF(Trades!$A446="","",Trades!R446)</f>
        <v/>
      </c>
      <c r="O446" s="55" t="str">
        <f>IF(Trades!$A446="","",Trades!J446)</f>
        <v/>
      </c>
      <c r="P446" s="54" t="str">
        <f>IF(Trades!$A446="","",Trades!H446)</f>
        <v/>
      </c>
      <c r="Q446" s="52" t="str">
        <f>IF(Trades!$A446="","",Trades!P446)</f>
        <v/>
      </c>
      <c r="R446" s="56" t="str">
        <f t="shared" si="102"/>
        <v/>
      </c>
      <c r="S446" s="56" t="str">
        <f t="shared" si="103"/>
        <v/>
      </c>
      <c r="T446" s="57" t="str">
        <f>IF(OR($A446="",$B446=""),"",IF(AND(IFERROR(LOOKUP(2,1/($B$9:$B$445=$B446),$AR$9:$AR445),1),NOT(AND(OR($F446="dividend",$F446="fee"),IFERROR(LOOKUP(2,1/($B$9:$B$445=$B446),$T$9:$T445),0)&gt;0))),IFERROR(LOOKUP(2,1/($B$9:$B$445=$B446),$T$9:$T445),0)+1,IFERROR(LOOKUP(2,1/($B$9:$B$445=$B446),$T$9:$T445),0)))</f>
        <v/>
      </c>
      <c r="U446" s="58" t="str">
        <f t="shared" si="104"/>
        <v/>
      </c>
      <c r="V446" s="58" t="str">
        <f>IF($A446="","",IF(OR($B446="",$C446="",$D446="",$E446="",$F446=""),"Missing required field",IF(COUNTIFS($A$9:$A446,$A446,$B$9:$B446,$B446)&gt;1,"Duplicate event ID",IF(AND($E446&lt;&gt;IFERROR(LOOKUP(2,1/($B$9:$B$445=$B446),$E$9:$E445),0),IFERROR(LOOKUP(2,1/($B$9:$B$445=$B446),$E$9:$E445),0)&gt;$E446),"Date out of order",IF(AND(OR($F446="buy_to_close",$F446="expire",$F446="roll",$F446="assignment",$F446="called_away"),$AF446=0),"Unknown lot",IF(OR(AND($F446="assignment",$AF446&gt;0,IF($AF446&gt;0,INDEX($AG$9:$AG$445,$AF446),"")&lt;&gt;"put"),AND($F446="called_away",$AF446&gt;0,IF($AF446&gt;0,INDEX($AG$9:$AG$445,$AF446),"")&lt;&gt;"call")),"Wrong option leg",IF(OR(AND(OR($F446="sell_put",$F446="sell_call"),OR($H446&lt;=0,$I446&lt;=0,$J446&lt;0)),AND(OR($F446="buy_to_close",$F446="expire",$F446="assignment",$F446="called_away"),OR($H446&lt;=0,$J446&lt;0)),AND($F446="roll",OR($H446&lt;=0,$I446&lt;=0,$J446&lt;0,$K446&lt;0)),AND(OR($F446="buy_shares",$F446="sell_shares"),OR($L446&lt;=0,$M446&lt;0)),AND(OR($F446="dividend",$F446="fee"),$N446&lt;0)),"Invalid value",IF(AND(OR($F446="sell_shares",$F446="called_away"),$AL446&lt;IF($F446="called_away",$AE446*$D446,$L446)),"Insufficient shares (capped)",IF(AND(OR($F446="buy_to_close",$F446="expire",$F446="roll",$F446="assignment",$F446="called_away"),$AF446&gt;0,$H446&gt;IF($AF446&gt;0,MAX(0,INDEX($AI$9:$AI$445,$AF446)-SUMIFS($AE$9:$AE$445,$G$9:$G$445,$G446,$B$9:$B$445,$B446)),0)),"Close quantity capped","OK")))))))))</f>
        <v/>
      </c>
      <c r="W446" s="59" t="str">
        <f t="shared" si="105"/>
        <v/>
      </c>
      <c r="X446" s="60" t="str">
        <f t="shared" si="106"/>
        <v/>
      </c>
      <c r="Y446" s="50" t="str">
        <f t="shared" si="107"/>
        <v/>
      </c>
      <c r="Z446" s="50" t="str">
        <f t="shared" si="108"/>
        <v/>
      </c>
      <c r="AA446" s="50" t="str">
        <f t="shared" si="109"/>
        <v/>
      </c>
      <c r="AB446" s="50" t="str">
        <f t="shared" si="110"/>
        <v/>
      </c>
      <c r="AC446" s="50" t="str">
        <f>IF($A446="","",IF($F446="assignment",IF($AF446&gt;0,INDEX($AH$9:$AH$445,$AF446),0)*$AE446*$D446,IF($F446="buy_shares",$M446*$AL446,0)))</f>
        <v/>
      </c>
      <c r="AD446" s="50" t="str">
        <f>IF($A446="","",IF($F446="called_away",IF($AF446&gt;0,INDEX($AH$9:$AH$445,$AF446),0)*$AL446,IF($F446="sell_shares",$M446*$AL446,0)))</f>
        <v/>
      </c>
      <c r="AE446" s="51" t="str">
        <f>IF($A446="","",IF(OR($F446="sell_put",$F446="sell_call"),IF(AND($H446&gt;0,$I446&gt;0,$J446&gt;=0),$H446,0),IF(OR($F446="buy_to_close",$F446="expire",$F446="roll",$F446="assignment",$F446="called_away"),IF(AND($AF446&gt;0,$H446&gt;0,IF($F446="assignment",IF($AF446&gt;0,INDEX($AG$9:$AG$445,$AF446),"")="put",TRUE),IF($F446="called_away",IF($AF446&gt;0,INDEX($AG$9:$AG$445,$AF446),"")="call",TRUE)),MIN($H446,IF($AF446&gt;0,MAX(0,INDEX($AI$9:$AI$445,$AF446)-SUMIFS($AE$9:$AE$445,$G$9:$G$445,$G446,$B$9:$B$445,$B446)),0)),0),0)))</f>
        <v/>
      </c>
      <c r="AF446" t="str">
        <f>IF($A446="","",IFERROR(MATCH(LEN($B446)&amp;":"&amp;$B446&amp;$G446,$AY$9:$AY$445,0),0))</f>
        <v/>
      </c>
      <c r="AG446" t="str">
        <f>IF($A446="","",IF($F446="sell_put","put",IF($F446="sell_call","call",IF($F446="roll",IF($AF446&gt;0,IF($AF446&gt;0,INDEX($AG$9:$AG$445,$AF446),""),""),IF($AF446&gt;0,IF($AF446&gt;0,INDEX($AG$9:$AG$445,$AF446),""),"")))))</f>
        <v/>
      </c>
      <c r="AH446" t="str">
        <f>IF($A446="","",IF(OR($F446="sell_put",$F446="sell_call",$F446="roll"),$I446,IF($AF446&gt;0,IF($AF446&gt;0,INDEX($AH$9:$AH$445,$AF446),0),0)))</f>
        <v/>
      </c>
      <c r="AI446" s="51" t="str">
        <f t="shared" si="111"/>
        <v/>
      </c>
      <c r="AJ446" s="51" t="str">
        <f>IF($A446="","",IFERROR(LOOKUP(2,1/($B$9:$B$445=$B446),$AM$9:$AM445),0))</f>
        <v/>
      </c>
      <c r="AK446" t="str">
        <f>IF($A446="","",IFERROR(LOOKUP(2,1/($B$9:$B$445=$B446),$AN$9:$AN445),0))</f>
        <v/>
      </c>
      <c r="AL446" s="51" t="str">
        <f t="shared" si="112"/>
        <v/>
      </c>
      <c r="AM446" s="51" t="str">
        <f t="shared" si="113"/>
        <v/>
      </c>
      <c r="AN446" t="str">
        <f t="shared" si="114"/>
        <v/>
      </c>
      <c r="AO446" s="50" t="str">
        <f>IF($A446="","",IFERROR(LOOKUP(2,1/($B$9:$B$445=$B446),$AO$9:$AO445),0)+IF($F446="sell_put",$I446*$AE446*$D446,IF($F446="roll",IF($AG446="put",($I446-IF($AF446&gt;0,INDEX($AH$9:$AH$445,$AF446),0))*$AE446*$D446,0),IF(AND(OR($F446="buy_to_close",$F446="expire",$F446="roll",$F446="assignment",$F446="called_away"),$F446&lt;&gt;"roll",$AG446="put"),-IF($AF446&gt;0,INDEX($AH$9:$AH$445,$AF446),0)*$AE446*$D446,0))))</f>
        <v/>
      </c>
      <c r="AP446" s="51" t="str">
        <f>IF($A446="","",IFERROR(LOOKUP(2,1/($B$9:$B$445=$B446),$AP$9:$AP445),0)+IF($F446="sell_put",$AE446*$D446,IF(AND(OR($F446="buy_to_close",$F446="expire",$F446="roll",$F446="assignment",$F446="called_away"),$F446&lt;&gt;"roll",$AG446="put"),-$AE446*$D446,0)))</f>
        <v/>
      </c>
      <c r="AQ446" s="51" t="str">
        <f>IF($A446="","",IFERROR(LOOKUP(2,1/($B$9:$B$445=$B446),$AQ$9:$AQ445),0)+IF(OR($F446="sell_put",$F446="sell_call"),$AE446,0)-IF(AND(OR($F446="buy_to_close",$F446="expire",$F446="roll",$F446="assignment",$F446="called_away"),$F446&lt;&gt;"roll"),$AE446,0))</f>
        <v/>
      </c>
      <c r="AR446" t="str">
        <f t="shared" si="115"/>
        <v/>
      </c>
      <c r="AS446" s="50" t="str">
        <f t="shared" si="116"/>
        <v/>
      </c>
      <c r="AT446" s="50" t="str">
        <f>IF($A446="","",MAX(IF($T446=IFERROR(LOOKUP(2,1/($B$9:$B$445=$B446),$T$9:$T445),0),IFERROR(LOOKUP(2,1/($B$9:$B$445=$B446),$AT$9:$AT445),0),0),$AS446))</f>
        <v/>
      </c>
      <c r="AU446" t="str">
        <f t="shared" si="117"/>
        <v/>
      </c>
      <c r="AV446" s="51">
        <f>IF($AU446="",0,IF(AND(IFERROR(LOOKUP(2,1/($B$9:$B$445=$B446),$AR$9:$AR445),1),NOT(AND(OR($F446="dividend",$F446="fee"),IFERROR(LOOKUP(2,1/($B$9:$B$445=$B446),$T$9:$T445),0)&gt;0))),ROW(),0))</f>
        <v>0</v>
      </c>
      <c r="AW446">
        <f>IF($A446="",0,IF($AV446&gt;0,MAX($AW$9:$AW$445)+1,MAX($AW$9:$AW$445)))</f>
        <v>0</v>
      </c>
      <c r="AX446">
        <f>IF($AU446="",0,IF(AND($AR446,OR(NOT(IFERROR(LOOKUP(2,1/($B$9:$B$445=$B446),$AR$9:$AR445),1)),IFERROR(LOOKUP(2,1/($B$9:$B$445=$B446),$T$9:$T445),0)=0)),ROW(),0))</f>
        <v>0</v>
      </c>
      <c r="AY446" t="str">
        <f t="shared" si="118"/>
        <v/>
      </c>
    </row>
    <row r="447" spans="1:51" ht="15" x14ac:dyDescent="0.25">
      <c r="A447" s="41" t="str">
        <f>IF(Trades!$A447="","",Trades!O447)</f>
        <v/>
      </c>
      <c r="B447" s="41" t="str">
        <f>IF(Trades!$A447="","",Trades!B447)</f>
        <v/>
      </c>
      <c r="C447" s="41" t="str">
        <f>IF(Trades!$A447="","",Trades!C447)</f>
        <v/>
      </c>
      <c r="D447" s="42" t="str">
        <f>IF(Trades!$A447="","",IF(Trades!$L447&gt;0,Trades!$L447,Trades!$C$6))</f>
        <v/>
      </c>
      <c r="E447" s="43" t="str">
        <f>IF(Trades!$A447="","",Trades!A447)</f>
        <v/>
      </c>
      <c r="F447" s="41" t="str">
        <f>IF(Trades!$A447="","",IFERROR(INDEX(Trades!$V$2:$V$14,MATCH(Trades!$E447,Trades!$U$2:$U$14,0)),""))</f>
        <v/>
      </c>
      <c r="G447" s="41" t="str">
        <f>IF(Trades!$A447="","",Trades!N447)</f>
        <v/>
      </c>
      <c r="H447" s="42" t="str">
        <f>IF(Trades!$A447="","",Trades!F447)</f>
        <v/>
      </c>
      <c r="I447" s="44" t="str">
        <f>IF(Trades!$A447="","",Trades!G447)</f>
        <v/>
      </c>
      <c r="J447" s="44" t="str">
        <f>IF(Trades!$A447="","",Trades!I447)</f>
        <v/>
      </c>
      <c r="K447" s="44" t="str">
        <f>IF(Trades!$A447="","",Trades!Q447)</f>
        <v/>
      </c>
      <c r="L447" s="42" t="str">
        <f>IF(Trades!$A447="","",Trades!F447)</f>
        <v/>
      </c>
      <c r="M447" s="44" t="str">
        <f>IF(Trades!$A447="","",Trades!M447)</f>
        <v/>
      </c>
      <c r="N447" s="44" t="str">
        <f>IF(Trades!$A447="","",Trades!R447)</f>
        <v/>
      </c>
      <c r="O447" s="44" t="str">
        <f>IF(Trades!$A447="","",Trades!J447)</f>
        <v/>
      </c>
      <c r="P447" s="43" t="str">
        <f>IF(Trades!$A447="","",Trades!H447)</f>
        <v/>
      </c>
      <c r="Q447" s="41" t="str">
        <f>IF(Trades!$A447="","",Trades!P447)</f>
        <v/>
      </c>
      <c r="R447" s="45" t="str">
        <f t="shared" si="102"/>
        <v/>
      </c>
      <c r="S447" s="45" t="str">
        <f t="shared" si="103"/>
        <v/>
      </c>
      <c r="T447" s="46" t="str">
        <f>IF(OR($A447="",$B447=""),"",IF(AND(IFERROR(LOOKUP(2,1/($B$9:$B$446=$B447),$AR$9:$AR446),1),NOT(AND(OR($F447="dividend",$F447="fee"),IFERROR(LOOKUP(2,1/($B$9:$B$446=$B447),$T$9:$T446),0)&gt;0))),IFERROR(LOOKUP(2,1/($B$9:$B$446=$B447),$T$9:$T446),0)+1,IFERROR(LOOKUP(2,1/($B$9:$B$446=$B447),$T$9:$T446),0)))</f>
        <v/>
      </c>
      <c r="U447" s="47" t="str">
        <f t="shared" si="104"/>
        <v/>
      </c>
      <c r="V447" s="47" t="str">
        <f>IF($A447="","",IF(OR($B447="",$C447="",$D447="",$E447="",$F447=""),"Missing required field",IF(COUNTIFS($A$9:$A447,$A447,$B$9:$B447,$B447)&gt;1,"Duplicate event ID",IF(AND($E447&lt;&gt;IFERROR(LOOKUP(2,1/($B$9:$B$446=$B447),$E$9:$E446),0),IFERROR(LOOKUP(2,1/($B$9:$B$446=$B447),$E$9:$E446),0)&gt;$E447),"Date out of order",IF(AND(OR($F447="buy_to_close",$F447="expire",$F447="roll",$F447="assignment",$F447="called_away"),$AF447=0),"Unknown lot",IF(OR(AND($F447="assignment",$AF447&gt;0,IF($AF447&gt;0,INDEX($AG$9:$AG$446,$AF447),"")&lt;&gt;"put"),AND($F447="called_away",$AF447&gt;0,IF($AF447&gt;0,INDEX($AG$9:$AG$446,$AF447),"")&lt;&gt;"call")),"Wrong option leg",IF(OR(AND(OR($F447="sell_put",$F447="sell_call"),OR($H447&lt;=0,$I447&lt;=0,$J447&lt;0)),AND(OR($F447="buy_to_close",$F447="expire",$F447="assignment",$F447="called_away"),OR($H447&lt;=0,$J447&lt;0)),AND($F447="roll",OR($H447&lt;=0,$I447&lt;=0,$J447&lt;0,$K447&lt;0)),AND(OR($F447="buy_shares",$F447="sell_shares"),OR($L447&lt;=0,$M447&lt;0)),AND(OR($F447="dividend",$F447="fee"),$N447&lt;0)),"Invalid value",IF(AND(OR($F447="sell_shares",$F447="called_away"),$AL447&lt;IF($F447="called_away",$AE447*$D447,$L447)),"Insufficient shares (capped)",IF(AND(OR($F447="buy_to_close",$F447="expire",$F447="roll",$F447="assignment",$F447="called_away"),$AF447&gt;0,$H447&gt;IF($AF447&gt;0,MAX(0,INDEX($AI$9:$AI$446,$AF447)-SUMIFS($AE$9:$AE$446,$G$9:$G$446,$G447,$B$9:$B$446,$B447)),0)),"Close quantity capped","OK")))))))))</f>
        <v/>
      </c>
      <c r="W447" s="48" t="str">
        <f t="shared" si="105"/>
        <v/>
      </c>
      <c r="X447" s="49" t="str">
        <f t="shared" si="106"/>
        <v/>
      </c>
      <c r="Y447" s="50" t="str">
        <f t="shared" si="107"/>
        <v/>
      </c>
      <c r="Z447" s="50" t="str">
        <f t="shared" si="108"/>
        <v/>
      </c>
      <c r="AA447" s="50" t="str">
        <f t="shared" si="109"/>
        <v/>
      </c>
      <c r="AB447" s="50" t="str">
        <f t="shared" si="110"/>
        <v/>
      </c>
      <c r="AC447" s="50" t="str">
        <f>IF($A447="","",IF($F447="assignment",IF($AF447&gt;0,INDEX($AH$9:$AH$446,$AF447),0)*$AE447*$D447,IF($F447="buy_shares",$M447*$AL447,0)))</f>
        <v/>
      </c>
      <c r="AD447" s="50" t="str">
        <f>IF($A447="","",IF($F447="called_away",IF($AF447&gt;0,INDEX($AH$9:$AH$446,$AF447),0)*$AL447,IF($F447="sell_shares",$M447*$AL447,0)))</f>
        <v/>
      </c>
      <c r="AE447" s="51" t="str">
        <f>IF($A447="","",IF(OR($F447="sell_put",$F447="sell_call"),IF(AND($H447&gt;0,$I447&gt;0,$J447&gt;=0),$H447,0),IF(OR($F447="buy_to_close",$F447="expire",$F447="roll",$F447="assignment",$F447="called_away"),IF(AND($AF447&gt;0,$H447&gt;0,IF($F447="assignment",IF($AF447&gt;0,INDEX($AG$9:$AG$446,$AF447),"")="put",TRUE),IF($F447="called_away",IF($AF447&gt;0,INDEX($AG$9:$AG$446,$AF447),"")="call",TRUE)),MIN($H447,IF($AF447&gt;0,MAX(0,INDEX($AI$9:$AI$446,$AF447)-SUMIFS($AE$9:$AE$446,$G$9:$G$446,$G447,$B$9:$B$446,$B447)),0)),0),0)))</f>
        <v/>
      </c>
      <c r="AF447" t="str">
        <f>IF($A447="","",IFERROR(MATCH(LEN($B447)&amp;":"&amp;$B447&amp;$G447,$AY$9:$AY$446,0),0))</f>
        <v/>
      </c>
      <c r="AG447" t="str">
        <f>IF($A447="","",IF($F447="sell_put","put",IF($F447="sell_call","call",IF($F447="roll",IF($AF447&gt;0,IF($AF447&gt;0,INDEX($AG$9:$AG$446,$AF447),""),""),IF($AF447&gt;0,IF($AF447&gt;0,INDEX($AG$9:$AG$446,$AF447),""),"")))))</f>
        <v/>
      </c>
      <c r="AH447" t="str">
        <f>IF($A447="","",IF(OR($F447="sell_put",$F447="sell_call",$F447="roll"),$I447,IF($AF447&gt;0,IF($AF447&gt;0,INDEX($AH$9:$AH$446,$AF447),0),0)))</f>
        <v/>
      </c>
      <c r="AI447" s="51" t="str">
        <f t="shared" si="111"/>
        <v/>
      </c>
      <c r="AJ447" s="51" t="str">
        <f>IF($A447="","",IFERROR(LOOKUP(2,1/($B$9:$B$446=$B447),$AM$9:$AM446),0))</f>
        <v/>
      </c>
      <c r="AK447" t="str">
        <f>IF($A447="","",IFERROR(LOOKUP(2,1/($B$9:$B$446=$B447),$AN$9:$AN446),0))</f>
        <v/>
      </c>
      <c r="AL447" s="51" t="str">
        <f t="shared" si="112"/>
        <v/>
      </c>
      <c r="AM447" s="51" t="str">
        <f t="shared" si="113"/>
        <v/>
      </c>
      <c r="AN447" t="str">
        <f t="shared" si="114"/>
        <v/>
      </c>
      <c r="AO447" s="50" t="str">
        <f>IF($A447="","",IFERROR(LOOKUP(2,1/($B$9:$B$446=$B447),$AO$9:$AO446),0)+IF($F447="sell_put",$I447*$AE447*$D447,IF($F447="roll",IF($AG447="put",($I447-IF($AF447&gt;0,INDEX($AH$9:$AH$446,$AF447),0))*$AE447*$D447,0),IF(AND(OR($F447="buy_to_close",$F447="expire",$F447="roll",$F447="assignment",$F447="called_away"),$F447&lt;&gt;"roll",$AG447="put"),-IF($AF447&gt;0,INDEX($AH$9:$AH$446,$AF447),0)*$AE447*$D447,0))))</f>
        <v/>
      </c>
      <c r="AP447" s="51" t="str">
        <f>IF($A447="","",IFERROR(LOOKUP(2,1/($B$9:$B$446=$B447),$AP$9:$AP446),0)+IF($F447="sell_put",$AE447*$D447,IF(AND(OR($F447="buy_to_close",$F447="expire",$F447="roll",$F447="assignment",$F447="called_away"),$F447&lt;&gt;"roll",$AG447="put"),-$AE447*$D447,0)))</f>
        <v/>
      </c>
      <c r="AQ447" s="51" t="str">
        <f>IF($A447="","",IFERROR(LOOKUP(2,1/($B$9:$B$446=$B447),$AQ$9:$AQ446),0)+IF(OR($F447="sell_put",$F447="sell_call"),$AE447,0)-IF(AND(OR($F447="buy_to_close",$F447="expire",$F447="roll",$F447="assignment",$F447="called_away"),$F447&lt;&gt;"roll"),$AE447,0))</f>
        <v/>
      </c>
      <c r="AR447" t="str">
        <f t="shared" si="115"/>
        <v/>
      </c>
      <c r="AS447" s="50" t="str">
        <f t="shared" si="116"/>
        <v/>
      </c>
      <c r="AT447" s="50" t="str">
        <f>IF($A447="","",MAX(IF($T447=IFERROR(LOOKUP(2,1/($B$9:$B$446=$B447),$T$9:$T446),0),IFERROR(LOOKUP(2,1/($B$9:$B$446=$B447),$AT$9:$AT446),0),0),$AS447))</f>
        <v/>
      </c>
      <c r="AU447" t="str">
        <f t="shared" si="117"/>
        <v/>
      </c>
      <c r="AV447" s="51">
        <f>IF($AU447="",0,IF(AND(IFERROR(LOOKUP(2,1/($B$9:$B$446=$B447),$AR$9:$AR446),1),NOT(AND(OR($F447="dividend",$F447="fee"),IFERROR(LOOKUP(2,1/($B$9:$B$446=$B447),$T$9:$T446),0)&gt;0))),ROW(),0))</f>
        <v>0</v>
      </c>
      <c r="AW447">
        <f>IF($A447="",0,IF($AV447&gt;0,MAX($AW$9:$AW$446)+1,MAX($AW$9:$AW$446)))</f>
        <v>0</v>
      </c>
      <c r="AX447">
        <f>IF($AU447="",0,IF(AND($AR447,OR(NOT(IFERROR(LOOKUP(2,1/($B$9:$B$446=$B447),$AR$9:$AR446),1)),IFERROR(LOOKUP(2,1/($B$9:$B$446=$B447),$T$9:$T446),0)=0)),ROW(),0))</f>
        <v>0</v>
      </c>
      <c r="AY447" t="str">
        <f t="shared" si="118"/>
        <v/>
      </c>
    </row>
    <row r="448" spans="1:51" ht="15" x14ac:dyDescent="0.25">
      <c r="A448" s="52" t="str">
        <f>IF(Trades!$A448="","",Trades!O448)</f>
        <v/>
      </c>
      <c r="B448" s="52" t="str">
        <f>IF(Trades!$A448="","",Trades!B448)</f>
        <v/>
      </c>
      <c r="C448" s="52" t="str">
        <f>IF(Trades!$A448="","",Trades!C448)</f>
        <v/>
      </c>
      <c r="D448" s="53" t="str">
        <f>IF(Trades!$A448="","",IF(Trades!$L448&gt;0,Trades!$L448,Trades!$C$6))</f>
        <v/>
      </c>
      <c r="E448" s="54" t="str">
        <f>IF(Trades!$A448="","",Trades!A448)</f>
        <v/>
      </c>
      <c r="F448" s="52" t="str">
        <f>IF(Trades!$A448="","",IFERROR(INDEX(Trades!$V$2:$V$14,MATCH(Trades!$E448,Trades!$U$2:$U$14,0)),""))</f>
        <v/>
      </c>
      <c r="G448" s="52" t="str">
        <f>IF(Trades!$A448="","",Trades!N448)</f>
        <v/>
      </c>
      <c r="H448" s="53" t="str">
        <f>IF(Trades!$A448="","",Trades!F448)</f>
        <v/>
      </c>
      <c r="I448" s="55" t="str">
        <f>IF(Trades!$A448="","",Trades!G448)</f>
        <v/>
      </c>
      <c r="J448" s="55" t="str">
        <f>IF(Trades!$A448="","",Trades!I448)</f>
        <v/>
      </c>
      <c r="K448" s="55" t="str">
        <f>IF(Trades!$A448="","",Trades!Q448)</f>
        <v/>
      </c>
      <c r="L448" s="53" t="str">
        <f>IF(Trades!$A448="","",Trades!F448)</f>
        <v/>
      </c>
      <c r="M448" s="55" t="str">
        <f>IF(Trades!$A448="","",Trades!M448)</f>
        <v/>
      </c>
      <c r="N448" s="55" t="str">
        <f>IF(Trades!$A448="","",Trades!R448)</f>
        <v/>
      </c>
      <c r="O448" s="55" t="str">
        <f>IF(Trades!$A448="","",Trades!J448)</f>
        <v/>
      </c>
      <c r="P448" s="54" t="str">
        <f>IF(Trades!$A448="","",Trades!H448)</f>
        <v/>
      </c>
      <c r="Q448" s="52" t="str">
        <f>IF(Trades!$A448="","",Trades!P448)</f>
        <v/>
      </c>
      <c r="R448" s="56" t="str">
        <f t="shared" si="102"/>
        <v/>
      </c>
      <c r="S448" s="56" t="str">
        <f t="shared" si="103"/>
        <v/>
      </c>
      <c r="T448" s="57" t="str">
        <f>IF(OR($A448="",$B448=""),"",IF(AND(IFERROR(LOOKUP(2,1/($B$9:$B$447=$B448),$AR$9:$AR447),1),NOT(AND(OR($F448="dividend",$F448="fee"),IFERROR(LOOKUP(2,1/($B$9:$B$447=$B448),$T$9:$T447),0)&gt;0))),IFERROR(LOOKUP(2,1/($B$9:$B$447=$B448),$T$9:$T447),0)+1,IFERROR(LOOKUP(2,1/($B$9:$B$447=$B448),$T$9:$T447),0)))</f>
        <v/>
      </c>
      <c r="U448" s="58" t="str">
        <f t="shared" si="104"/>
        <v/>
      </c>
      <c r="V448" s="58" t="str">
        <f>IF($A448="","",IF(OR($B448="",$C448="",$D448="",$E448="",$F448=""),"Missing required field",IF(COUNTIFS($A$9:$A448,$A448,$B$9:$B448,$B448)&gt;1,"Duplicate event ID",IF(AND($E448&lt;&gt;IFERROR(LOOKUP(2,1/($B$9:$B$447=$B448),$E$9:$E447),0),IFERROR(LOOKUP(2,1/($B$9:$B$447=$B448),$E$9:$E447),0)&gt;$E448),"Date out of order",IF(AND(OR($F448="buy_to_close",$F448="expire",$F448="roll",$F448="assignment",$F448="called_away"),$AF448=0),"Unknown lot",IF(OR(AND($F448="assignment",$AF448&gt;0,IF($AF448&gt;0,INDEX($AG$9:$AG$447,$AF448),"")&lt;&gt;"put"),AND($F448="called_away",$AF448&gt;0,IF($AF448&gt;0,INDEX($AG$9:$AG$447,$AF448),"")&lt;&gt;"call")),"Wrong option leg",IF(OR(AND(OR($F448="sell_put",$F448="sell_call"),OR($H448&lt;=0,$I448&lt;=0,$J448&lt;0)),AND(OR($F448="buy_to_close",$F448="expire",$F448="assignment",$F448="called_away"),OR($H448&lt;=0,$J448&lt;0)),AND($F448="roll",OR($H448&lt;=0,$I448&lt;=0,$J448&lt;0,$K448&lt;0)),AND(OR($F448="buy_shares",$F448="sell_shares"),OR($L448&lt;=0,$M448&lt;0)),AND(OR($F448="dividend",$F448="fee"),$N448&lt;0)),"Invalid value",IF(AND(OR($F448="sell_shares",$F448="called_away"),$AL448&lt;IF($F448="called_away",$AE448*$D448,$L448)),"Insufficient shares (capped)",IF(AND(OR($F448="buy_to_close",$F448="expire",$F448="roll",$F448="assignment",$F448="called_away"),$AF448&gt;0,$H448&gt;IF($AF448&gt;0,MAX(0,INDEX($AI$9:$AI$447,$AF448)-SUMIFS($AE$9:$AE$447,$G$9:$G$447,$G448,$B$9:$B$447,$B448)),0)),"Close quantity capped","OK")))))))))</f>
        <v/>
      </c>
      <c r="W448" s="59" t="str">
        <f t="shared" si="105"/>
        <v/>
      </c>
      <c r="X448" s="60" t="str">
        <f t="shared" si="106"/>
        <v/>
      </c>
      <c r="Y448" s="50" t="str">
        <f t="shared" si="107"/>
        <v/>
      </c>
      <c r="Z448" s="50" t="str">
        <f t="shared" si="108"/>
        <v/>
      </c>
      <c r="AA448" s="50" t="str">
        <f t="shared" si="109"/>
        <v/>
      </c>
      <c r="AB448" s="50" t="str">
        <f t="shared" si="110"/>
        <v/>
      </c>
      <c r="AC448" s="50" t="str">
        <f>IF($A448="","",IF($F448="assignment",IF($AF448&gt;0,INDEX($AH$9:$AH$447,$AF448),0)*$AE448*$D448,IF($F448="buy_shares",$M448*$AL448,0)))</f>
        <v/>
      </c>
      <c r="AD448" s="50" t="str">
        <f>IF($A448="","",IF($F448="called_away",IF($AF448&gt;0,INDEX($AH$9:$AH$447,$AF448),0)*$AL448,IF($F448="sell_shares",$M448*$AL448,0)))</f>
        <v/>
      </c>
      <c r="AE448" s="51" t="str">
        <f>IF($A448="","",IF(OR($F448="sell_put",$F448="sell_call"),IF(AND($H448&gt;0,$I448&gt;0,$J448&gt;=0),$H448,0),IF(OR($F448="buy_to_close",$F448="expire",$F448="roll",$F448="assignment",$F448="called_away"),IF(AND($AF448&gt;0,$H448&gt;0,IF($F448="assignment",IF($AF448&gt;0,INDEX($AG$9:$AG$447,$AF448),"")="put",TRUE),IF($F448="called_away",IF($AF448&gt;0,INDEX($AG$9:$AG$447,$AF448),"")="call",TRUE)),MIN($H448,IF($AF448&gt;0,MAX(0,INDEX($AI$9:$AI$447,$AF448)-SUMIFS($AE$9:$AE$447,$G$9:$G$447,$G448,$B$9:$B$447,$B448)),0)),0),0)))</f>
        <v/>
      </c>
      <c r="AF448" t="str">
        <f>IF($A448="","",IFERROR(MATCH(LEN($B448)&amp;":"&amp;$B448&amp;$G448,$AY$9:$AY$447,0),0))</f>
        <v/>
      </c>
      <c r="AG448" t="str">
        <f>IF($A448="","",IF($F448="sell_put","put",IF($F448="sell_call","call",IF($F448="roll",IF($AF448&gt;0,IF($AF448&gt;0,INDEX($AG$9:$AG$447,$AF448),""),""),IF($AF448&gt;0,IF($AF448&gt;0,INDEX($AG$9:$AG$447,$AF448),""),"")))))</f>
        <v/>
      </c>
      <c r="AH448" t="str">
        <f>IF($A448="","",IF(OR($F448="sell_put",$F448="sell_call",$F448="roll"),$I448,IF($AF448&gt;0,IF($AF448&gt;0,INDEX($AH$9:$AH$447,$AF448),0),0)))</f>
        <v/>
      </c>
      <c r="AI448" s="51" t="str">
        <f t="shared" si="111"/>
        <v/>
      </c>
      <c r="AJ448" s="51" t="str">
        <f>IF($A448="","",IFERROR(LOOKUP(2,1/($B$9:$B$447=$B448),$AM$9:$AM447),0))</f>
        <v/>
      </c>
      <c r="AK448" t="str">
        <f>IF($A448="","",IFERROR(LOOKUP(2,1/($B$9:$B$447=$B448),$AN$9:$AN447),0))</f>
        <v/>
      </c>
      <c r="AL448" s="51" t="str">
        <f t="shared" si="112"/>
        <v/>
      </c>
      <c r="AM448" s="51" t="str">
        <f t="shared" si="113"/>
        <v/>
      </c>
      <c r="AN448" t="str">
        <f t="shared" si="114"/>
        <v/>
      </c>
      <c r="AO448" s="50" t="str">
        <f>IF($A448="","",IFERROR(LOOKUP(2,1/($B$9:$B$447=$B448),$AO$9:$AO447),0)+IF($F448="sell_put",$I448*$AE448*$D448,IF($F448="roll",IF($AG448="put",($I448-IF($AF448&gt;0,INDEX($AH$9:$AH$447,$AF448),0))*$AE448*$D448,0),IF(AND(OR($F448="buy_to_close",$F448="expire",$F448="roll",$F448="assignment",$F448="called_away"),$F448&lt;&gt;"roll",$AG448="put"),-IF($AF448&gt;0,INDEX($AH$9:$AH$447,$AF448),0)*$AE448*$D448,0))))</f>
        <v/>
      </c>
      <c r="AP448" s="51" t="str">
        <f>IF($A448="","",IFERROR(LOOKUP(2,1/($B$9:$B$447=$B448),$AP$9:$AP447),0)+IF($F448="sell_put",$AE448*$D448,IF(AND(OR($F448="buy_to_close",$F448="expire",$F448="roll",$F448="assignment",$F448="called_away"),$F448&lt;&gt;"roll",$AG448="put"),-$AE448*$D448,0)))</f>
        <v/>
      </c>
      <c r="AQ448" s="51" t="str">
        <f>IF($A448="","",IFERROR(LOOKUP(2,1/($B$9:$B$447=$B448),$AQ$9:$AQ447),0)+IF(OR($F448="sell_put",$F448="sell_call"),$AE448,0)-IF(AND(OR($F448="buy_to_close",$F448="expire",$F448="roll",$F448="assignment",$F448="called_away"),$F448&lt;&gt;"roll"),$AE448,0))</f>
        <v/>
      </c>
      <c r="AR448" t="str">
        <f t="shared" si="115"/>
        <v/>
      </c>
      <c r="AS448" s="50" t="str">
        <f t="shared" si="116"/>
        <v/>
      </c>
      <c r="AT448" s="50" t="str">
        <f>IF($A448="","",MAX(IF($T448=IFERROR(LOOKUP(2,1/($B$9:$B$447=$B448),$T$9:$T447),0),IFERROR(LOOKUP(2,1/($B$9:$B$447=$B448),$AT$9:$AT447),0),0),$AS448))</f>
        <v/>
      </c>
      <c r="AU448" t="str">
        <f t="shared" si="117"/>
        <v/>
      </c>
      <c r="AV448" s="51">
        <f>IF($AU448="",0,IF(AND(IFERROR(LOOKUP(2,1/($B$9:$B$447=$B448),$AR$9:$AR447),1),NOT(AND(OR($F448="dividend",$F448="fee"),IFERROR(LOOKUP(2,1/($B$9:$B$447=$B448),$T$9:$T447),0)&gt;0))),ROW(),0))</f>
        <v>0</v>
      </c>
      <c r="AW448">
        <f>IF($A448="",0,IF($AV448&gt;0,MAX($AW$9:$AW$447)+1,MAX($AW$9:$AW$447)))</f>
        <v>0</v>
      </c>
      <c r="AX448">
        <f>IF($AU448="",0,IF(AND($AR448,OR(NOT(IFERROR(LOOKUP(2,1/($B$9:$B$447=$B448),$AR$9:$AR447),1)),IFERROR(LOOKUP(2,1/($B$9:$B$447=$B448),$T$9:$T447),0)=0)),ROW(),0))</f>
        <v>0</v>
      </c>
      <c r="AY448" t="str">
        <f t="shared" si="118"/>
        <v/>
      </c>
    </row>
    <row r="449" spans="1:51" ht="15" x14ac:dyDescent="0.25">
      <c r="A449" s="41" t="str">
        <f>IF(Trades!$A449="","",Trades!O449)</f>
        <v/>
      </c>
      <c r="B449" s="41" t="str">
        <f>IF(Trades!$A449="","",Trades!B449)</f>
        <v/>
      </c>
      <c r="C449" s="41" t="str">
        <f>IF(Trades!$A449="","",Trades!C449)</f>
        <v/>
      </c>
      <c r="D449" s="42" t="str">
        <f>IF(Trades!$A449="","",IF(Trades!$L449&gt;0,Trades!$L449,Trades!$C$6))</f>
        <v/>
      </c>
      <c r="E449" s="43" t="str">
        <f>IF(Trades!$A449="","",Trades!A449)</f>
        <v/>
      </c>
      <c r="F449" s="41" t="str">
        <f>IF(Trades!$A449="","",IFERROR(INDEX(Trades!$V$2:$V$14,MATCH(Trades!$E449,Trades!$U$2:$U$14,0)),""))</f>
        <v/>
      </c>
      <c r="G449" s="41" t="str">
        <f>IF(Trades!$A449="","",Trades!N449)</f>
        <v/>
      </c>
      <c r="H449" s="42" t="str">
        <f>IF(Trades!$A449="","",Trades!F449)</f>
        <v/>
      </c>
      <c r="I449" s="44" t="str">
        <f>IF(Trades!$A449="","",Trades!G449)</f>
        <v/>
      </c>
      <c r="J449" s="44" t="str">
        <f>IF(Trades!$A449="","",Trades!I449)</f>
        <v/>
      </c>
      <c r="K449" s="44" t="str">
        <f>IF(Trades!$A449="","",Trades!Q449)</f>
        <v/>
      </c>
      <c r="L449" s="42" t="str">
        <f>IF(Trades!$A449="","",Trades!F449)</f>
        <v/>
      </c>
      <c r="M449" s="44" t="str">
        <f>IF(Trades!$A449="","",Trades!M449)</f>
        <v/>
      </c>
      <c r="N449" s="44" t="str">
        <f>IF(Trades!$A449="","",Trades!R449)</f>
        <v/>
      </c>
      <c r="O449" s="44" t="str">
        <f>IF(Trades!$A449="","",Trades!J449)</f>
        <v/>
      </c>
      <c r="P449" s="43" t="str">
        <f>IF(Trades!$A449="","",Trades!H449)</f>
        <v/>
      </c>
      <c r="Q449" s="41" t="str">
        <f>IF(Trades!$A449="","",Trades!P449)</f>
        <v/>
      </c>
      <c r="R449" s="45" t="str">
        <f t="shared" si="102"/>
        <v/>
      </c>
      <c r="S449" s="45" t="str">
        <f t="shared" si="103"/>
        <v/>
      </c>
      <c r="T449" s="46" t="str">
        <f>IF(OR($A449="",$B449=""),"",IF(AND(IFERROR(LOOKUP(2,1/($B$9:$B$448=$B449),$AR$9:$AR448),1),NOT(AND(OR($F449="dividend",$F449="fee"),IFERROR(LOOKUP(2,1/($B$9:$B$448=$B449),$T$9:$T448),0)&gt;0))),IFERROR(LOOKUP(2,1/($B$9:$B$448=$B449),$T$9:$T448),0)+1,IFERROR(LOOKUP(2,1/($B$9:$B$448=$B449),$T$9:$T448),0)))</f>
        <v/>
      </c>
      <c r="U449" s="47" t="str">
        <f t="shared" si="104"/>
        <v/>
      </c>
      <c r="V449" s="47" t="str">
        <f>IF($A449="","",IF(OR($B449="",$C449="",$D449="",$E449="",$F449=""),"Missing required field",IF(COUNTIFS($A$9:$A449,$A449,$B$9:$B449,$B449)&gt;1,"Duplicate event ID",IF(AND($E449&lt;&gt;IFERROR(LOOKUP(2,1/($B$9:$B$448=$B449),$E$9:$E448),0),IFERROR(LOOKUP(2,1/($B$9:$B$448=$B449),$E$9:$E448),0)&gt;$E449),"Date out of order",IF(AND(OR($F449="buy_to_close",$F449="expire",$F449="roll",$F449="assignment",$F449="called_away"),$AF449=0),"Unknown lot",IF(OR(AND($F449="assignment",$AF449&gt;0,IF($AF449&gt;0,INDEX($AG$9:$AG$448,$AF449),"")&lt;&gt;"put"),AND($F449="called_away",$AF449&gt;0,IF($AF449&gt;0,INDEX($AG$9:$AG$448,$AF449),"")&lt;&gt;"call")),"Wrong option leg",IF(OR(AND(OR($F449="sell_put",$F449="sell_call"),OR($H449&lt;=0,$I449&lt;=0,$J449&lt;0)),AND(OR($F449="buy_to_close",$F449="expire",$F449="assignment",$F449="called_away"),OR($H449&lt;=0,$J449&lt;0)),AND($F449="roll",OR($H449&lt;=0,$I449&lt;=0,$J449&lt;0,$K449&lt;0)),AND(OR($F449="buy_shares",$F449="sell_shares"),OR($L449&lt;=0,$M449&lt;0)),AND(OR($F449="dividend",$F449="fee"),$N449&lt;0)),"Invalid value",IF(AND(OR($F449="sell_shares",$F449="called_away"),$AL449&lt;IF($F449="called_away",$AE449*$D449,$L449)),"Insufficient shares (capped)",IF(AND(OR($F449="buy_to_close",$F449="expire",$F449="roll",$F449="assignment",$F449="called_away"),$AF449&gt;0,$H449&gt;IF($AF449&gt;0,MAX(0,INDEX($AI$9:$AI$448,$AF449)-SUMIFS($AE$9:$AE$448,$G$9:$G$448,$G449,$B$9:$B$448,$B449)),0)),"Close quantity capped","OK")))))))))</f>
        <v/>
      </c>
      <c r="W449" s="48" t="str">
        <f t="shared" si="105"/>
        <v/>
      </c>
      <c r="X449" s="49" t="str">
        <f t="shared" si="106"/>
        <v/>
      </c>
      <c r="Y449" s="50" t="str">
        <f t="shared" si="107"/>
        <v/>
      </c>
      <c r="Z449" s="50" t="str">
        <f t="shared" si="108"/>
        <v/>
      </c>
      <c r="AA449" s="50" t="str">
        <f t="shared" si="109"/>
        <v/>
      </c>
      <c r="AB449" s="50" t="str">
        <f t="shared" si="110"/>
        <v/>
      </c>
      <c r="AC449" s="50" t="str">
        <f>IF($A449="","",IF($F449="assignment",IF($AF449&gt;0,INDEX($AH$9:$AH$448,$AF449),0)*$AE449*$D449,IF($F449="buy_shares",$M449*$AL449,0)))</f>
        <v/>
      </c>
      <c r="AD449" s="50" t="str">
        <f>IF($A449="","",IF($F449="called_away",IF($AF449&gt;0,INDEX($AH$9:$AH$448,$AF449),0)*$AL449,IF($F449="sell_shares",$M449*$AL449,0)))</f>
        <v/>
      </c>
      <c r="AE449" s="51" t="str">
        <f>IF($A449="","",IF(OR($F449="sell_put",$F449="sell_call"),IF(AND($H449&gt;0,$I449&gt;0,$J449&gt;=0),$H449,0),IF(OR($F449="buy_to_close",$F449="expire",$F449="roll",$F449="assignment",$F449="called_away"),IF(AND($AF449&gt;0,$H449&gt;0,IF($F449="assignment",IF($AF449&gt;0,INDEX($AG$9:$AG$448,$AF449),"")="put",TRUE),IF($F449="called_away",IF($AF449&gt;0,INDEX($AG$9:$AG$448,$AF449),"")="call",TRUE)),MIN($H449,IF($AF449&gt;0,MAX(0,INDEX($AI$9:$AI$448,$AF449)-SUMIFS($AE$9:$AE$448,$G$9:$G$448,$G449,$B$9:$B$448,$B449)),0)),0),0)))</f>
        <v/>
      </c>
      <c r="AF449" t="str">
        <f>IF($A449="","",IFERROR(MATCH(LEN($B449)&amp;":"&amp;$B449&amp;$G449,$AY$9:$AY$448,0),0))</f>
        <v/>
      </c>
      <c r="AG449" t="str">
        <f>IF($A449="","",IF($F449="sell_put","put",IF($F449="sell_call","call",IF($F449="roll",IF($AF449&gt;0,IF($AF449&gt;0,INDEX($AG$9:$AG$448,$AF449),""),""),IF($AF449&gt;0,IF($AF449&gt;0,INDEX($AG$9:$AG$448,$AF449),""),"")))))</f>
        <v/>
      </c>
      <c r="AH449" t="str">
        <f>IF($A449="","",IF(OR($F449="sell_put",$F449="sell_call",$F449="roll"),$I449,IF($AF449&gt;0,IF($AF449&gt;0,INDEX($AH$9:$AH$448,$AF449),0),0)))</f>
        <v/>
      </c>
      <c r="AI449" s="51" t="str">
        <f t="shared" si="111"/>
        <v/>
      </c>
      <c r="AJ449" s="51" t="str">
        <f>IF($A449="","",IFERROR(LOOKUP(2,1/($B$9:$B$448=$B449),$AM$9:$AM448),0))</f>
        <v/>
      </c>
      <c r="AK449" t="str">
        <f>IF($A449="","",IFERROR(LOOKUP(2,1/($B$9:$B$448=$B449),$AN$9:$AN448),0))</f>
        <v/>
      </c>
      <c r="AL449" s="51" t="str">
        <f t="shared" si="112"/>
        <v/>
      </c>
      <c r="AM449" s="51" t="str">
        <f t="shared" si="113"/>
        <v/>
      </c>
      <c r="AN449" t="str">
        <f t="shared" si="114"/>
        <v/>
      </c>
      <c r="AO449" s="50" t="str">
        <f>IF($A449="","",IFERROR(LOOKUP(2,1/($B$9:$B$448=$B449),$AO$9:$AO448),0)+IF($F449="sell_put",$I449*$AE449*$D449,IF($F449="roll",IF($AG449="put",($I449-IF($AF449&gt;0,INDEX($AH$9:$AH$448,$AF449),0))*$AE449*$D449,0),IF(AND(OR($F449="buy_to_close",$F449="expire",$F449="roll",$F449="assignment",$F449="called_away"),$F449&lt;&gt;"roll",$AG449="put"),-IF($AF449&gt;0,INDEX($AH$9:$AH$448,$AF449),0)*$AE449*$D449,0))))</f>
        <v/>
      </c>
      <c r="AP449" s="51" t="str">
        <f>IF($A449="","",IFERROR(LOOKUP(2,1/($B$9:$B$448=$B449),$AP$9:$AP448),0)+IF($F449="sell_put",$AE449*$D449,IF(AND(OR($F449="buy_to_close",$F449="expire",$F449="roll",$F449="assignment",$F449="called_away"),$F449&lt;&gt;"roll",$AG449="put"),-$AE449*$D449,0)))</f>
        <v/>
      </c>
      <c r="AQ449" s="51" t="str">
        <f>IF($A449="","",IFERROR(LOOKUP(2,1/($B$9:$B$448=$B449),$AQ$9:$AQ448),0)+IF(OR($F449="sell_put",$F449="sell_call"),$AE449,0)-IF(AND(OR($F449="buy_to_close",$F449="expire",$F449="roll",$F449="assignment",$F449="called_away"),$F449&lt;&gt;"roll"),$AE449,0))</f>
        <v/>
      </c>
      <c r="AR449" t="str">
        <f t="shared" si="115"/>
        <v/>
      </c>
      <c r="AS449" s="50" t="str">
        <f t="shared" si="116"/>
        <v/>
      </c>
      <c r="AT449" s="50" t="str">
        <f>IF($A449="","",MAX(IF($T449=IFERROR(LOOKUP(2,1/($B$9:$B$448=$B449),$T$9:$T448),0),IFERROR(LOOKUP(2,1/($B$9:$B$448=$B449),$AT$9:$AT448),0),0),$AS449))</f>
        <v/>
      </c>
      <c r="AU449" t="str">
        <f t="shared" si="117"/>
        <v/>
      </c>
      <c r="AV449" s="51">
        <f>IF($AU449="",0,IF(AND(IFERROR(LOOKUP(2,1/($B$9:$B$448=$B449),$AR$9:$AR448),1),NOT(AND(OR($F449="dividend",$F449="fee"),IFERROR(LOOKUP(2,1/($B$9:$B$448=$B449),$T$9:$T448),0)&gt;0))),ROW(),0))</f>
        <v>0</v>
      </c>
      <c r="AW449">
        <f>IF($A449="",0,IF($AV449&gt;0,MAX($AW$9:$AW$448)+1,MAX($AW$9:$AW$448)))</f>
        <v>0</v>
      </c>
      <c r="AX449">
        <f>IF($AU449="",0,IF(AND($AR449,OR(NOT(IFERROR(LOOKUP(2,1/($B$9:$B$448=$B449),$AR$9:$AR448),1)),IFERROR(LOOKUP(2,1/($B$9:$B$448=$B449),$T$9:$T448),0)=0)),ROW(),0))</f>
        <v>0</v>
      </c>
      <c r="AY449" t="str">
        <f t="shared" si="118"/>
        <v/>
      </c>
    </row>
    <row r="450" spans="1:51" ht="15" x14ac:dyDescent="0.25">
      <c r="A450" s="52" t="str">
        <f>IF(Trades!$A450="","",Trades!O450)</f>
        <v/>
      </c>
      <c r="B450" s="52" t="str">
        <f>IF(Trades!$A450="","",Trades!B450)</f>
        <v/>
      </c>
      <c r="C450" s="52" t="str">
        <f>IF(Trades!$A450="","",Trades!C450)</f>
        <v/>
      </c>
      <c r="D450" s="53" t="str">
        <f>IF(Trades!$A450="","",IF(Trades!$L450&gt;0,Trades!$L450,Trades!$C$6))</f>
        <v/>
      </c>
      <c r="E450" s="54" t="str">
        <f>IF(Trades!$A450="","",Trades!A450)</f>
        <v/>
      </c>
      <c r="F450" s="52" t="str">
        <f>IF(Trades!$A450="","",IFERROR(INDEX(Trades!$V$2:$V$14,MATCH(Trades!$E450,Trades!$U$2:$U$14,0)),""))</f>
        <v/>
      </c>
      <c r="G450" s="52" t="str">
        <f>IF(Trades!$A450="","",Trades!N450)</f>
        <v/>
      </c>
      <c r="H450" s="53" t="str">
        <f>IF(Trades!$A450="","",Trades!F450)</f>
        <v/>
      </c>
      <c r="I450" s="55" t="str">
        <f>IF(Trades!$A450="","",Trades!G450)</f>
        <v/>
      </c>
      <c r="J450" s="55" t="str">
        <f>IF(Trades!$A450="","",Trades!I450)</f>
        <v/>
      </c>
      <c r="K450" s="55" t="str">
        <f>IF(Trades!$A450="","",Trades!Q450)</f>
        <v/>
      </c>
      <c r="L450" s="53" t="str">
        <f>IF(Trades!$A450="","",Trades!F450)</f>
        <v/>
      </c>
      <c r="M450" s="55" t="str">
        <f>IF(Trades!$A450="","",Trades!M450)</f>
        <v/>
      </c>
      <c r="N450" s="55" t="str">
        <f>IF(Trades!$A450="","",Trades!R450)</f>
        <v/>
      </c>
      <c r="O450" s="55" t="str">
        <f>IF(Trades!$A450="","",Trades!J450)</f>
        <v/>
      </c>
      <c r="P450" s="54" t="str">
        <f>IF(Trades!$A450="","",Trades!H450)</f>
        <v/>
      </c>
      <c r="Q450" s="52" t="str">
        <f>IF(Trades!$A450="","",Trades!P450)</f>
        <v/>
      </c>
      <c r="R450" s="56" t="str">
        <f t="shared" si="102"/>
        <v/>
      </c>
      <c r="S450" s="56" t="str">
        <f t="shared" si="103"/>
        <v/>
      </c>
      <c r="T450" s="57" t="str">
        <f>IF(OR($A450="",$B450=""),"",IF(AND(IFERROR(LOOKUP(2,1/($B$9:$B$449=$B450),$AR$9:$AR449),1),NOT(AND(OR($F450="dividend",$F450="fee"),IFERROR(LOOKUP(2,1/($B$9:$B$449=$B450),$T$9:$T449),0)&gt;0))),IFERROR(LOOKUP(2,1/($B$9:$B$449=$B450),$T$9:$T449),0)+1,IFERROR(LOOKUP(2,1/($B$9:$B$449=$B450),$T$9:$T449),0)))</f>
        <v/>
      </c>
      <c r="U450" s="58" t="str">
        <f t="shared" si="104"/>
        <v/>
      </c>
      <c r="V450" s="58" t="str">
        <f>IF($A450="","",IF(OR($B450="",$C450="",$D450="",$E450="",$F450=""),"Missing required field",IF(COUNTIFS($A$9:$A450,$A450,$B$9:$B450,$B450)&gt;1,"Duplicate event ID",IF(AND($E450&lt;&gt;IFERROR(LOOKUP(2,1/($B$9:$B$449=$B450),$E$9:$E449),0),IFERROR(LOOKUP(2,1/($B$9:$B$449=$B450),$E$9:$E449),0)&gt;$E450),"Date out of order",IF(AND(OR($F450="buy_to_close",$F450="expire",$F450="roll",$F450="assignment",$F450="called_away"),$AF450=0),"Unknown lot",IF(OR(AND($F450="assignment",$AF450&gt;0,IF($AF450&gt;0,INDEX($AG$9:$AG$449,$AF450),"")&lt;&gt;"put"),AND($F450="called_away",$AF450&gt;0,IF($AF450&gt;0,INDEX($AG$9:$AG$449,$AF450),"")&lt;&gt;"call")),"Wrong option leg",IF(OR(AND(OR($F450="sell_put",$F450="sell_call"),OR($H450&lt;=0,$I450&lt;=0,$J450&lt;0)),AND(OR($F450="buy_to_close",$F450="expire",$F450="assignment",$F450="called_away"),OR($H450&lt;=0,$J450&lt;0)),AND($F450="roll",OR($H450&lt;=0,$I450&lt;=0,$J450&lt;0,$K450&lt;0)),AND(OR($F450="buy_shares",$F450="sell_shares"),OR($L450&lt;=0,$M450&lt;0)),AND(OR($F450="dividend",$F450="fee"),$N450&lt;0)),"Invalid value",IF(AND(OR($F450="sell_shares",$F450="called_away"),$AL450&lt;IF($F450="called_away",$AE450*$D450,$L450)),"Insufficient shares (capped)",IF(AND(OR($F450="buy_to_close",$F450="expire",$F450="roll",$F450="assignment",$F450="called_away"),$AF450&gt;0,$H450&gt;IF($AF450&gt;0,MAX(0,INDEX($AI$9:$AI$449,$AF450)-SUMIFS($AE$9:$AE$449,$G$9:$G$449,$G450,$B$9:$B$449,$B450)),0)),"Close quantity capped","OK")))))))))</f>
        <v/>
      </c>
      <c r="W450" s="59" t="str">
        <f t="shared" si="105"/>
        <v/>
      </c>
      <c r="X450" s="60" t="str">
        <f t="shared" si="106"/>
        <v/>
      </c>
      <c r="Y450" s="50" t="str">
        <f t="shared" si="107"/>
        <v/>
      </c>
      <c r="Z450" s="50" t="str">
        <f t="shared" si="108"/>
        <v/>
      </c>
      <c r="AA450" s="50" t="str">
        <f t="shared" si="109"/>
        <v/>
      </c>
      <c r="AB450" s="50" t="str">
        <f t="shared" si="110"/>
        <v/>
      </c>
      <c r="AC450" s="50" t="str">
        <f>IF($A450="","",IF($F450="assignment",IF($AF450&gt;0,INDEX($AH$9:$AH$449,$AF450),0)*$AE450*$D450,IF($F450="buy_shares",$M450*$AL450,0)))</f>
        <v/>
      </c>
      <c r="AD450" s="50" t="str">
        <f>IF($A450="","",IF($F450="called_away",IF($AF450&gt;0,INDEX($AH$9:$AH$449,$AF450),0)*$AL450,IF($F450="sell_shares",$M450*$AL450,0)))</f>
        <v/>
      </c>
      <c r="AE450" s="51" t="str">
        <f>IF($A450="","",IF(OR($F450="sell_put",$F450="sell_call"),IF(AND($H450&gt;0,$I450&gt;0,$J450&gt;=0),$H450,0),IF(OR($F450="buy_to_close",$F450="expire",$F450="roll",$F450="assignment",$F450="called_away"),IF(AND($AF450&gt;0,$H450&gt;0,IF($F450="assignment",IF($AF450&gt;0,INDEX($AG$9:$AG$449,$AF450),"")="put",TRUE),IF($F450="called_away",IF($AF450&gt;0,INDEX($AG$9:$AG$449,$AF450),"")="call",TRUE)),MIN($H450,IF($AF450&gt;0,MAX(0,INDEX($AI$9:$AI$449,$AF450)-SUMIFS($AE$9:$AE$449,$G$9:$G$449,$G450,$B$9:$B$449,$B450)),0)),0),0)))</f>
        <v/>
      </c>
      <c r="AF450" t="str">
        <f>IF($A450="","",IFERROR(MATCH(LEN($B450)&amp;":"&amp;$B450&amp;$G450,$AY$9:$AY$449,0),0))</f>
        <v/>
      </c>
      <c r="AG450" t="str">
        <f>IF($A450="","",IF($F450="sell_put","put",IF($F450="sell_call","call",IF($F450="roll",IF($AF450&gt;0,IF($AF450&gt;0,INDEX($AG$9:$AG$449,$AF450),""),""),IF($AF450&gt;0,IF($AF450&gt;0,INDEX($AG$9:$AG$449,$AF450),""),"")))))</f>
        <v/>
      </c>
      <c r="AH450" t="str">
        <f>IF($A450="","",IF(OR($F450="sell_put",$F450="sell_call",$F450="roll"),$I450,IF($AF450&gt;0,IF($AF450&gt;0,INDEX($AH$9:$AH$449,$AF450),0),0)))</f>
        <v/>
      </c>
      <c r="AI450" s="51" t="str">
        <f t="shared" si="111"/>
        <v/>
      </c>
      <c r="AJ450" s="51" t="str">
        <f>IF($A450="","",IFERROR(LOOKUP(2,1/($B$9:$B$449=$B450),$AM$9:$AM449),0))</f>
        <v/>
      </c>
      <c r="AK450" t="str">
        <f>IF($A450="","",IFERROR(LOOKUP(2,1/($B$9:$B$449=$B450),$AN$9:$AN449),0))</f>
        <v/>
      </c>
      <c r="AL450" s="51" t="str">
        <f t="shared" si="112"/>
        <v/>
      </c>
      <c r="AM450" s="51" t="str">
        <f t="shared" si="113"/>
        <v/>
      </c>
      <c r="AN450" t="str">
        <f t="shared" si="114"/>
        <v/>
      </c>
      <c r="AO450" s="50" t="str">
        <f>IF($A450="","",IFERROR(LOOKUP(2,1/($B$9:$B$449=$B450),$AO$9:$AO449),0)+IF($F450="sell_put",$I450*$AE450*$D450,IF($F450="roll",IF($AG450="put",($I450-IF($AF450&gt;0,INDEX($AH$9:$AH$449,$AF450),0))*$AE450*$D450,0),IF(AND(OR($F450="buy_to_close",$F450="expire",$F450="roll",$F450="assignment",$F450="called_away"),$F450&lt;&gt;"roll",$AG450="put"),-IF($AF450&gt;0,INDEX($AH$9:$AH$449,$AF450),0)*$AE450*$D450,0))))</f>
        <v/>
      </c>
      <c r="AP450" s="51" t="str">
        <f>IF($A450="","",IFERROR(LOOKUP(2,1/($B$9:$B$449=$B450),$AP$9:$AP449),0)+IF($F450="sell_put",$AE450*$D450,IF(AND(OR($F450="buy_to_close",$F450="expire",$F450="roll",$F450="assignment",$F450="called_away"),$F450&lt;&gt;"roll",$AG450="put"),-$AE450*$D450,0)))</f>
        <v/>
      </c>
      <c r="AQ450" s="51" t="str">
        <f>IF($A450="","",IFERROR(LOOKUP(2,1/($B$9:$B$449=$B450),$AQ$9:$AQ449),0)+IF(OR($F450="sell_put",$F450="sell_call"),$AE450,0)-IF(AND(OR($F450="buy_to_close",$F450="expire",$F450="roll",$F450="assignment",$F450="called_away"),$F450&lt;&gt;"roll"),$AE450,0))</f>
        <v/>
      </c>
      <c r="AR450" t="str">
        <f t="shared" si="115"/>
        <v/>
      </c>
      <c r="AS450" s="50" t="str">
        <f t="shared" si="116"/>
        <v/>
      </c>
      <c r="AT450" s="50" t="str">
        <f>IF($A450="","",MAX(IF($T450=IFERROR(LOOKUP(2,1/($B$9:$B$449=$B450),$T$9:$T449),0),IFERROR(LOOKUP(2,1/($B$9:$B$449=$B450),$AT$9:$AT449),0),0),$AS450))</f>
        <v/>
      </c>
      <c r="AU450" t="str">
        <f t="shared" si="117"/>
        <v/>
      </c>
      <c r="AV450" s="51">
        <f>IF($AU450="",0,IF(AND(IFERROR(LOOKUP(2,1/($B$9:$B$449=$B450),$AR$9:$AR449),1),NOT(AND(OR($F450="dividend",$F450="fee"),IFERROR(LOOKUP(2,1/($B$9:$B$449=$B450),$T$9:$T449),0)&gt;0))),ROW(),0))</f>
        <v>0</v>
      </c>
      <c r="AW450">
        <f>IF($A450="",0,IF($AV450&gt;0,MAX($AW$9:$AW$449)+1,MAX($AW$9:$AW$449)))</f>
        <v>0</v>
      </c>
      <c r="AX450">
        <f>IF($AU450="",0,IF(AND($AR450,OR(NOT(IFERROR(LOOKUP(2,1/($B$9:$B$449=$B450),$AR$9:$AR449),1)),IFERROR(LOOKUP(2,1/($B$9:$B$449=$B450),$T$9:$T449),0)=0)),ROW(),0))</f>
        <v>0</v>
      </c>
      <c r="AY450" t="str">
        <f t="shared" si="118"/>
        <v/>
      </c>
    </row>
    <row r="451" spans="1:51" ht="15" x14ac:dyDescent="0.25">
      <c r="A451" s="41" t="str">
        <f>IF(Trades!$A451="","",Trades!O451)</f>
        <v/>
      </c>
      <c r="B451" s="41" t="str">
        <f>IF(Trades!$A451="","",Trades!B451)</f>
        <v/>
      </c>
      <c r="C451" s="41" t="str">
        <f>IF(Trades!$A451="","",Trades!C451)</f>
        <v/>
      </c>
      <c r="D451" s="42" t="str">
        <f>IF(Trades!$A451="","",IF(Trades!$L451&gt;0,Trades!$L451,Trades!$C$6))</f>
        <v/>
      </c>
      <c r="E451" s="43" t="str">
        <f>IF(Trades!$A451="","",Trades!A451)</f>
        <v/>
      </c>
      <c r="F451" s="41" t="str">
        <f>IF(Trades!$A451="","",IFERROR(INDEX(Trades!$V$2:$V$14,MATCH(Trades!$E451,Trades!$U$2:$U$14,0)),""))</f>
        <v/>
      </c>
      <c r="G451" s="41" t="str">
        <f>IF(Trades!$A451="","",Trades!N451)</f>
        <v/>
      </c>
      <c r="H451" s="42" t="str">
        <f>IF(Trades!$A451="","",Trades!F451)</f>
        <v/>
      </c>
      <c r="I451" s="44" t="str">
        <f>IF(Trades!$A451="","",Trades!G451)</f>
        <v/>
      </c>
      <c r="J451" s="44" t="str">
        <f>IF(Trades!$A451="","",Trades!I451)</f>
        <v/>
      </c>
      <c r="K451" s="44" t="str">
        <f>IF(Trades!$A451="","",Trades!Q451)</f>
        <v/>
      </c>
      <c r="L451" s="42" t="str">
        <f>IF(Trades!$A451="","",Trades!F451)</f>
        <v/>
      </c>
      <c r="M451" s="44" t="str">
        <f>IF(Trades!$A451="","",Trades!M451)</f>
        <v/>
      </c>
      <c r="N451" s="44" t="str">
        <f>IF(Trades!$A451="","",Trades!R451)</f>
        <v/>
      </c>
      <c r="O451" s="44" t="str">
        <f>IF(Trades!$A451="","",Trades!J451)</f>
        <v/>
      </c>
      <c r="P451" s="43" t="str">
        <f>IF(Trades!$A451="","",Trades!H451)</f>
        <v/>
      </c>
      <c r="Q451" s="41" t="str">
        <f>IF(Trades!$A451="","",Trades!P451)</f>
        <v/>
      </c>
      <c r="R451" s="45" t="str">
        <f t="shared" si="102"/>
        <v/>
      </c>
      <c r="S451" s="45" t="str">
        <f t="shared" si="103"/>
        <v/>
      </c>
      <c r="T451" s="46" t="str">
        <f>IF(OR($A451="",$B451=""),"",IF(AND(IFERROR(LOOKUP(2,1/($B$9:$B$450=$B451),$AR$9:$AR450),1),NOT(AND(OR($F451="dividend",$F451="fee"),IFERROR(LOOKUP(2,1/($B$9:$B$450=$B451),$T$9:$T450),0)&gt;0))),IFERROR(LOOKUP(2,1/($B$9:$B$450=$B451),$T$9:$T450),0)+1,IFERROR(LOOKUP(2,1/($B$9:$B$450=$B451),$T$9:$T450),0)))</f>
        <v/>
      </c>
      <c r="U451" s="47" t="str">
        <f t="shared" si="104"/>
        <v/>
      </c>
      <c r="V451" s="47" t="str">
        <f>IF($A451="","",IF(OR($B451="",$C451="",$D451="",$E451="",$F451=""),"Missing required field",IF(COUNTIFS($A$9:$A451,$A451,$B$9:$B451,$B451)&gt;1,"Duplicate event ID",IF(AND($E451&lt;&gt;IFERROR(LOOKUP(2,1/($B$9:$B$450=$B451),$E$9:$E450),0),IFERROR(LOOKUP(2,1/($B$9:$B$450=$B451),$E$9:$E450),0)&gt;$E451),"Date out of order",IF(AND(OR($F451="buy_to_close",$F451="expire",$F451="roll",$F451="assignment",$F451="called_away"),$AF451=0),"Unknown lot",IF(OR(AND($F451="assignment",$AF451&gt;0,IF($AF451&gt;0,INDEX($AG$9:$AG$450,$AF451),"")&lt;&gt;"put"),AND($F451="called_away",$AF451&gt;0,IF($AF451&gt;0,INDEX($AG$9:$AG$450,$AF451),"")&lt;&gt;"call")),"Wrong option leg",IF(OR(AND(OR($F451="sell_put",$F451="sell_call"),OR($H451&lt;=0,$I451&lt;=0,$J451&lt;0)),AND(OR($F451="buy_to_close",$F451="expire",$F451="assignment",$F451="called_away"),OR($H451&lt;=0,$J451&lt;0)),AND($F451="roll",OR($H451&lt;=0,$I451&lt;=0,$J451&lt;0,$K451&lt;0)),AND(OR($F451="buy_shares",$F451="sell_shares"),OR($L451&lt;=0,$M451&lt;0)),AND(OR($F451="dividend",$F451="fee"),$N451&lt;0)),"Invalid value",IF(AND(OR($F451="sell_shares",$F451="called_away"),$AL451&lt;IF($F451="called_away",$AE451*$D451,$L451)),"Insufficient shares (capped)",IF(AND(OR($F451="buy_to_close",$F451="expire",$F451="roll",$F451="assignment",$F451="called_away"),$AF451&gt;0,$H451&gt;IF($AF451&gt;0,MAX(0,INDEX($AI$9:$AI$450,$AF451)-SUMIFS($AE$9:$AE$450,$G$9:$G$450,$G451,$B$9:$B$450,$B451)),0)),"Close quantity capped","OK")))))))))</f>
        <v/>
      </c>
      <c r="W451" s="48" t="str">
        <f t="shared" si="105"/>
        <v/>
      </c>
      <c r="X451" s="49" t="str">
        <f t="shared" si="106"/>
        <v/>
      </c>
      <c r="Y451" s="50" t="str">
        <f t="shared" si="107"/>
        <v/>
      </c>
      <c r="Z451" s="50" t="str">
        <f t="shared" si="108"/>
        <v/>
      </c>
      <c r="AA451" s="50" t="str">
        <f t="shared" si="109"/>
        <v/>
      </c>
      <c r="AB451" s="50" t="str">
        <f t="shared" si="110"/>
        <v/>
      </c>
      <c r="AC451" s="50" t="str">
        <f>IF($A451="","",IF($F451="assignment",IF($AF451&gt;0,INDEX($AH$9:$AH$450,$AF451),0)*$AE451*$D451,IF($F451="buy_shares",$M451*$AL451,0)))</f>
        <v/>
      </c>
      <c r="AD451" s="50" t="str">
        <f>IF($A451="","",IF($F451="called_away",IF($AF451&gt;0,INDEX($AH$9:$AH$450,$AF451),0)*$AL451,IF($F451="sell_shares",$M451*$AL451,0)))</f>
        <v/>
      </c>
      <c r="AE451" s="51" t="str">
        <f>IF($A451="","",IF(OR($F451="sell_put",$F451="sell_call"),IF(AND($H451&gt;0,$I451&gt;0,$J451&gt;=0),$H451,0),IF(OR($F451="buy_to_close",$F451="expire",$F451="roll",$F451="assignment",$F451="called_away"),IF(AND($AF451&gt;0,$H451&gt;0,IF($F451="assignment",IF($AF451&gt;0,INDEX($AG$9:$AG$450,$AF451),"")="put",TRUE),IF($F451="called_away",IF($AF451&gt;0,INDEX($AG$9:$AG$450,$AF451),"")="call",TRUE)),MIN($H451,IF($AF451&gt;0,MAX(0,INDEX($AI$9:$AI$450,$AF451)-SUMIFS($AE$9:$AE$450,$G$9:$G$450,$G451,$B$9:$B$450,$B451)),0)),0),0)))</f>
        <v/>
      </c>
      <c r="AF451" t="str">
        <f>IF($A451="","",IFERROR(MATCH(LEN($B451)&amp;":"&amp;$B451&amp;$G451,$AY$9:$AY$450,0),0))</f>
        <v/>
      </c>
      <c r="AG451" t="str">
        <f>IF($A451="","",IF($F451="sell_put","put",IF($F451="sell_call","call",IF($F451="roll",IF($AF451&gt;0,IF($AF451&gt;0,INDEX($AG$9:$AG$450,$AF451),""),""),IF($AF451&gt;0,IF($AF451&gt;0,INDEX($AG$9:$AG$450,$AF451),""),"")))))</f>
        <v/>
      </c>
      <c r="AH451" t="str">
        <f>IF($A451="","",IF(OR($F451="sell_put",$F451="sell_call",$F451="roll"),$I451,IF($AF451&gt;0,IF($AF451&gt;0,INDEX($AH$9:$AH$450,$AF451),0),0)))</f>
        <v/>
      </c>
      <c r="AI451" s="51" t="str">
        <f t="shared" si="111"/>
        <v/>
      </c>
      <c r="AJ451" s="51" t="str">
        <f>IF($A451="","",IFERROR(LOOKUP(2,1/($B$9:$B$450=$B451),$AM$9:$AM450),0))</f>
        <v/>
      </c>
      <c r="AK451" t="str">
        <f>IF($A451="","",IFERROR(LOOKUP(2,1/($B$9:$B$450=$B451),$AN$9:$AN450),0))</f>
        <v/>
      </c>
      <c r="AL451" s="51" t="str">
        <f t="shared" si="112"/>
        <v/>
      </c>
      <c r="AM451" s="51" t="str">
        <f t="shared" si="113"/>
        <v/>
      </c>
      <c r="AN451" t="str">
        <f t="shared" si="114"/>
        <v/>
      </c>
      <c r="AO451" s="50" t="str">
        <f>IF($A451="","",IFERROR(LOOKUP(2,1/($B$9:$B$450=$B451),$AO$9:$AO450),0)+IF($F451="sell_put",$I451*$AE451*$D451,IF($F451="roll",IF($AG451="put",($I451-IF($AF451&gt;0,INDEX($AH$9:$AH$450,$AF451),0))*$AE451*$D451,0),IF(AND(OR($F451="buy_to_close",$F451="expire",$F451="roll",$F451="assignment",$F451="called_away"),$F451&lt;&gt;"roll",$AG451="put"),-IF($AF451&gt;0,INDEX($AH$9:$AH$450,$AF451),0)*$AE451*$D451,0))))</f>
        <v/>
      </c>
      <c r="AP451" s="51" t="str">
        <f>IF($A451="","",IFERROR(LOOKUP(2,1/($B$9:$B$450=$B451),$AP$9:$AP450),0)+IF($F451="sell_put",$AE451*$D451,IF(AND(OR($F451="buy_to_close",$F451="expire",$F451="roll",$F451="assignment",$F451="called_away"),$F451&lt;&gt;"roll",$AG451="put"),-$AE451*$D451,0)))</f>
        <v/>
      </c>
      <c r="AQ451" s="51" t="str">
        <f>IF($A451="","",IFERROR(LOOKUP(2,1/($B$9:$B$450=$B451),$AQ$9:$AQ450),0)+IF(OR($F451="sell_put",$F451="sell_call"),$AE451,0)-IF(AND(OR($F451="buy_to_close",$F451="expire",$F451="roll",$F451="assignment",$F451="called_away"),$F451&lt;&gt;"roll"),$AE451,0))</f>
        <v/>
      </c>
      <c r="AR451" t="str">
        <f t="shared" si="115"/>
        <v/>
      </c>
      <c r="AS451" s="50" t="str">
        <f t="shared" si="116"/>
        <v/>
      </c>
      <c r="AT451" s="50" t="str">
        <f>IF($A451="","",MAX(IF($T451=IFERROR(LOOKUP(2,1/($B$9:$B$450=$B451),$T$9:$T450),0),IFERROR(LOOKUP(2,1/($B$9:$B$450=$B451),$AT$9:$AT450),0),0),$AS451))</f>
        <v/>
      </c>
      <c r="AU451" t="str">
        <f t="shared" si="117"/>
        <v/>
      </c>
      <c r="AV451" s="51">
        <f>IF($AU451="",0,IF(AND(IFERROR(LOOKUP(2,1/($B$9:$B$450=$B451),$AR$9:$AR450),1),NOT(AND(OR($F451="dividend",$F451="fee"),IFERROR(LOOKUP(2,1/($B$9:$B$450=$B451),$T$9:$T450),0)&gt;0))),ROW(),0))</f>
        <v>0</v>
      </c>
      <c r="AW451">
        <f>IF($A451="",0,IF($AV451&gt;0,MAX($AW$9:$AW$450)+1,MAX($AW$9:$AW$450)))</f>
        <v>0</v>
      </c>
      <c r="AX451">
        <f>IF($AU451="",0,IF(AND($AR451,OR(NOT(IFERROR(LOOKUP(2,1/($B$9:$B$450=$B451),$AR$9:$AR450),1)),IFERROR(LOOKUP(2,1/($B$9:$B$450=$B451),$T$9:$T450),0)=0)),ROW(),0))</f>
        <v>0</v>
      </c>
      <c r="AY451" t="str">
        <f t="shared" si="118"/>
        <v/>
      </c>
    </row>
    <row r="452" spans="1:51" ht="15" x14ac:dyDescent="0.25">
      <c r="A452" s="52" t="str">
        <f>IF(Trades!$A452="","",Trades!O452)</f>
        <v/>
      </c>
      <c r="B452" s="52" t="str">
        <f>IF(Trades!$A452="","",Trades!B452)</f>
        <v/>
      </c>
      <c r="C452" s="52" t="str">
        <f>IF(Trades!$A452="","",Trades!C452)</f>
        <v/>
      </c>
      <c r="D452" s="53" t="str">
        <f>IF(Trades!$A452="","",IF(Trades!$L452&gt;0,Trades!$L452,Trades!$C$6))</f>
        <v/>
      </c>
      <c r="E452" s="54" t="str">
        <f>IF(Trades!$A452="","",Trades!A452)</f>
        <v/>
      </c>
      <c r="F452" s="52" t="str">
        <f>IF(Trades!$A452="","",IFERROR(INDEX(Trades!$V$2:$V$14,MATCH(Trades!$E452,Trades!$U$2:$U$14,0)),""))</f>
        <v/>
      </c>
      <c r="G452" s="52" t="str">
        <f>IF(Trades!$A452="","",Trades!N452)</f>
        <v/>
      </c>
      <c r="H452" s="53" t="str">
        <f>IF(Trades!$A452="","",Trades!F452)</f>
        <v/>
      </c>
      <c r="I452" s="55" t="str">
        <f>IF(Trades!$A452="","",Trades!G452)</f>
        <v/>
      </c>
      <c r="J452" s="55" t="str">
        <f>IF(Trades!$A452="","",Trades!I452)</f>
        <v/>
      </c>
      <c r="K452" s="55" t="str">
        <f>IF(Trades!$A452="","",Trades!Q452)</f>
        <v/>
      </c>
      <c r="L452" s="53" t="str">
        <f>IF(Trades!$A452="","",Trades!F452)</f>
        <v/>
      </c>
      <c r="M452" s="55" t="str">
        <f>IF(Trades!$A452="","",Trades!M452)</f>
        <v/>
      </c>
      <c r="N452" s="55" t="str">
        <f>IF(Trades!$A452="","",Trades!R452)</f>
        <v/>
      </c>
      <c r="O452" s="55" t="str">
        <f>IF(Trades!$A452="","",Trades!J452)</f>
        <v/>
      </c>
      <c r="P452" s="54" t="str">
        <f>IF(Trades!$A452="","",Trades!H452)</f>
        <v/>
      </c>
      <c r="Q452" s="52" t="str">
        <f>IF(Trades!$A452="","",Trades!P452)</f>
        <v/>
      </c>
      <c r="R452" s="56" t="str">
        <f t="shared" si="102"/>
        <v/>
      </c>
      <c r="S452" s="56" t="str">
        <f t="shared" si="103"/>
        <v/>
      </c>
      <c r="T452" s="57" t="str">
        <f>IF(OR($A452="",$B452=""),"",IF(AND(IFERROR(LOOKUP(2,1/($B$9:$B$451=$B452),$AR$9:$AR451),1),NOT(AND(OR($F452="dividend",$F452="fee"),IFERROR(LOOKUP(2,1/($B$9:$B$451=$B452),$T$9:$T451),0)&gt;0))),IFERROR(LOOKUP(2,1/($B$9:$B$451=$B452),$T$9:$T451),0)+1,IFERROR(LOOKUP(2,1/($B$9:$B$451=$B452),$T$9:$T451),0)))</f>
        <v/>
      </c>
      <c r="U452" s="58" t="str">
        <f t="shared" si="104"/>
        <v/>
      </c>
      <c r="V452" s="58" t="str">
        <f>IF($A452="","",IF(OR($B452="",$C452="",$D452="",$E452="",$F452=""),"Missing required field",IF(COUNTIFS($A$9:$A452,$A452,$B$9:$B452,$B452)&gt;1,"Duplicate event ID",IF(AND($E452&lt;&gt;IFERROR(LOOKUP(2,1/($B$9:$B$451=$B452),$E$9:$E451),0),IFERROR(LOOKUP(2,1/($B$9:$B$451=$B452),$E$9:$E451),0)&gt;$E452),"Date out of order",IF(AND(OR($F452="buy_to_close",$F452="expire",$F452="roll",$F452="assignment",$F452="called_away"),$AF452=0),"Unknown lot",IF(OR(AND($F452="assignment",$AF452&gt;0,IF($AF452&gt;0,INDEX($AG$9:$AG$451,$AF452),"")&lt;&gt;"put"),AND($F452="called_away",$AF452&gt;0,IF($AF452&gt;0,INDEX($AG$9:$AG$451,$AF452),"")&lt;&gt;"call")),"Wrong option leg",IF(OR(AND(OR($F452="sell_put",$F452="sell_call"),OR($H452&lt;=0,$I452&lt;=0,$J452&lt;0)),AND(OR($F452="buy_to_close",$F452="expire",$F452="assignment",$F452="called_away"),OR($H452&lt;=0,$J452&lt;0)),AND($F452="roll",OR($H452&lt;=0,$I452&lt;=0,$J452&lt;0,$K452&lt;0)),AND(OR($F452="buy_shares",$F452="sell_shares"),OR($L452&lt;=0,$M452&lt;0)),AND(OR($F452="dividend",$F452="fee"),$N452&lt;0)),"Invalid value",IF(AND(OR($F452="sell_shares",$F452="called_away"),$AL452&lt;IF($F452="called_away",$AE452*$D452,$L452)),"Insufficient shares (capped)",IF(AND(OR($F452="buy_to_close",$F452="expire",$F452="roll",$F452="assignment",$F452="called_away"),$AF452&gt;0,$H452&gt;IF($AF452&gt;0,MAX(0,INDEX($AI$9:$AI$451,$AF452)-SUMIFS($AE$9:$AE$451,$G$9:$G$451,$G452,$B$9:$B$451,$B452)),0)),"Close quantity capped","OK")))))))))</f>
        <v/>
      </c>
      <c r="W452" s="59" t="str">
        <f t="shared" si="105"/>
        <v/>
      </c>
      <c r="X452" s="60" t="str">
        <f t="shared" si="106"/>
        <v/>
      </c>
      <c r="Y452" s="50" t="str">
        <f t="shared" si="107"/>
        <v/>
      </c>
      <c r="Z452" s="50" t="str">
        <f t="shared" si="108"/>
        <v/>
      </c>
      <c r="AA452" s="50" t="str">
        <f t="shared" si="109"/>
        <v/>
      </c>
      <c r="AB452" s="50" t="str">
        <f t="shared" si="110"/>
        <v/>
      </c>
      <c r="AC452" s="50" t="str">
        <f>IF($A452="","",IF($F452="assignment",IF($AF452&gt;0,INDEX($AH$9:$AH$451,$AF452),0)*$AE452*$D452,IF($F452="buy_shares",$M452*$AL452,0)))</f>
        <v/>
      </c>
      <c r="AD452" s="50" t="str">
        <f>IF($A452="","",IF($F452="called_away",IF($AF452&gt;0,INDEX($AH$9:$AH$451,$AF452),0)*$AL452,IF($F452="sell_shares",$M452*$AL452,0)))</f>
        <v/>
      </c>
      <c r="AE452" s="51" t="str">
        <f>IF($A452="","",IF(OR($F452="sell_put",$F452="sell_call"),IF(AND($H452&gt;0,$I452&gt;0,$J452&gt;=0),$H452,0),IF(OR($F452="buy_to_close",$F452="expire",$F452="roll",$F452="assignment",$F452="called_away"),IF(AND($AF452&gt;0,$H452&gt;0,IF($F452="assignment",IF($AF452&gt;0,INDEX($AG$9:$AG$451,$AF452),"")="put",TRUE),IF($F452="called_away",IF($AF452&gt;0,INDEX($AG$9:$AG$451,$AF452),"")="call",TRUE)),MIN($H452,IF($AF452&gt;0,MAX(0,INDEX($AI$9:$AI$451,$AF452)-SUMIFS($AE$9:$AE$451,$G$9:$G$451,$G452,$B$9:$B$451,$B452)),0)),0),0)))</f>
        <v/>
      </c>
      <c r="AF452" t="str">
        <f>IF($A452="","",IFERROR(MATCH(LEN($B452)&amp;":"&amp;$B452&amp;$G452,$AY$9:$AY$451,0),0))</f>
        <v/>
      </c>
      <c r="AG452" t="str">
        <f>IF($A452="","",IF($F452="sell_put","put",IF($F452="sell_call","call",IF($F452="roll",IF($AF452&gt;0,IF($AF452&gt;0,INDEX($AG$9:$AG$451,$AF452),""),""),IF($AF452&gt;0,IF($AF452&gt;0,INDEX($AG$9:$AG$451,$AF452),""),"")))))</f>
        <v/>
      </c>
      <c r="AH452" t="str">
        <f>IF($A452="","",IF(OR($F452="sell_put",$F452="sell_call",$F452="roll"),$I452,IF($AF452&gt;0,IF($AF452&gt;0,INDEX($AH$9:$AH$451,$AF452),0),0)))</f>
        <v/>
      </c>
      <c r="AI452" s="51" t="str">
        <f t="shared" si="111"/>
        <v/>
      </c>
      <c r="AJ452" s="51" t="str">
        <f>IF($A452="","",IFERROR(LOOKUP(2,1/($B$9:$B$451=$B452),$AM$9:$AM451),0))</f>
        <v/>
      </c>
      <c r="AK452" t="str">
        <f>IF($A452="","",IFERROR(LOOKUP(2,1/($B$9:$B$451=$B452),$AN$9:$AN451),0))</f>
        <v/>
      </c>
      <c r="AL452" s="51" t="str">
        <f t="shared" si="112"/>
        <v/>
      </c>
      <c r="AM452" s="51" t="str">
        <f t="shared" si="113"/>
        <v/>
      </c>
      <c r="AN452" t="str">
        <f t="shared" si="114"/>
        <v/>
      </c>
      <c r="AO452" s="50" t="str">
        <f>IF($A452="","",IFERROR(LOOKUP(2,1/($B$9:$B$451=$B452),$AO$9:$AO451),0)+IF($F452="sell_put",$I452*$AE452*$D452,IF($F452="roll",IF($AG452="put",($I452-IF($AF452&gt;0,INDEX($AH$9:$AH$451,$AF452),0))*$AE452*$D452,0),IF(AND(OR($F452="buy_to_close",$F452="expire",$F452="roll",$F452="assignment",$F452="called_away"),$F452&lt;&gt;"roll",$AG452="put"),-IF($AF452&gt;0,INDEX($AH$9:$AH$451,$AF452),0)*$AE452*$D452,0))))</f>
        <v/>
      </c>
      <c r="AP452" s="51" t="str">
        <f>IF($A452="","",IFERROR(LOOKUP(2,1/($B$9:$B$451=$B452),$AP$9:$AP451),0)+IF($F452="sell_put",$AE452*$D452,IF(AND(OR($F452="buy_to_close",$F452="expire",$F452="roll",$F452="assignment",$F452="called_away"),$F452&lt;&gt;"roll",$AG452="put"),-$AE452*$D452,0)))</f>
        <v/>
      </c>
      <c r="AQ452" s="51" t="str">
        <f>IF($A452="","",IFERROR(LOOKUP(2,1/($B$9:$B$451=$B452),$AQ$9:$AQ451),0)+IF(OR($F452="sell_put",$F452="sell_call"),$AE452,0)-IF(AND(OR($F452="buy_to_close",$F452="expire",$F452="roll",$F452="assignment",$F452="called_away"),$F452&lt;&gt;"roll"),$AE452,0))</f>
        <v/>
      </c>
      <c r="AR452" t="str">
        <f t="shared" si="115"/>
        <v/>
      </c>
      <c r="AS452" s="50" t="str">
        <f t="shared" si="116"/>
        <v/>
      </c>
      <c r="AT452" s="50" t="str">
        <f>IF($A452="","",MAX(IF($T452=IFERROR(LOOKUP(2,1/($B$9:$B$451=$B452),$T$9:$T451),0),IFERROR(LOOKUP(2,1/($B$9:$B$451=$B452),$AT$9:$AT451),0),0),$AS452))</f>
        <v/>
      </c>
      <c r="AU452" t="str">
        <f t="shared" si="117"/>
        <v/>
      </c>
      <c r="AV452" s="51">
        <f>IF($AU452="",0,IF(AND(IFERROR(LOOKUP(2,1/($B$9:$B$451=$B452),$AR$9:$AR451),1),NOT(AND(OR($F452="dividend",$F452="fee"),IFERROR(LOOKUP(2,1/($B$9:$B$451=$B452),$T$9:$T451),0)&gt;0))),ROW(),0))</f>
        <v>0</v>
      </c>
      <c r="AW452">
        <f>IF($A452="",0,IF($AV452&gt;0,MAX($AW$9:$AW$451)+1,MAX($AW$9:$AW$451)))</f>
        <v>0</v>
      </c>
      <c r="AX452">
        <f>IF($AU452="",0,IF(AND($AR452,OR(NOT(IFERROR(LOOKUP(2,1/($B$9:$B$451=$B452),$AR$9:$AR451),1)),IFERROR(LOOKUP(2,1/($B$9:$B$451=$B452),$T$9:$T451),0)=0)),ROW(),0))</f>
        <v>0</v>
      </c>
      <c r="AY452" t="str">
        <f t="shared" si="118"/>
        <v/>
      </c>
    </row>
    <row r="453" spans="1:51" ht="15" x14ac:dyDescent="0.25">
      <c r="A453" s="41" t="str">
        <f>IF(Trades!$A453="","",Trades!O453)</f>
        <v/>
      </c>
      <c r="B453" s="41" t="str">
        <f>IF(Trades!$A453="","",Trades!B453)</f>
        <v/>
      </c>
      <c r="C453" s="41" t="str">
        <f>IF(Trades!$A453="","",Trades!C453)</f>
        <v/>
      </c>
      <c r="D453" s="42" t="str">
        <f>IF(Trades!$A453="","",IF(Trades!$L453&gt;0,Trades!$L453,Trades!$C$6))</f>
        <v/>
      </c>
      <c r="E453" s="43" t="str">
        <f>IF(Trades!$A453="","",Trades!A453)</f>
        <v/>
      </c>
      <c r="F453" s="41" t="str">
        <f>IF(Trades!$A453="","",IFERROR(INDEX(Trades!$V$2:$V$14,MATCH(Trades!$E453,Trades!$U$2:$U$14,0)),""))</f>
        <v/>
      </c>
      <c r="G453" s="41" t="str">
        <f>IF(Trades!$A453="","",Trades!N453)</f>
        <v/>
      </c>
      <c r="H453" s="42" t="str">
        <f>IF(Trades!$A453="","",Trades!F453)</f>
        <v/>
      </c>
      <c r="I453" s="44" t="str">
        <f>IF(Trades!$A453="","",Trades!G453)</f>
        <v/>
      </c>
      <c r="J453" s="44" t="str">
        <f>IF(Trades!$A453="","",Trades!I453)</f>
        <v/>
      </c>
      <c r="K453" s="44" t="str">
        <f>IF(Trades!$A453="","",Trades!Q453)</f>
        <v/>
      </c>
      <c r="L453" s="42" t="str">
        <f>IF(Trades!$A453="","",Trades!F453)</f>
        <v/>
      </c>
      <c r="M453" s="44" t="str">
        <f>IF(Trades!$A453="","",Trades!M453)</f>
        <v/>
      </c>
      <c r="N453" s="44" t="str">
        <f>IF(Trades!$A453="","",Trades!R453)</f>
        <v/>
      </c>
      <c r="O453" s="44" t="str">
        <f>IF(Trades!$A453="","",Trades!J453)</f>
        <v/>
      </c>
      <c r="P453" s="43" t="str">
        <f>IF(Trades!$A453="","",Trades!H453)</f>
        <v/>
      </c>
      <c r="Q453" s="41" t="str">
        <f>IF(Trades!$A453="","",Trades!P453)</f>
        <v/>
      </c>
      <c r="R453" s="45" t="str">
        <f t="shared" si="102"/>
        <v/>
      </c>
      <c r="S453" s="45" t="str">
        <f t="shared" si="103"/>
        <v/>
      </c>
      <c r="T453" s="46" t="str">
        <f>IF(OR($A453="",$B453=""),"",IF(AND(IFERROR(LOOKUP(2,1/($B$9:$B$452=$B453),$AR$9:$AR452),1),NOT(AND(OR($F453="dividend",$F453="fee"),IFERROR(LOOKUP(2,1/($B$9:$B$452=$B453),$T$9:$T452),0)&gt;0))),IFERROR(LOOKUP(2,1/($B$9:$B$452=$B453),$T$9:$T452),0)+1,IFERROR(LOOKUP(2,1/($B$9:$B$452=$B453),$T$9:$T452),0)))</f>
        <v/>
      </c>
      <c r="U453" s="47" t="str">
        <f t="shared" si="104"/>
        <v/>
      </c>
      <c r="V453" s="47" t="str">
        <f>IF($A453="","",IF(OR($B453="",$C453="",$D453="",$E453="",$F453=""),"Missing required field",IF(COUNTIFS($A$9:$A453,$A453,$B$9:$B453,$B453)&gt;1,"Duplicate event ID",IF(AND($E453&lt;&gt;IFERROR(LOOKUP(2,1/($B$9:$B$452=$B453),$E$9:$E452),0),IFERROR(LOOKUP(2,1/($B$9:$B$452=$B453),$E$9:$E452),0)&gt;$E453),"Date out of order",IF(AND(OR($F453="buy_to_close",$F453="expire",$F453="roll",$F453="assignment",$F453="called_away"),$AF453=0),"Unknown lot",IF(OR(AND($F453="assignment",$AF453&gt;0,IF($AF453&gt;0,INDEX($AG$9:$AG$452,$AF453),"")&lt;&gt;"put"),AND($F453="called_away",$AF453&gt;0,IF($AF453&gt;0,INDEX($AG$9:$AG$452,$AF453),"")&lt;&gt;"call")),"Wrong option leg",IF(OR(AND(OR($F453="sell_put",$F453="sell_call"),OR($H453&lt;=0,$I453&lt;=0,$J453&lt;0)),AND(OR($F453="buy_to_close",$F453="expire",$F453="assignment",$F453="called_away"),OR($H453&lt;=0,$J453&lt;0)),AND($F453="roll",OR($H453&lt;=0,$I453&lt;=0,$J453&lt;0,$K453&lt;0)),AND(OR($F453="buy_shares",$F453="sell_shares"),OR($L453&lt;=0,$M453&lt;0)),AND(OR($F453="dividend",$F453="fee"),$N453&lt;0)),"Invalid value",IF(AND(OR($F453="sell_shares",$F453="called_away"),$AL453&lt;IF($F453="called_away",$AE453*$D453,$L453)),"Insufficient shares (capped)",IF(AND(OR($F453="buy_to_close",$F453="expire",$F453="roll",$F453="assignment",$F453="called_away"),$AF453&gt;0,$H453&gt;IF($AF453&gt;0,MAX(0,INDEX($AI$9:$AI$452,$AF453)-SUMIFS($AE$9:$AE$452,$G$9:$G$452,$G453,$B$9:$B$452,$B453)),0)),"Close quantity capped","OK")))))))))</f>
        <v/>
      </c>
      <c r="W453" s="48" t="str">
        <f t="shared" si="105"/>
        <v/>
      </c>
      <c r="X453" s="49" t="str">
        <f t="shared" si="106"/>
        <v/>
      </c>
      <c r="Y453" s="50" t="str">
        <f t="shared" si="107"/>
        <v/>
      </c>
      <c r="Z453" s="50" t="str">
        <f t="shared" si="108"/>
        <v/>
      </c>
      <c r="AA453" s="50" t="str">
        <f t="shared" si="109"/>
        <v/>
      </c>
      <c r="AB453" s="50" t="str">
        <f t="shared" si="110"/>
        <v/>
      </c>
      <c r="AC453" s="50" t="str">
        <f>IF($A453="","",IF($F453="assignment",IF($AF453&gt;0,INDEX($AH$9:$AH$452,$AF453),0)*$AE453*$D453,IF($F453="buy_shares",$M453*$AL453,0)))</f>
        <v/>
      </c>
      <c r="AD453" s="50" t="str">
        <f>IF($A453="","",IF($F453="called_away",IF($AF453&gt;0,INDEX($AH$9:$AH$452,$AF453),0)*$AL453,IF($F453="sell_shares",$M453*$AL453,0)))</f>
        <v/>
      </c>
      <c r="AE453" s="51" t="str">
        <f>IF($A453="","",IF(OR($F453="sell_put",$F453="sell_call"),IF(AND($H453&gt;0,$I453&gt;0,$J453&gt;=0),$H453,0),IF(OR($F453="buy_to_close",$F453="expire",$F453="roll",$F453="assignment",$F453="called_away"),IF(AND($AF453&gt;0,$H453&gt;0,IF($F453="assignment",IF($AF453&gt;0,INDEX($AG$9:$AG$452,$AF453),"")="put",TRUE),IF($F453="called_away",IF($AF453&gt;0,INDEX($AG$9:$AG$452,$AF453),"")="call",TRUE)),MIN($H453,IF($AF453&gt;0,MAX(0,INDEX($AI$9:$AI$452,$AF453)-SUMIFS($AE$9:$AE$452,$G$9:$G$452,$G453,$B$9:$B$452,$B453)),0)),0),0)))</f>
        <v/>
      </c>
      <c r="AF453" t="str">
        <f>IF($A453="","",IFERROR(MATCH(LEN($B453)&amp;":"&amp;$B453&amp;$G453,$AY$9:$AY$452,0),0))</f>
        <v/>
      </c>
      <c r="AG453" t="str">
        <f>IF($A453="","",IF($F453="sell_put","put",IF($F453="sell_call","call",IF($F453="roll",IF($AF453&gt;0,IF($AF453&gt;0,INDEX($AG$9:$AG$452,$AF453),""),""),IF($AF453&gt;0,IF($AF453&gt;0,INDEX($AG$9:$AG$452,$AF453),""),"")))))</f>
        <v/>
      </c>
      <c r="AH453" t="str">
        <f>IF($A453="","",IF(OR($F453="sell_put",$F453="sell_call",$F453="roll"),$I453,IF($AF453&gt;0,IF($AF453&gt;0,INDEX($AH$9:$AH$452,$AF453),0),0)))</f>
        <v/>
      </c>
      <c r="AI453" s="51" t="str">
        <f t="shared" si="111"/>
        <v/>
      </c>
      <c r="AJ453" s="51" t="str">
        <f>IF($A453="","",IFERROR(LOOKUP(2,1/($B$9:$B$452=$B453),$AM$9:$AM452),0))</f>
        <v/>
      </c>
      <c r="AK453" t="str">
        <f>IF($A453="","",IFERROR(LOOKUP(2,1/($B$9:$B$452=$B453),$AN$9:$AN452),0))</f>
        <v/>
      </c>
      <c r="AL453" s="51" t="str">
        <f t="shared" si="112"/>
        <v/>
      </c>
      <c r="AM453" s="51" t="str">
        <f t="shared" si="113"/>
        <v/>
      </c>
      <c r="AN453" t="str">
        <f t="shared" si="114"/>
        <v/>
      </c>
      <c r="AO453" s="50" t="str">
        <f>IF($A453="","",IFERROR(LOOKUP(2,1/($B$9:$B$452=$B453),$AO$9:$AO452),0)+IF($F453="sell_put",$I453*$AE453*$D453,IF($F453="roll",IF($AG453="put",($I453-IF($AF453&gt;0,INDEX($AH$9:$AH$452,$AF453),0))*$AE453*$D453,0),IF(AND(OR($F453="buy_to_close",$F453="expire",$F453="roll",$F453="assignment",$F453="called_away"),$F453&lt;&gt;"roll",$AG453="put"),-IF($AF453&gt;0,INDEX($AH$9:$AH$452,$AF453),0)*$AE453*$D453,0))))</f>
        <v/>
      </c>
      <c r="AP453" s="51" t="str">
        <f>IF($A453="","",IFERROR(LOOKUP(2,1/($B$9:$B$452=$B453),$AP$9:$AP452),0)+IF($F453="sell_put",$AE453*$D453,IF(AND(OR($F453="buy_to_close",$F453="expire",$F453="roll",$F453="assignment",$F453="called_away"),$F453&lt;&gt;"roll",$AG453="put"),-$AE453*$D453,0)))</f>
        <v/>
      </c>
      <c r="AQ453" s="51" t="str">
        <f>IF($A453="","",IFERROR(LOOKUP(2,1/($B$9:$B$452=$B453),$AQ$9:$AQ452),0)+IF(OR($F453="sell_put",$F453="sell_call"),$AE453,0)-IF(AND(OR($F453="buy_to_close",$F453="expire",$F453="roll",$F453="assignment",$F453="called_away"),$F453&lt;&gt;"roll"),$AE453,0))</f>
        <v/>
      </c>
      <c r="AR453" t="str">
        <f t="shared" si="115"/>
        <v/>
      </c>
      <c r="AS453" s="50" t="str">
        <f t="shared" si="116"/>
        <v/>
      </c>
      <c r="AT453" s="50" t="str">
        <f>IF($A453="","",MAX(IF($T453=IFERROR(LOOKUP(2,1/($B$9:$B$452=$B453),$T$9:$T452),0),IFERROR(LOOKUP(2,1/($B$9:$B$452=$B453),$AT$9:$AT452),0),0),$AS453))</f>
        <v/>
      </c>
      <c r="AU453" t="str">
        <f t="shared" si="117"/>
        <v/>
      </c>
      <c r="AV453" s="51">
        <f>IF($AU453="",0,IF(AND(IFERROR(LOOKUP(2,1/($B$9:$B$452=$B453),$AR$9:$AR452),1),NOT(AND(OR($F453="dividend",$F453="fee"),IFERROR(LOOKUP(2,1/($B$9:$B$452=$B453),$T$9:$T452),0)&gt;0))),ROW(),0))</f>
        <v>0</v>
      </c>
      <c r="AW453">
        <f>IF($A453="",0,IF($AV453&gt;0,MAX($AW$9:$AW$452)+1,MAX($AW$9:$AW$452)))</f>
        <v>0</v>
      </c>
      <c r="AX453">
        <f>IF($AU453="",0,IF(AND($AR453,OR(NOT(IFERROR(LOOKUP(2,1/($B$9:$B$452=$B453),$AR$9:$AR452),1)),IFERROR(LOOKUP(2,1/($B$9:$B$452=$B453),$T$9:$T452),0)=0)),ROW(),0))</f>
        <v>0</v>
      </c>
      <c r="AY453" t="str">
        <f t="shared" si="118"/>
        <v/>
      </c>
    </row>
    <row r="454" spans="1:51" ht="15" x14ac:dyDescent="0.25">
      <c r="A454" s="52" t="str">
        <f>IF(Trades!$A454="","",Trades!O454)</f>
        <v/>
      </c>
      <c r="B454" s="52" t="str">
        <f>IF(Trades!$A454="","",Trades!B454)</f>
        <v/>
      </c>
      <c r="C454" s="52" t="str">
        <f>IF(Trades!$A454="","",Trades!C454)</f>
        <v/>
      </c>
      <c r="D454" s="53" t="str">
        <f>IF(Trades!$A454="","",IF(Trades!$L454&gt;0,Trades!$L454,Trades!$C$6))</f>
        <v/>
      </c>
      <c r="E454" s="54" t="str">
        <f>IF(Trades!$A454="","",Trades!A454)</f>
        <v/>
      </c>
      <c r="F454" s="52" t="str">
        <f>IF(Trades!$A454="","",IFERROR(INDEX(Trades!$V$2:$V$14,MATCH(Trades!$E454,Trades!$U$2:$U$14,0)),""))</f>
        <v/>
      </c>
      <c r="G454" s="52" t="str">
        <f>IF(Trades!$A454="","",Trades!N454)</f>
        <v/>
      </c>
      <c r="H454" s="53" t="str">
        <f>IF(Trades!$A454="","",Trades!F454)</f>
        <v/>
      </c>
      <c r="I454" s="55" t="str">
        <f>IF(Trades!$A454="","",Trades!G454)</f>
        <v/>
      </c>
      <c r="J454" s="55" t="str">
        <f>IF(Trades!$A454="","",Trades!I454)</f>
        <v/>
      </c>
      <c r="K454" s="55" t="str">
        <f>IF(Trades!$A454="","",Trades!Q454)</f>
        <v/>
      </c>
      <c r="L454" s="53" t="str">
        <f>IF(Trades!$A454="","",Trades!F454)</f>
        <v/>
      </c>
      <c r="M454" s="55" t="str">
        <f>IF(Trades!$A454="","",Trades!M454)</f>
        <v/>
      </c>
      <c r="N454" s="55" t="str">
        <f>IF(Trades!$A454="","",Trades!R454)</f>
        <v/>
      </c>
      <c r="O454" s="55" t="str">
        <f>IF(Trades!$A454="","",Trades!J454)</f>
        <v/>
      </c>
      <c r="P454" s="54" t="str">
        <f>IF(Trades!$A454="","",Trades!H454)</f>
        <v/>
      </c>
      <c r="Q454" s="52" t="str">
        <f>IF(Trades!$A454="","",Trades!P454)</f>
        <v/>
      </c>
      <c r="R454" s="56" t="str">
        <f t="shared" si="102"/>
        <v/>
      </c>
      <c r="S454" s="56" t="str">
        <f t="shared" si="103"/>
        <v/>
      </c>
      <c r="T454" s="57" t="str">
        <f>IF(OR($A454="",$B454=""),"",IF(AND(IFERROR(LOOKUP(2,1/($B$9:$B$453=$B454),$AR$9:$AR453),1),NOT(AND(OR($F454="dividend",$F454="fee"),IFERROR(LOOKUP(2,1/($B$9:$B$453=$B454),$T$9:$T453),0)&gt;0))),IFERROR(LOOKUP(2,1/($B$9:$B$453=$B454),$T$9:$T453),0)+1,IFERROR(LOOKUP(2,1/($B$9:$B$453=$B454),$T$9:$T453),0)))</f>
        <v/>
      </c>
      <c r="U454" s="58" t="str">
        <f t="shared" si="104"/>
        <v/>
      </c>
      <c r="V454" s="58" t="str">
        <f>IF($A454="","",IF(OR($B454="",$C454="",$D454="",$E454="",$F454=""),"Missing required field",IF(COUNTIFS($A$9:$A454,$A454,$B$9:$B454,$B454)&gt;1,"Duplicate event ID",IF(AND($E454&lt;&gt;IFERROR(LOOKUP(2,1/($B$9:$B$453=$B454),$E$9:$E453),0),IFERROR(LOOKUP(2,1/($B$9:$B$453=$B454),$E$9:$E453),0)&gt;$E454),"Date out of order",IF(AND(OR($F454="buy_to_close",$F454="expire",$F454="roll",$F454="assignment",$F454="called_away"),$AF454=0),"Unknown lot",IF(OR(AND($F454="assignment",$AF454&gt;0,IF($AF454&gt;0,INDEX($AG$9:$AG$453,$AF454),"")&lt;&gt;"put"),AND($F454="called_away",$AF454&gt;0,IF($AF454&gt;0,INDEX($AG$9:$AG$453,$AF454),"")&lt;&gt;"call")),"Wrong option leg",IF(OR(AND(OR($F454="sell_put",$F454="sell_call"),OR($H454&lt;=0,$I454&lt;=0,$J454&lt;0)),AND(OR($F454="buy_to_close",$F454="expire",$F454="assignment",$F454="called_away"),OR($H454&lt;=0,$J454&lt;0)),AND($F454="roll",OR($H454&lt;=0,$I454&lt;=0,$J454&lt;0,$K454&lt;0)),AND(OR($F454="buy_shares",$F454="sell_shares"),OR($L454&lt;=0,$M454&lt;0)),AND(OR($F454="dividend",$F454="fee"),$N454&lt;0)),"Invalid value",IF(AND(OR($F454="sell_shares",$F454="called_away"),$AL454&lt;IF($F454="called_away",$AE454*$D454,$L454)),"Insufficient shares (capped)",IF(AND(OR($F454="buy_to_close",$F454="expire",$F454="roll",$F454="assignment",$F454="called_away"),$AF454&gt;0,$H454&gt;IF($AF454&gt;0,MAX(0,INDEX($AI$9:$AI$453,$AF454)-SUMIFS($AE$9:$AE$453,$G$9:$G$453,$G454,$B$9:$B$453,$B454)),0)),"Close quantity capped","OK")))))))))</f>
        <v/>
      </c>
      <c r="W454" s="59" t="str">
        <f t="shared" si="105"/>
        <v/>
      </c>
      <c r="X454" s="60" t="str">
        <f t="shared" si="106"/>
        <v/>
      </c>
      <c r="Y454" s="50" t="str">
        <f t="shared" si="107"/>
        <v/>
      </c>
      <c r="Z454" s="50" t="str">
        <f t="shared" si="108"/>
        <v/>
      </c>
      <c r="AA454" s="50" t="str">
        <f t="shared" si="109"/>
        <v/>
      </c>
      <c r="AB454" s="50" t="str">
        <f t="shared" si="110"/>
        <v/>
      </c>
      <c r="AC454" s="50" t="str">
        <f>IF($A454="","",IF($F454="assignment",IF($AF454&gt;0,INDEX($AH$9:$AH$453,$AF454),0)*$AE454*$D454,IF($F454="buy_shares",$M454*$AL454,0)))</f>
        <v/>
      </c>
      <c r="AD454" s="50" t="str">
        <f>IF($A454="","",IF($F454="called_away",IF($AF454&gt;0,INDEX($AH$9:$AH$453,$AF454),0)*$AL454,IF($F454="sell_shares",$M454*$AL454,0)))</f>
        <v/>
      </c>
      <c r="AE454" s="51" t="str">
        <f>IF($A454="","",IF(OR($F454="sell_put",$F454="sell_call"),IF(AND($H454&gt;0,$I454&gt;0,$J454&gt;=0),$H454,0),IF(OR($F454="buy_to_close",$F454="expire",$F454="roll",$F454="assignment",$F454="called_away"),IF(AND($AF454&gt;0,$H454&gt;0,IF($F454="assignment",IF($AF454&gt;0,INDEX($AG$9:$AG$453,$AF454),"")="put",TRUE),IF($F454="called_away",IF($AF454&gt;0,INDEX($AG$9:$AG$453,$AF454),"")="call",TRUE)),MIN($H454,IF($AF454&gt;0,MAX(0,INDEX($AI$9:$AI$453,$AF454)-SUMIFS($AE$9:$AE$453,$G$9:$G$453,$G454,$B$9:$B$453,$B454)),0)),0),0)))</f>
        <v/>
      </c>
      <c r="AF454" t="str">
        <f>IF($A454="","",IFERROR(MATCH(LEN($B454)&amp;":"&amp;$B454&amp;$G454,$AY$9:$AY$453,0),0))</f>
        <v/>
      </c>
      <c r="AG454" t="str">
        <f>IF($A454="","",IF($F454="sell_put","put",IF($F454="sell_call","call",IF($F454="roll",IF($AF454&gt;0,IF($AF454&gt;0,INDEX($AG$9:$AG$453,$AF454),""),""),IF($AF454&gt;0,IF($AF454&gt;0,INDEX($AG$9:$AG$453,$AF454),""),"")))))</f>
        <v/>
      </c>
      <c r="AH454" t="str">
        <f>IF($A454="","",IF(OR($F454="sell_put",$F454="sell_call",$F454="roll"),$I454,IF($AF454&gt;0,IF($AF454&gt;0,INDEX($AH$9:$AH$453,$AF454),0),0)))</f>
        <v/>
      </c>
      <c r="AI454" s="51" t="str">
        <f t="shared" si="111"/>
        <v/>
      </c>
      <c r="AJ454" s="51" t="str">
        <f>IF($A454="","",IFERROR(LOOKUP(2,1/($B$9:$B$453=$B454),$AM$9:$AM453),0))</f>
        <v/>
      </c>
      <c r="AK454" t="str">
        <f>IF($A454="","",IFERROR(LOOKUP(2,1/($B$9:$B$453=$B454),$AN$9:$AN453),0))</f>
        <v/>
      </c>
      <c r="AL454" s="51" t="str">
        <f t="shared" si="112"/>
        <v/>
      </c>
      <c r="AM454" s="51" t="str">
        <f t="shared" si="113"/>
        <v/>
      </c>
      <c r="AN454" t="str">
        <f t="shared" si="114"/>
        <v/>
      </c>
      <c r="AO454" s="50" t="str">
        <f>IF($A454="","",IFERROR(LOOKUP(2,1/($B$9:$B$453=$B454),$AO$9:$AO453),0)+IF($F454="sell_put",$I454*$AE454*$D454,IF($F454="roll",IF($AG454="put",($I454-IF($AF454&gt;0,INDEX($AH$9:$AH$453,$AF454),0))*$AE454*$D454,0),IF(AND(OR($F454="buy_to_close",$F454="expire",$F454="roll",$F454="assignment",$F454="called_away"),$F454&lt;&gt;"roll",$AG454="put"),-IF($AF454&gt;0,INDEX($AH$9:$AH$453,$AF454),0)*$AE454*$D454,0))))</f>
        <v/>
      </c>
      <c r="AP454" s="51" t="str">
        <f>IF($A454="","",IFERROR(LOOKUP(2,1/($B$9:$B$453=$B454),$AP$9:$AP453),0)+IF($F454="sell_put",$AE454*$D454,IF(AND(OR($F454="buy_to_close",$F454="expire",$F454="roll",$F454="assignment",$F454="called_away"),$F454&lt;&gt;"roll",$AG454="put"),-$AE454*$D454,0)))</f>
        <v/>
      </c>
      <c r="AQ454" s="51" t="str">
        <f>IF($A454="","",IFERROR(LOOKUP(2,1/($B$9:$B$453=$B454),$AQ$9:$AQ453),0)+IF(OR($F454="sell_put",$F454="sell_call"),$AE454,0)-IF(AND(OR($F454="buy_to_close",$F454="expire",$F454="roll",$F454="assignment",$F454="called_away"),$F454&lt;&gt;"roll"),$AE454,0))</f>
        <v/>
      </c>
      <c r="AR454" t="str">
        <f t="shared" si="115"/>
        <v/>
      </c>
      <c r="AS454" s="50" t="str">
        <f t="shared" si="116"/>
        <v/>
      </c>
      <c r="AT454" s="50" t="str">
        <f>IF($A454="","",MAX(IF($T454=IFERROR(LOOKUP(2,1/($B$9:$B$453=$B454),$T$9:$T453),0),IFERROR(LOOKUP(2,1/($B$9:$B$453=$B454),$AT$9:$AT453),0),0),$AS454))</f>
        <v/>
      </c>
      <c r="AU454" t="str">
        <f t="shared" si="117"/>
        <v/>
      </c>
      <c r="AV454" s="51">
        <f>IF($AU454="",0,IF(AND(IFERROR(LOOKUP(2,1/($B$9:$B$453=$B454),$AR$9:$AR453),1),NOT(AND(OR($F454="dividend",$F454="fee"),IFERROR(LOOKUP(2,1/($B$9:$B$453=$B454),$T$9:$T453),0)&gt;0))),ROW(),0))</f>
        <v>0</v>
      </c>
      <c r="AW454">
        <f>IF($A454="",0,IF($AV454&gt;0,MAX($AW$9:$AW$453)+1,MAX($AW$9:$AW$453)))</f>
        <v>0</v>
      </c>
      <c r="AX454">
        <f>IF($AU454="",0,IF(AND($AR454,OR(NOT(IFERROR(LOOKUP(2,1/($B$9:$B$453=$B454),$AR$9:$AR453),1)),IFERROR(LOOKUP(2,1/($B$9:$B$453=$B454),$T$9:$T453),0)=0)),ROW(),0))</f>
        <v>0</v>
      </c>
      <c r="AY454" t="str">
        <f t="shared" si="118"/>
        <v/>
      </c>
    </row>
    <row r="455" spans="1:51" ht="15" x14ac:dyDescent="0.25">
      <c r="A455" s="41" t="str">
        <f>IF(Trades!$A455="","",Trades!O455)</f>
        <v/>
      </c>
      <c r="B455" s="41" t="str">
        <f>IF(Trades!$A455="","",Trades!B455)</f>
        <v/>
      </c>
      <c r="C455" s="41" t="str">
        <f>IF(Trades!$A455="","",Trades!C455)</f>
        <v/>
      </c>
      <c r="D455" s="42" t="str">
        <f>IF(Trades!$A455="","",IF(Trades!$L455&gt;0,Trades!$L455,Trades!$C$6))</f>
        <v/>
      </c>
      <c r="E455" s="43" t="str">
        <f>IF(Trades!$A455="","",Trades!A455)</f>
        <v/>
      </c>
      <c r="F455" s="41" t="str">
        <f>IF(Trades!$A455="","",IFERROR(INDEX(Trades!$V$2:$V$14,MATCH(Trades!$E455,Trades!$U$2:$U$14,0)),""))</f>
        <v/>
      </c>
      <c r="G455" s="41" t="str">
        <f>IF(Trades!$A455="","",Trades!N455)</f>
        <v/>
      </c>
      <c r="H455" s="42" t="str">
        <f>IF(Trades!$A455="","",Trades!F455)</f>
        <v/>
      </c>
      <c r="I455" s="44" t="str">
        <f>IF(Trades!$A455="","",Trades!G455)</f>
        <v/>
      </c>
      <c r="J455" s="44" t="str">
        <f>IF(Trades!$A455="","",Trades!I455)</f>
        <v/>
      </c>
      <c r="K455" s="44" t="str">
        <f>IF(Trades!$A455="","",Trades!Q455)</f>
        <v/>
      </c>
      <c r="L455" s="42" t="str">
        <f>IF(Trades!$A455="","",Trades!F455)</f>
        <v/>
      </c>
      <c r="M455" s="44" t="str">
        <f>IF(Trades!$A455="","",Trades!M455)</f>
        <v/>
      </c>
      <c r="N455" s="44" t="str">
        <f>IF(Trades!$A455="","",Trades!R455)</f>
        <v/>
      </c>
      <c r="O455" s="44" t="str">
        <f>IF(Trades!$A455="","",Trades!J455)</f>
        <v/>
      </c>
      <c r="P455" s="43" t="str">
        <f>IF(Trades!$A455="","",Trades!H455)</f>
        <v/>
      </c>
      <c r="Q455" s="41" t="str">
        <f>IF(Trades!$A455="","",Trades!P455)</f>
        <v/>
      </c>
      <c r="R455" s="45" t="str">
        <f t="shared" si="102"/>
        <v/>
      </c>
      <c r="S455" s="45" t="str">
        <f t="shared" si="103"/>
        <v/>
      </c>
      <c r="T455" s="46" t="str">
        <f>IF(OR($A455="",$B455=""),"",IF(AND(IFERROR(LOOKUP(2,1/($B$9:$B$454=$B455),$AR$9:$AR454),1),NOT(AND(OR($F455="dividend",$F455="fee"),IFERROR(LOOKUP(2,1/($B$9:$B$454=$B455),$T$9:$T454),0)&gt;0))),IFERROR(LOOKUP(2,1/($B$9:$B$454=$B455),$T$9:$T454),0)+1,IFERROR(LOOKUP(2,1/($B$9:$B$454=$B455),$T$9:$T454),0)))</f>
        <v/>
      </c>
      <c r="U455" s="47" t="str">
        <f t="shared" si="104"/>
        <v/>
      </c>
      <c r="V455" s="47" t="str">
        <f>IF($A455="","",IF(OR($B455="",$C455="",$D455="",$E455="",$F455=""),"Missing required field",IF(COUNTIFS($A$9:$A455,$A455,$B$9:$B455,$B455)&gt;1,"Duplicate event ID",IF(AND($E455&lt;&gt;IFERROR(LOOKUP(2,1/($B$9:$B$454=$B455),$E$9:$E454),0),IFERROR(LOOKUP(2,1/($B$9:$B$454=$B455),$E$9:$E454),0)&gt;$E455),"Date out of order",IF(AND(OR($F455="buy_to_close",$F455="expire",$F455="roll",$F455="assignment",$F455="called_away"),$AF455=0),"Unknown lot",IF(OR(AND($F455="assignment",$AF455&gt;0,IF($AF455&gt;0,INDEX($AG$9:$AG$454,$AF455),"")&lt;&gt;"put"),AND($F455="called_away",$AF455&gt;0,IF($AF455&gt;0,INDEX($AG$9:$AG$454,$AF455),"")&lt;&gt;"call")),"Wrong option leg",IF(OR(AND(OR($F455="sell_put",$F455="sell_call"),OR($H455&lt;=0,$I455&lt;=0,$J455&lt;0)),AND(OR($F455="buy_to_close",$F455="expire",$F455="assignment",$F455="called_away"),OR($H455&lt;=0,$J455&lt;0)),AND($F455="roll",OR($H455&lt;=0,$I455&lt;=0,$J455&lt;0,$K455&lt;0)),AND(OR($F455="buy_shares",$F455="sell_shares"),OR($L455&lt;=0,$M455&lt;0)),AND(OR($F455="dividend",$F455="fee"),$N455&lt;0)),"Invalid value",IF(AND(OR($F455="sell_shares",$F455="called_away"),$AL455&lt;IF($F455="called_away",$AE455*$D455,$L455)),"Insufficient shares (capped)",IF(AND(OR($F455="buy_to_close",$F455="expire",$F455="roll",$F455="assignment",$F455="called_away"),$AF455&gt;0,$H455&gt;IF($AF455&gt;0,MAX(0,INDEX($AI$9:$AI$454,$AF455)-SUMIFS($AE$9:$AE$454,$G$9:$G$454,$G455,$B$9:$B$454,$B455)),0)),"Close quantity capped","OK")))))))))</f>
        <v/>
      </c>
      <c r="W455" s="48" t="str">
        <f t="shared" si="105"/>
        <v/>
      </c>
      <c r="X455" s="49" t="str">
        <f t="shared" si="106"/>
        <v/>
      </c>
      <c r="Y455" s="50" t="str">
        <f t="shared" si="107"/>
        <v/>
      </c>
      <c r="Z455" s="50" t="str">
        <f t="shared" si="108"/>
        <v/>
      </c>
      <c r="AA455" s="50" t="str">
        <f t="shared" si="109"/>
        <v/>
      </c>
      <c r="AB455" s="50" t="str">
        <f t="shared" si="110"/>
        <v/>
      </c>
      <c r="AC455" s="50" t="str">
        <f>IF($A455="","",IF($F455="assignment",IF($AF455&gt;0,INDEX($AH$9:$AH$454,$AF455),0)*$AE455*$D455,IF($F455="buy_shares",$M455*$AL455,0)))</f>
        <v/>
      </c>
      <c r="AD455" s="50" t="str">
        <f>IF($A455="","",IF($F455="called_away",IF($AF455&gt;0,INDEX($AH$9:$AH$454,$AF455),0)*$AL455,IF($F455="sell_shares",$M455*$AL455,0)))</f>
        <v/>
      </c>
      <c r="AE455" s="51" t="str">
        <f>IF($A455="","",IF(OR($F455="sell_put",$F455="sell_call"),IF(AND($H455&gt;0,$I455&gt;0,$J455&gt;=0),$H455,0),IF(OR($F455="buy_to_close",$F455="expire",$F455="roll",$F455="assignment",$F455="called_away"),IF(AND($AF455&gt;0,$H455&gt;0,IF($F455="assignment",IF($AF455&gt;0,INDEX($AG$9:$AG$454,$AF455),"")="put",TRUE),IF($F455="called_away",IF($AF455&gt;0,INDEX($AG$9:$AG$454,$AF455),"")="call",TRUE)),MIN($H455,IF($AF455&gt;0,MAX(0,INDEX($AI$9:$AI$454,$AF455)-SUMIFS($AE$9:$AE$454,$G$9:$G$454,$G455,$B$9:$B$454,$B455)),0)),0),0)))</f>
        <v/>
      </c>
      <c r="AF455" t="str">
        <f>IF($A455="","",IFERROR(MATCH(LEN($B455)&amp;":"&amp;$B455&amp;$G455,$AY$9:$AY$454,0),0))</f>
        <v/>
      </c>
      <c r="AG455" t="str">
        <f>IF($A455="","",IF($F455="sell_put","put",IF($F455="sell_call","call",IF($F455="roll",IF($AF455&gt;0,IF($AF455&gt;0,INDEX($AG$9:$AG$454,$AF455),""),""),IF($AF455&gt;0,IF($AF455&gt;0,INDEX($AG$9:$AG$454,$AF455),""),"")))))</f>
        <v/>
      </c>
      <c r="AH455" t="str">
        <f>IF($A455="","",IF(OR($F455="sell_put",$F455="sell_call",$F455="roll"),$I455,IF($AF455&gt;0,IF($AF455&gt;0,INDEX($AH$9:$AH$454,$AF455),0),0)))</f>
        <v/>
      </c>
      <c r="AI455" s="51" t="str">
        <f t="shared" si="111"/>
        <v/>
      </c>
      <c r="AJ455" s="51" t="str">
        <f>IF($A455="","",IFERROR(LOOKUP(2,1/($B$9:$B$454=$B455),$AM$9:$AM454),0))</f>
        <v/>
      </c>
      <c r="AK455" t="str">
        <f>IF($A455="","",IFERROR(LOOKUP(2,1/($B$9:$B$454=$B455),$AN$9:$AN454),0))</f>
        <v/>
      </c>
      <c r="AL455" s="51" t="str">
        <f t="shared" si="112"/>
        <v/>
      </c>
      <c r="AM455" s="51" t="str">
        <f t="shared" si="113"/>
        <v/>
      </c>
      <c r="AN455" t="str">
        <f t="shared" si="114"/>
        <v/>
      </c>
      <c r="AO455" s="50" t="str">
        <f>IF($A455="","",IFERROR(LOOKUP(2,1/($B$9:$B$454=$B455),$AO$9:$AO454),0)+IF($F455="sell_put",$I455*$AE455*$D455,IF($F455="roll",IF($AG455="put",($I455-IF($AF455&gt;0,INDEX($AH$9:$AH$454,$AF455),0))*$AE455*$D455,0),IF(AND(OR($F455="buy_to_close",$F455="expire",$F455="roll",$F455="assignment",$F455="called_away"),$F455&lt;&gt;"roll",$AG455="put"),-IF($AF455&gt;0,INDEX($AH$9:$AH$454,$AF455),0)*$AE455*$D455,0))))</f>
        <v/>
      </c>
      <c r="AP455" s="51" t="str">
        <f>IF($A455="","",IFERROR(LOOKUP(2,1/($B$9:$B$454=$B455),$AP$9:$AP454),0)+IF($F455="sell_put",$AE455*$D455,IF(AND(OR($F455="buy_to_close",$F455="expire",$F455="roll",$F455="assignment",$F455="called_away"),$F455&lt;&gt;"roll",$AG455="put"),-$AE455*$D455,0)))</f>
        <v/>
      </c>
      <c r="AQ455" s="51" t="str">
        <f>IF($A455="","",IFERROR(LOOKUP(2,1/($B$9:$B$454=$B455),$AQ$9:$AQ454),0)+IF(OR($F455="sell_put",$F455="sell_call"),$AE455,0)-IF(AND(OR($F455="buy_to_close",$F455="expire",$F455="roll",$F455="assignment",$F455="called_away"),$F455&lt;&gt;"roll"),$AE455,0))</f>
        <v/>
      </c>
      <c r="AR455" t="str">
        <f t="shared" si="115"/>
        <v/>
      </c>
      <c r="AS455" s="50" t="str">
        <f t="shared" si="116"/>
        <v/>
      </c>
      <c r="AT455" s="50" t="str">
        <f>IF($A455="","",MAX(IF($T455=IFERROR(LOOKUP(2,1/($B$9:$B$454=$B455),$T$9:$T454),0),IFERROR(LOOKUP(2,1/($B$9:$B$454=$B455),$AT$9:$AT454),0),0),$AS455))</f>
        <v/>
      </c>
      <c r="AU455" t="str">
        <f t="shared" si="117"/>
        <v/>
      </c>
      <c r="AV455" s="51">
        <f>IF($AU455="",0,IF(AND(IFERROR(LOOKUP(2,1/($B$9:$B$454=$B455),$AR$9:$AR454),1),NOT(AND(OR($F455="dividend",$F455="fee"),IFERROR(LOOKUP(2,1/($B$9:$B$454=$B455),$T$9:$T454),0)&gt;0))),ROW(),0))</f>
        <v>0</v>
      </c>
      <c r="AW455">
        <f>IF($A455="",0,IF($AV455&gt;0,MAX($AW$9:$AW$454)+1,MAX($AW$9:$AW$454)))</f>
        <v>0</v>
      </c>
      <c r="AX455">
        <f>IF($AU455="",0,IF(AND($AR455,OR(NOT(IFERROR(LOOKUP(2,1/($B$9:$B$454=$B455),$AR$9:$AR454),1)),IFERROR(LOOKUP(2,1/($B$9:$B$454=$B455),$T$9:$T454),0)=0)),ROW(),0))</f>
        <v>0</v>
      </c>
      <c r="AY455" t="str">
        <f t="shared" si="118"/>
        <v/>
      </c>
    </row>
    <row r="456" spans="1:51" ht="15" x14ac:dyDescent="0.25">
      <c r="A456" s="52" t="str">
        <f>IF(Trades!$A456="","",Trades!O456)</f>
        <v/>
      </c>
      <c r="B456" s="52" t="str">
        <f>IF(Trades!$A456="","",Trades!B456)</f>
        <v/>
      </c>
      <c r="C456" s="52" t="str">
        <f>IF(Trades!$A456="","",Trades!C456)</f>
        <v/>
      </c>
      <c r="D456" s="53" t="str">
        <f>IF(Trades!$A456="","",IF(Trades!$L456&gt;0,Trades!$L456,Trades!$C$6))</f>
        <v/>
      </c>
      <c r="E456" s="54" t="str">
        <f>IF(Trades!$A456="","",Trades!A456)</f>
        <v/>
      </c>
      <c r="F456" s="52" t="str">
        <f>IF(Trades!$A456="","",IFERROR(INDEX(Trades!$V$2:$V$14,MATCH(Trades!$E456,Trades!$U$2:$U$14,0)),""))</f>
        <v/>
      </c>
      <c r="G456" s="52" t="str">
        <f>IF(Trades!$A456="","",Trades!N456)</f>
        <v/>
      </c>
      <c r="H456" s="53" t="str">
        <f>IF(Trades!$A456="","",Trades!F456)</f>
        <v/>
      </c>
      <c r="I456" s="55" t="str">
        <f>IF(Trades!$A456="","",Trades!G456)</f>
        <v/>
      </c>
      <c r="J456" s="55" t="str">
        <f>IF(Trades!$A456="","",Trades!I456)</f>
        <v/>
      </c>
      <c r="K456" s="55" t="str">
        <f>IF(Trades!$A456="","",Trades!Q456)</f>
        <v/>
      </c>
      <c r="L456" s="53" t="str">
        <f>IF(Trades!$A456="","",Trades!F456)</f>
        <v/>
      </c>
      <c r="M456" s="55" t="str">
        <f>IF(Trades!$A456="","",Trades!M456)</f>
        <v/>
      </c>
      <c r="N456" s="55" t="str">
        <f>IF(Trades!$A456="","",Trades!R456)</f>
        <v/>
      </c>
      <c r="O456" s="55" t="str">
        <f>IF(Trades!$A456="","",Trades!J456)</f>
        <v/>
      </c>
      <c r="P456" s="54" t="str">
        <f>IF(Trades!$A456="","",Trades!H456)</f>
        <v/>
      </c>
      <c r="Q456" s="52" t="str">
        <f>IF(Trades!$A456="","",Trades!P456)</f>
        <v/>
      </c>
      <c r="R456" s="56" t="str">
        <f t="shared" si="102"/>
        <v/>
      </c>
      <c r="S456" s="56" t="str">
        <f t="shared" si="103"/>
        <v/>
      </c>
      <c r="T456" s="57" t="str">
        <f>IF(OR($A456="",$B456=""),"",IF(AND(IFERROR(LOOKUP(2,1/($B$9:$B$455=$B456),$AR$9:$AR455),1),NOT(AND(OR($F456="dividend",$F456="fee"),IFERROR(LOOKUP(2,1/($B$9:$B$455=$B456),$T$9:$T455),0)&gt;0))),IFERROR(LOOKUP(2,1/($B$9:$B$455=$B456),$T$9:$T455),0)+1,IFERROR(LOOKUP(2,1/($B$9:$B$455=$B456),$T$9:$T455),0)))</f>
        <v/>
      </c>
      <c r="U456" s="58" t="str">
        <f t="shared" si="104"/>
        <v/>
      </c>
      <c r="V456" s="58" t="str">
        <f>IF($A456="","",IF(OR($B456="",$C456="",$D456="",$E456="",$F456=""),"Missing required field",IF(COUNTIFS($A$9:$A456,$A456,$B$9:$B456,$B456)&gt;1,"Duplicate event ID",IF(AND($E456&lt;&gt;IFERROR(LOOKUP(2,1/($B$9:$B$455=$B456),$E$9:$E455),0),IFERROR(LOOKUP(2,1/($B$9:$B$455=$B456),$E$9:$E455),0)&gt;$E456),"Date out of order",IF(AND(OR($F456="buy_to_close",$F456="expire",$F456="roll",$F456="assignment",$F456="called_away"),$AF456=0),"Unknown lot",IF(OR(AND($F456="assignment",$AF456&gt;0,IF($AF456&gt;0,INDEX($AG$9:$AG$455,$AF456),"")&lt;&gt;"put"),AND($F456="called_away",$AF456&gt;0,IF($AF456&gt;0,INDEX($AG$9:$AG$455,$AF456),"")&lt;&gt;"call")),"Wrong option leg",IF(OR(AND(OR($F456="sell_put",$F456="sell_call"),OR($H456&lt;=0,$I456&lt;=0,$J456&lt;0)),AND(OR($F456="buy_to_close",$F456="expire",$F456="assignment",$F456="called_away"),OR($H456&lt;=0,$J456&lt;0)),AND($F456="roll",OR($H456&lt;=0,$I456&lt;=0,$J456&lt;0,$K456&lt;0)),AND(OR($F456="buy_shares",$F456="sell_shares"),OR($L456&lt;=0,$M456&lt;0)),AND(OR($F456="dividend",$F456="fee"),$N456&lt;0)),"Invalid value",IF(AND(OR($F456="sell_shares",$F456="called_away"),$AL456&lt;IF($F456="called_away",$AE456*$D456,$L456)),"Insufficient shares (capped)",IF(AND(OR($F456="buy_to_close",$F456="expire",$F456="roll",$F456="assignment",$F456="called_away"),$AF456&gt;0,$H456&gt;IF($AF456&gt;0,MAX(0,INDEX($AI$9:$AI$455,$AF456)-SUMIFS($AE$9:$AE$455,$G$9:$G$455,$G456,$B$9:$B$455,$B456)),0)),"Close quantity capped","OK")))))))))</f>
        <v/>
      </c>
      <c r="W456" s="59" t="str">
        <f t="shared" si="105"/>
        <v/>
      </c>
      <c r="X456" s="60" t="str">
        <f t="shared" si="106"/>
        <v/>
      </c>
      <c r="Y456" s="50" t="str">
        <f t="shared" si="107"/>
        <v/>
      </c>
      <c r="Z456" s="50" t="str">
        <f t="shared" si="108"/>
        <v/>
      </c>
      <c r="AA456" s="50" t="str">
        <f t="shared" si="109"/>
        <v/>
      </c>
      <c r="AB456" s="50" t="str">
        <f t="shared" si="110"/>
        <v/>
      </c>
      <c r="AC456" s="50" t="str">
        <f>IF($A456="","",IF($F456="assignment",IF($AF456&gt;0,INDEX($AH$9:$AH$455,$AF456),0)*$AE456*$D456,IF($F456="buy_shares",$M456*$AL456,0)))</f>
        <v/>
      </c>
      <c r="AD456" s="50" t="str">
        <f>IF($A456="","",IF($F456="called_away",IF($AF456&gt;0,INDEX($AH$9:$AH$455,$AF456),0)*$AL456,IF($F456="sell_shares",$M456*$AL456,0)))</f>
        <v/>
      </c>
      <c r="AE456" s="51" t="str">
        <f>IF($A456="","",IF(OR($F456="sell_put",$F456="sell_call"),IF(AND($H456&gt;0,$I456&gt;0,$J456&gt;=0),$H456,0),IF(OR($F456="buy_to_close",$F456="expire",$F456="roll",$F456="assignment",$F456="called_away"),IF(AND($AF456&gt;0,$H456&gt;0,IF($F456="assignment",IF($AF456&gt;0,INDEX($AG$9:$AG$455,$AF456),"")="put",TRUE),IF($F456="called_away",IF($AF456&gt;0,INDEX($AG$9:$AG$455,$AF456),"")="call",TRUE)),MIN($H456,IF($AF456&gt;0,MAX(0,INDEX($AI$9:$AI$455,$AF456)-SUMIFS($AE$9:$AE$455,$G$9:$G$455,$G456,$B$9:$B$455,$B456)),0)),0),0)))</f>
        <v/>
      </c>
      <c r="AF456" t="str">
        <f>IF($A456="","",IFERROR(MATCH(LEN($B456)&amp;":"&amp;$B456&amp;$G456,$AY$9:$AY$455,0),0))</f>
        <v/>
      </c>
      <c r="AG456" t="str">
        <f>IF($A456="","",IF($F456="sell_put","put",IF($F456="sell_call","call",IF($F456="roll",IF($AF456&gt;0,IF($AF456&gt;0,INDEX($AG$9:$AG$455,$AF456),""),""),IF($AF456&gt;0,IF($AF456&gt;0,INDEX($AG$9:$AG$455,$AF456),""),"")))))</f>
        <v/>
      </c>
      <c r="AH456" t="str">
        <f>IF($A456="","",IF(OR($F456="sell_put",$F456="sell_call",$F456="roll"),$I456,IF($AF456&gt;0,IF($AF456&gt;0,INDEX($AH$9:$AH$455,$AF456),0),0)))</f>
        <v/>
      </c>
      <c r="AI456" s="51" t="str">
        <f t="shared" si="111"/>
        <v/>
      </c>
      <c r="AJ456" s="51" t="str">
        <f>IF($A456="","",IFERROR(LOOKUP(2,1/($B$9:$B$455=$B456),$AM$9:$AM455),0))</f>
        <v/>
      </c>
      <c r="AK456" t="str">
        <f>IF($A456="","",IFERROR(LOOKUP(2,1/($B$9:$B$455=$B456),$AN$9:$AN455),0))</f>
        <v/>
      </c>
      <c r="AL456" s="51" t="str">
        <f t="shared" si="112"/>
        <v/>
      </c>
      <c r="AM456" s="51" t="str">
        <f t="shared" si="113"/>
        <v/>
      </c>
      <c r="AN456" t="str">
        <f t="shared" si="114"/>
        <v/>
      </c>
      <c r="AO456" s="50" t="str">
        <f>IF($A456="","",IFERROR(LOOKUP(2,1/($B$9:$B$455=$B456),$AO$9:$AO455),0)+IF($F456="sell_put",$I456*$AE456*$D456,IF($F456="roll",IF($AG456="put",($I456-IF($AF456&gt;0,INDEX($AH$9:$AH$455,$AF456),0))*$AE456*$D456,0),IF(AND(OR($F456="buy_to_close",$F456="expire",$F456="roll",$F456="assignment",$F456="called_away"),$F456&lt;&gt;"roll",$AG456="put"),-IF($AF456&gt;0,INDEX($AH$9:$AH$455,$AF456),0)*$AE456*$D456,0))))</f>
        <v/>
      </c>
      <c r="AP456" s="51" t="str">
        <f>IF($A456="","",IFERROR(LOOKUP(2,1/($B$9:$B$455=$B456),$AP$9:$AP455),0)+IF($F456="sell_put",$AE456*$D456,IF(AND(OR($F456="buy_to_close",$F456="expire",$F456="roll",$F456="assignment",$F456="called_away"),$F456&lt;&gt;"roll",$AG456="put"),-$AE456*$D456,0)))</f>
        <v/>
      </c>
      <c r="AQ456" s="51" t="str">
        <f>IF($A456="","",IFERROR(LOOKUP(2,1/($B$9:$B$455=$B456),$AQ$9:$AQ455),0)+IF(OR($F456="sell_put",$F456="sell_call"),$AE456,0)-IF(AND(OR($F456="buy_to_close",$F456="expire",$F456="roll",$F456="assignment",$F456="called_away"),$F456&lt;&gt;"roll"),$AE456,0))</f>
        <v/>
      </c>
      <c r="AR456" t="str">
        <f t="shared" si="115"/>
        <v/>
      </c>
      <c r="AS456" s="50" t="str">
        <f t="shared" si="116"/>
        <v/>
      </c>
      <c r="AT456" s="50" t="str">
        <f>IF($A456="","",MAX(IF($T456=IFERROR(LOOKUP(2,1/($B$9:$B$455=$B456),$T$9:$T455),0),IFERROR(LOOKUP(2,1/($B$9:$B$455=$B456),$AT$9:$AT455),0),0),$AS456))</f>
        <v/>
      </c>
      <c r="AU456" t="str">
        <f t="shared" si="117"/>
        <v/>
      </c>
      <c r="AV456" s="51">
        <f>IF($AU456="",0,IF(AND(IFERROR(LOOKUP(2,1/($B$9:$B$455=$B456),$AR$9:$AR455),1),NOT(AND(OR($F456="dividend",$F456="fee"),IFERROR(LOOKUP(2,1/($B$9:$B$455=$B456),$T$9:$T455),0)&gt;0))),ROW(),0))</f>
        <v>0</v>
      </c>
      <c r="AW456">
        <f>IF($A456="",0,IF($AV456&gt;0,MAX($AW$9:$AW$455)+1,MAX($AW$9:$AW$455)))</f>
        <v>0</v>
      </c>
      <c r="AX456">
        <f>IF($AU456="",0,IF(AND($AR456,OR(NOT(IFERROR(LOOKUP(2,1/($B$9:$B$455=$B456),$AR$9:$AR455),1)),IFERROR(LOOKUP(2,1/($B$9:$B$455=$B456),$T$9:$T455),0)=0)),ROW(),0))</f>
        <v>0</v>
      </c>
      <c r="AY456" t="str">
        <f t="shared" si="118"/>
        <v/>
      </c>
    </row>
    <row r="457" spans="1:51" ht="15" x14ac:dyDescent="0.25">
      <c r="A457" s="41" t="str">
        <f>IF(Trades!$A457="","",Trades!O457)</f>
        <v/>
      </c>
      <c r="B457" s="41" t="str">
        <f>IF(Trades!$A457="","",Trades!B457)</f>
        <v/>
      </c>
      <c r="C457" s="41" t="str">
        <f>IF(Trades!$A457="","",Trades!C457)</f>
        <v/>
      </c>
      <c r="D457" s="42" t="str">
        <f>IF(Trades!$A457="","",IF(Trades!$L457&gt;0,Trades!$L457,Trades!$C$6))</f>
        <v/>
      </c>
      <c r="E457" s="43" t="str">
        <f>IF(Trades!$A457="","",Trades!A457)</f>
        <v/>
      </c>
      <c r="F457" s="41" t="str">
        <f>IF(Trades!$A457="","",IFERROR(INDEX(Trades!$V$2:$V$14,MATCH(Trades!$E457,Trades!$U$2:$U$14,0)),""))</f>
        <v/>
      </c>
      <c r="G457" s="41" t="str">
        <f>IF(Trades!$A457="","",Trades!N457)</f>
        <v/>
      </c>
      <c r="H457" s="42" t="str">
        <f>IF(Trades!$A457="","",Trades!F457)</f>
        <v/>
      </c>
      <c r="I457" s="44" t="str">
        <f>IF(Trades!$A457="","",Trades!G457)</f>
        <v/>
      </c>
      <c r="J457" s="44" t="str">
        <f>IF(Trades!$A457="","",Trades!I457)</f>
        <v/>
      </c>
      <c r="K457" s="44" t="str">
        <f>IF(Trades!$A457="","",Trades!Q457)</f>
        <v/>
      </c>
      <c r="L457" s="42" t="str">
        <f>IF(Trades!$A457="","",Trades!F457)</f>
        <v/>
      </c>
      <c r="M457" s="44" t="str">
        <f>IF(Trades!$A457="","",Trades!M457)</f>
        <v/>
      </c>
      <c r="N457" s="44" t="str">
        <f>IF(Trades!$A457="","",Trades!R457)</f>
        <v/>
      </c>
      <c r="O457" s="44" t="str">
        <f>IF(Trades!$A457="","",Trades!J457)</f>
        <v/>
      </c>
      <c r="P457" s="43" t="str">
        <f>IF(Trades!$A457="","",Trades!H457)</f>
        <v/>
      </c>
      <c r="Q457" s="41" t="str">
        <f>IF(Trades!$A457="","",Trades!P457)</f>
        <v/>
      </c>
      <c r="R457" s="45" t="str">
        <f t="shared" ref="R457:R508" si="119">IF($A457="","",$Y457-$Z457)</f>
        <v/>
      </c>
      <c r="S457" s="45" t="str">
        <f t="shared" ref="S457:S508" si="120">IF($A457="","",$R457+$AA457-$AB457-$AC457+$AD457)</f>
        <v/>
      </c>
      <c r="T457" s="46" t="str">
        <f>IF(OR($A457="",$B457=""),"",IF(AND(IFERROR(LOOKUP(2,1/($B$9:$B$456=$B457),$AR$9:$AR456),1),NOT(AND(OR($F457="dividend",$F457="fee"),IFERROR(LOOKUP(2,1/($B$9:$B$456=$B457),$T$9:$T456),0)&gt;0))),IFERROR(LOOKUP(2,1/($B$9:$B$456=$B457),$T$9:$T456),0)+1,IFERROR(LOOKUP(2,1/($B$9:$B$456=$B457),$T$9:$T456),0)))</f>
        <v/>
      </c>
      <c r="U457" s="47" t="str">
        <f t="shared" ref="U457:U508" si="121">IF($A457="","",IF($AR457,"Flat / cycle closed",IF($AM457&gt;0,"Shares held","Short option open")))</f>
        <v/>
      </c>
      <c r="V457" s="47" t="str">
        <f>IF($A457="","",IF(OR($B457="",$C457="",$D457="",$E457="",$F457=""),"Missing required field",IF(COUNTIFS($A$9:$A457,$A457,$B$9:$B457,$B457)&gt;1,"Duplicate event ID",IF(AND($E457&lt;&gt;IFERROR(LOOKUP(2,1/($B$9:$B$456=$B457),$E$9:$E456),0),IFERROR(LOOKUP(2,1/($B$9:$B$456=$B457),$E$9:$E456),0)&gt;$E457),"Date out of order",IF(AND(OR($F457="buy_to_close",$F457="expire",$F457="roll",$F457="assignment",$F457="called_away"),$AF457=0),"Unknown lot",IF(OR(AND($F457="assignment",$AF457&gt;0,IF($AF457&gt;0,INDEX($AG$9:$AG$456,$AF457),"")&lt;&gt;"put"),AND($F457="called_away",$AF457&gt;0,IF($AF457&gt;0,INDEX($AG$9:$AG$456,$AF457),"")&lt;&gt;"call")),"Wrong option leg",IF(OR(AND(OR($F457="sell_put",$F457="sell_call"),OR($H457&lt;=0,$I457&lt;=0,$J457&lt;0)),AND(OR($F457="buy_to_close",$F457="expire",$F457="assignment",$F457="called_away"),OR($H457&lt;=0,$J457&lt;0)),AND($F457="roll",OR($H457&lt;=0,$I457&lt;=0,$J457&lt;0,$K457&lt;0)),AND(OR($F457="buy_shares",$F457="sell_shares"),OR($L457&lt;=0,$M457&lt;0)),AND(OR($F457="dividend",$F457="fee"),$N457&lt;0)),"Invalid value",IF(AND(OR($F457="sell_shares",$F457="called_away"),$AL457&lt;IF($F457="called_away",$AE457*$D457,$L457)),"Insufficient shares (capped)",IF(AND(OR($F457="buy_to_close",$F457="expire",$F457="roll",$F457="assignment",$F457="called_away"),$AF457&gt;0,$H457&gt;IF($AF457&gt;0,MAX(0,INDEX($AI$9:$AI$456,$AF457)-SUMIFS($AE$9:$AE$456,$G$9:$G$456,$G457,$B$9:$B$456,$B457)),0)),"Close quantity capped","OK")))))))))</f>
        <v/>
      </c>
      <c r="W457" s="48" t="str">
        <f t="shared" ref="W457:W508" si="122">IF($A457="","",$AM457)</f>
        <v/>
      </c>
      <c r="X457" s="49" t="str">
        <f t="shared" ref="X457:X508" si="123">IF($A457="","",$AS457)</f>
        <v/>
      </c>
      <c r="Y457" s="50" t="str">
        <f t="shared" ref="Y457:Y508" si="124">IF($A457="","",IF(OR($F457="sell_put",$F457="sell_call"),$J457*$AE457*$D457,IF($F457="roll",$J457*$AE457*$D457,0)))</f>
        <v/>
      </c>
      <c r="Z457" s="50" t="str">
        <f t="shared" ref="Z457:Z508" si="125">IF($A457="","",IF($F457="buy_to_close",$J457*$AE457*$D457,IF($F457="roll",$K457*$AE457*$D457,0)))</f>
        <v/>
      </c>
      <c r="AA457" s="50" t="str">
        <f t="shared" ref="AA457:AA508" si="126">IF($A457="","",IF(AND($F457="dividend",$N457&gt;=0),$N457,0))</f>
        <v/>
      </c>
      <c r="AB457" s="50" t="str">
        <f t="shared" ref="AB457:AB508" si="127">IF($A457="","",IF($O457&gt;=0,$O457,0)+IF(AND($F457="fee",$N457&gt;=0),$N457,0))</f>
        <v/>
      </c>
      <c r="AC457" s="50" t="str">
        <f>IF($A457="","",IF($F457="assignment",IF($AF457&gt;0,INDEX($AH$9:$AH$456,$AF457),0)*$AE457*$D457,IF($F457="buy_shares",$M457*$AL457,0)))</f>
        <v/>
      </c>
      <c r="AD457" s="50" t="str">
        <f>IF($A457="","",IF($F457="called_away",IF($AF457&gt;0,INDEX($AH$9:$AH$456,$AF457),0)*$AL457,IF($F457="sell_shares",$M457*$AL457,0)))</f>
        <v/>
      </c>
      <c r="AE457" s="51" t="str">
        <f>IF($A457="","",IF(OR($F457="sell_put",$F457="sell_call"),IF(AND($H457&gt;0,$I457&gt;0,$J457&gt;=0),$H457,0),IF(OR($F457="buy_to_close",$F457="expire",$F457="roll",$F457="assignment",$F457="called_away"),IF(AND($AF457&gt;0,$H457&gt;0,IF($F457="assignment",IF($AF457&gt;0,INDEX($AG$9:$AG$456,$AF457),"")="put",TRUE),IF($F457="called_away",IF($AF457&gt;0,INDEX($AG$9:$AG$456,$AF457),"")="call",TRUE)),MIN($H457,IF($AF457&gt;0,MAX(0,INDEX($AI$9:$AI$456,$AF457)-SUMIFS($AE$9:$AE$456,$G$9:$G$456,$G457,$B$9:$B$456,$B457)),0)),0),0)))</f>
        <v/>
      </c>
      <c r="AF457" t="str">
        <f>IF($A457="","",IFERROR(MATCH(LEN($B457)&amp;":"&amp;$B457&amp;$G457,$AY$9:$AY$456,0),0))</f>
        <v/>
      </c>
      <c r="AG457" t="str">
        <f>IF($A457="","",IF($F457="sell_put","put",IF($F457="sell_call","call",IF($F457="roll",IF($AF457&gt;0,IF($AF457&gt;0,INDEX($AG$9:$AG$456,$AF457),""),""),IF($AF457&gt;0,IF($AF457&gt;0,INDEX($AG$9:$AG$456,$AF457),""),"")))))</f>
        <v/>
      </c>
      <c r="AH457" t="str">
        <f>IF($A457="","",IF(OR($F457="sell_put",$F457="sell_call",$F457="roll"),$I457,IF($AF457&gt;0,IF($AF457&gt;0,INDEX($AH$9:$AH$456,$AF457),0),0)))</f>
        <v/>
      </c>
      <c r="AI457" s="51" t="str">
        <f t="shared" ref="AI457:AI508" si="128">IF($A457="","",IF(OR($F457="sell_put",$F457="sell_call"),IF(AND($H457&gt;0,$I457&gt;0,$J457&gt;=0),$H457,0),IF($F457="roll",$AE457,0)))</f>
        <v/>
      </c>
      <c r="AJ457" s="51" t="str">
        <f>IF($A457="","",IFERROR(LOOKUP(2,1/($B$9:$B$456=$B457),$AM$9:$AM456),0))</f>
        <v/>
      </c>
      <c r="AK457" t="str">
        <f>IF($A457="","",IFERROR(LOOKUP(2,1/($B$9:$B$456=$B457),$AN$9:$AN456),0))</f>
        <v/>
      </c>
      <c r="AL457" s="51" t="str">
        <f t="shared" ref="AL457:AL508" si="129">IF($A457="","",IF($F457="assignment",$AE457*$D457,IF($F457="called_away",MIN(MAX(0,$AE457*$D457),MAX(0,$AJ457)),IF($F457="buy_shares",IF(AND($L457&gt;0,$M457&gt;=0),$L457,0),IF($F457="sell_shares",IF(AND($L457&gt;0,$M457&gt;=0),MIN($L457,MAX(0,$AJ457)),0),0)))))</f>
        <v/>
      </c>
      <c r="AM457" s="51" t="str">
        <f t="shared" ref="AM457:AM508" si="130">IF($A457="","",MAX(0,$AJ457+IF(OR($F457="assignment",$F457="buy_shares"),$AL457,-$AL457)))</f>
        <v/>
      </c>
      <c r="AN457" t="str">
        <f t="shared" ref="AN457:AN508" si="131">IF($A457="","",IF($AM457&lt;=0.000000001,0,MAX(0,$AK457+$AC457-IF(OR($F457="called_away",$F457="sell_shares"),IF($AJ457&gt;0,$AK457/$AJ457*$AL457,0),0))))</f>
        <v/>
      </c>
      <c r="AO457" s="50" t="str">
        <f>IF($A457="","",IFERROR(LOOKUP(2,1/($B$9:$B$456=$B457),$AO$9:$AO456),0)+IF($F457="sell_put",$I457*$AE457*$D457,IF($F457="roll",IF($AG457="put",($I457-IF($AF457&gt;0,INDEX($AH$9:$AH$456,$AF457),0))*$AE457*$D457,0),IF(AND(OR($F457="buy_to_close",$F457="expire",$F457="roll",$F457="assignment",$F457="called_away"),$F457&lt;&gt;"roll",$AG457="put"),-IF($AF457&gt;0,INDEX($AH$9:$AH$456,$AF457),0)*$AE457*$D457,0))))</f>
        <v/>
      </c>
      <c r="AP457" s="51" t="str">
        <f>IF($A457="","",IFERROR(LOOKUP(2,1/($B$9:$B$456=$B457),$AP$9:$AP456),0)+IF($F457="sell_put",$AE457*$D457,IF(AND(OR($F457="buy_to_close",$F457="expire",$F457="roll",$F457="assignment",$F457="called_away"),$F457&lt;&gt;"roll",$AG457="put"),-$AE457*$D457,0)))</f>
        <v/>
      </c>
      <c r="AQ457" s="51" t="str">
        <f>IF($A457="","",IFERROR(LOOKUP(2,1/($B$9:$B$456=$B457),$AQ$9:$AQ456),0)+IF(OR($F457="sell_put",$F457="sell_call"),$AE457,0)-IF(AND(OR($F457="buy_to_close",$F457="expire",$F457="roll",$F457="assignment",$F457="called_away"),$F457&lt;&gt;"roll"),$AE457,0))</f>
        <v/>
      </c>
      <c r="AR457" t="str">
        <f t="shared" ref="AR457:AR508" si="132">IF($A457="","",AND($AM457&lt;=0.000000001,$AQ457&lt;=0.000000001))</f>
        <v/>
      </c>
      <c r="AS457" s="50" t="str">
        <f t="shared" ref="AS457:AS508" si="133">IF($A457="","",$AO457+$AN457)</f>
        <v/>
      </c>
      <c r="AT457" s="50" t="str">
        <f>IF($A457="","",MAX(IF($T457=IFERROR(LOOKUP(2,1/($B$9:$B$456=$B457),$T$9:$T456),0),IFERROR(LOOKUP(2,1/($B$9:$B$456=$B457),$AT$9:$AT456),0),0),$AS457))</f>
        <v/>
      </c>
      <c r="AU457" t="str">
        <f t="shared" ref="AU457:AU508" si="134">IF(OR($A457="",$B457="",$T457=""),"",$B457&amp;"¦"&amp;$T457)</f>
        <v/>
      </c>
      <c r="AV457" s="51">
        <f>IF($AU457="",0,IF(AND(IFERROR(LOOKUP(2,1/($B$9:$B$456=$B457),$AR$9:$AR456),1),NOT(AND(OR($F457="dividend",$F457="fee"),IFERROR(LOOKUP(2,1/($B$9:$B$456=$B457),$T$9:$T456),0)&gt;0))),ROW(),0))</f>
        <v>0</v>
      </c>
      <c r="AW457">
        <f>IF($A457="",0,IF($AV457&gt;0,MAX($AW$9:$AW$456)+1,MAX($AW$9:$AW$456)))</f>
        <v>0</v>
      </c>
      <c r="AX457">
        <f>IF($AU457="",0,IF(AND($AR457,OR(NOT(IFERROR(LOOKUP(2,1/($B$9:$B$456=$B457),$AR$9:$AR456),1)),IFERROR(LOOKUP(2,1/($B$9:$B$456=$B457),$T$9:$T456),0)=0)),ROW(),0))</f>
        <v>0</v>
      </c>
      <c r="AY457" t="str">
        <f t="shared" ref="AY457:AY508" si="135">IF(OR($A457="",$B457=""),"",LEN($B457)&amp;":"&amp;$B457&amp;$A457)</f>
        <v/>
      </c>
    </row>
    <row r="458" spans="1:51" ht="15" x14ac:dyDescent="0.25">
      <c r="A458" s="52" t="str">
        <f>IF(Trades!$A458="","",Trades!O458)</f>
        <v/>
      </c>
      <c r="B458" s="52" t="str">
        <f>IF(Trades!$A458="","",Trades!B458)</f>
        <v/>
      </c>
      <c r="C458" s="52" t="str">
        <f>IF(Trades!$A458="","",Trades!C458)</f>
        <v/>
      </c>
      <c r="D458" s="53" t="str">
        <f>IF(Trades!$A458="","",IF(Trades!$L458&gt;0,Trades!$L458,Trades!$C$6))</f>
        <v/>
      </c>
      <c r="E458" s="54" t="str">
        <f>IF(Trades!$A458="","",Trades!A458)</f>
        <v/>
      </c>
      <c r="F458" s="52" t="str">
        <f>IF(Trades!$A458="","",IFERROR(INDEX(Trades!$V$2:$V$14,MATCH(Trades!$E458,Trades!$U$2:$U$14,0)),""))</f>
        <v/>
      </c>
      <c r="G458" s="52" t="str">
        <f>IF(Trades!$A458="","",Trades!N458)</f>
        <v/>
      </c>
      <c r="H458" s="53" t="str">
        <f>IF(Trades!$A458="","",Trades!F458)</f>
        <v/>
      </c>
      <c r="I458" s="55" t="str">
        <f>IF(Trades!$A458="","",Trades!G458)</f>
        <v/>
      </c>
      <c r="J458" s="55" t="str">
        <f>IF(Trades!$A458="","",Trades!I458)</f>
        <v/>
      </c>
      <c r="K458" s="55" t="str">
        <f>IF(Trades!$A458="","",Trades!Q458)</f>
        <v/>
      </c>
      <c r="L458" s="53" t="str">
        <f>IF(Trades!$A458="","",Trades!F458)</f>
        <v/>
      </c>
      <c r="M458" s="55" t="str">
        <f>IF(Trades!$A458="","",Trades!M458)</f>
        <v/>
      </c>
      <c r="N458" s="55" t="str">
        <f>IF(Trades!$A458="","",Trades!R458)</f>
        <v/>
      </c>
      <c r="O458" s="55" t="str">
        <f>IF(Trades!$A458="","",Trades!J458)</f>
        <v/>
      </c>
      <c r="P458" s="54" t="str">
        <f>IF(Trades!$A458="","",Trades!H458)</f>
        <v/>
      </c>
      <c r="Q458" s="52" t="str">
        <f>IF(Trades!$A458="","",Trades!P458)</f>
        <v/>
      </c>
      <c r="R458" s="56" t="str">
        <f t="shared" si="119"/>
        <v/>
      </c>
      <c r="S458" s="56" t="str">
        <f t="shared" si="120"/>
        <v/>
      </c>
      <c r="T458" s="57" t="str">
        <f>IF(OR($A458="",$B458=""),"",IF(AND(IFERROR(LOOKUP(2,1/($B$9:$B$457=$B458),$AR$9:$AR457),1),NOT(AND(OR($F458="dividend",$F458="fee"),IFERROR(LOOKUP(2,1/($B$9:$B$457=$B458),$T$9:$T457),0)&gt;0))),IFERROR(LOOKUP(2,1/($B$9:$B$457=$B458),$T$9:$T457),0)+1,IFERROR(LOOKUP(2,1/($B$9:$B$457=$B458),$T$9:$T457),0)))</f>
        <v/>
      </c>
      <c r="U458" s="58" t="str">
        <f t="shared" si="121"/>
        <v/>
      </c>
      <c r="V458" s="58" t="str">
        <f>IF($A458="","",IF(OR($B458="",$C458="",$D458="",$E458="",$F458=""),"Missing required field",IF(COUNTIFS($A$9:$A458,$A458,$B$9:$B458,$B458)&gt;1,"Duplicate event ID",IF(AND($E458&lt;&gt;IFERROR(LOOKUP(2,1/($B$9:$B$457=$B458),$E$9:$E457),0),IFERROR(LOOKUP(2,1/($B$9:$B$457=$B458),$E$9:$E457),0)&gt;$E458),"Date out of order",IF(AND(OR($F458="buy_to_close",$F458="expire",$F458="roll",$F458="assignment",$F458="called_away"),$AF458=0),"Unknown lot",IF(OR(AND($F458="assignment",$AF458&gt;0,IF($AF458&gt;0,INDEX($AG$9:$AG$457,$AF458),"")&lt;&gt;"put"),AND($F458="called_away",$AF458&gt;0,IF($AF458&gt;0,INDEX($AG$9:$AG$457,$AF458),"")&lt;&gt;"call")),"Wrong option leg",IF(OR(AND(OR($F458="sell_put",$F458="sell_call"),OR($H458&lt;=0,$I458&lt;=0,$J458&lt;0)),AND(OR($F458="buy_to_close",$F458="expire",$F458="assignment",$F458="called_away"),OR($H458&lt;=0,$J458&lt;0)),AND($F458="roll",OR($H458&lt;=0,$I458&lt;=0,$J458&lt;0,$K458&lt;0)),AND(OR($F458="buy_shares",$F458="sell_shares"),OR($L458&lt;=0,$M458&lt;0)),AND(OR($F458="dividend",$F458="fee"),$N458&lt;0)),"Invalid value",IF(AND(OR($F458="sell_shares",$F458="called_away"),$AL458&lt;IF($F458="called_away",$AE458*$D458,$L458)),"Insufficient shares (capped)",IF(AND(OR($F458="buy_to_close",$F458="expire",$F458="roll",$F458="assignment",$F458="called_away"),$AF458&gt;0,$H458&gt;IF($AF458&gt;0,MAX(0,INDEX($AI$9:$AI$457,$AF458)-SUMIFS($AE$9:$AE$457,$G$9:$G$457,$G458,$B$9:$B$457,$B458)),0)),"Close quantity capped","OK")))))))))</f>
        <v/>
      </c>
      <c r="W458" s="59" t="str">
        <f t="shared" si="122"/>
        <v/>
      </c>
      <c r="X458" s="60" t="str">
        <f t="shared" si="123"/>
        <v/>
      </c>
      <c r="Y458" s="50" t="str">
        <f t="shared" si="124"/>
        <v/>
      </c>
      <c r="Z458" s="50" t="str">
        <f t="shared" si="125"/>
        <v/>
      </c>
      <c r="AA458" s="50" t="str">
        <f t="shared" si="126"/>
        <v/>
      </c>
      <c r="AB458" s="50" t="str">
        <f t="shared" si="127"/>
        <v/>
      </c>
      <c r="AC458" s="50" t="str">
        <f>IF($A458="","",IF($F458="assignment",IF($AF458&gt;0,INDEX($AH$9:$AH$457,$AF458),0)*$AE458*$D458,IF($F458="buy_shares",$M458*$AL458,0)))</f>
        <v/>
      </c>
      <c r="AD458" s="50" t="str">
        <f>IF($A458="","",IF($F458="called_away",IF($AF458&gt;0,INDEX($AH$9:$AH$457,$AF458),0)*$AL458,IF($F458="sell_shares",$M458*$AL458,0)))</f>
        <v/>
      </c>
      <c r="AE458" s="51" t="str">
        <f>IF($A458="","",IF(OR($F458="sell_put",$F458="sell_call"),IF(AND($H458&gt;0,$I458&gt;0,$J458&gt;=0),$H458,0),IF(OR($F458="buy_to_close",$F458="expire",$F458="roll",$F458="assignment",$F458="called_away"),IF(AND($AF458&gt;0,$H458&gt;0,IF($F458="assignment",IF($AF458&gt;0,INDEX($AG$9:$AG$457,$AF458),"")="put",TRUE),IF($F458="called_away",IF($AF458&gt;0,INDEX($AG$9:$AG$457,$AF458),"")="call",TRUE)),MIN($H458,IF($AF458&gt;0,MAX(0,INDEX($AI$9:$AI$457,$AF458)-SUMIFS($AE$9:$AE$457,$G$9:$G$457,$G458,$B$9:$B$457,$B458)),0)),0),0)))</f>
        <v/>
      </c>
      <c r="AF458" t="str">
        <f>IF($A458="","",IFERROR(MATCH(LEN($B458)&amp;":"&amp;$B458&amp;$G458,$AY$9:$AY$457,0),0))</f>
        <v/>
      </c>
      <c r="AG458" t="str">
        <f>IF($A458="","",IF($F458="sell_put","put",IF($F458="sell_call","call",IF($F458="roll",IF($AF458&gt;0,IF($AF458&gt;0,INDEX($AG$9:$AG$457,$AF458),""),""),IF($AF458&gt;0,IF($AF458&gt;0,INDEX($AG$9:$AG$457,$AF458),""),"")))))</f>
        <v/>
      </c>
      <c r="AH458" t="str">
        <f>IF($A458="","",IF(OR($F458="sell_put",$F458="sell_call",$F458="roll"),$I458,IF($AF458&gt;0,IF($AF458&gt;0,INDEX($AH$9:$AH$457,$AF458),0),0)))</f>
        <v/>
      </c>
      <c r="AI458" s="51" t="str">
        <f t="shared" si="128"/>
        <v/>
      </c>
      <c r="AJ458" s="51" t="str">
        <f>IF($A458="","",IFERROR(LOOKUP(2,1/($B$9:$B$457=$B458),$AM$9:$AM457),0))</f>
        <v/>
      </c>
      <c r="AK458" t="str">
        <f>IF($A458="","",IFERROR(LOOKUP(2,1/($B$9:$B$457=$B458),$AN$9:$AN457),0))</f>
        <v/>
      </c>
      <c r="AL458" s="51" t="str">
        <f t="shared" si="129"/>
        <v/>
      </c>
      <c r="AM458" s="51" t="str">
        <f t="shared" si="130"/>
        <v/>
      </c>
      <c r="AN458" t="str">
        <f t="shared" si="131"/>
        <v/>
      </c>
      <c r="AO458" s="50" t="str">
        <f>IF($A458="","",IFERROR(LOOKUP(2,1/($B$9:$B$457=$B458),$AO$9:$AO457),0)+IF($F458="sell_put",$I458*$AE458*$D458,IF($F458="roll",IF($AG458="put",($I458-IF($AF458&gt;0,INDEX($AH$9:$AH$457,$AF458),0))*$AE458*$D458,0),IF(AND(OR($F458="buy_to_close",$F458="expire",$F458="roll",$F458="assignment",$F458="called_away"),$F458&lt;&gt;"roll",$AG458="put"),-IF($AF458&gt;0,INDEX($AH$9:$AH$457,$AF458),0)*$AE458*$D458,0))))</f>
        <v/>
      </c>
      <c r="AP458" s="51" t="str">
        <f>IF($A458="","",IFERROR(LOOKUP(2,1/($B$9:$B$457=$B458),$AP$9:$AP457),0)+IF($F458="sell_put",$AE458*$D458,IF(AND(OR($F458="buy_to_close",$F458="expire",$F458="roll",$F458="assignment",$F458="called_away"),$F458&lt;&gt;"roll",$AG458="put"),-$AE458*$D458,0)))</f>
        <v/>
      </c>
      <c r="AQ458" s="51" t="str">
        <f>IF($A458="","",IFERROR(LOOKUP(2,1/($B$9:$B$457=$B458),$AQ$9:$AQ457),0)+IF(OR($F458="sell_put",$F458="sell_call"),$AE458,0)-IF(AND(OR($F458="buy_to_close",$F458="expire",$F458="roll",$F458="assignment",$F458="called_away"),$F458&lt;&gt;"roll"),$AE458,0))</f>
        <v/>
      </c>
      <c r="AR458" t="str">
        <f t="shared" si="132"/>
        <v/>
      </c>
      <c r="AS458" s="50" t="str">
        <f t="shared" si="133"/>
        <v/>
      </c>
      <c r="AT458" s="50" t="str">
        <f>IF($A458="","",MAX(IF($T458=IFERROR(LOOKUP(2,1/($B$9:$B$457=$B458),$T$9:$T457),0),IFERROR(LOOKUP(2,1/($B$9:$B$457=$B458),$AT$9:$AT457),0),0),$AS458))</f>
        <v/>
      </c>
      <c r="AU458" t="str">
        <f t="shared" si="134"/>
        <v/>
      </c>
      <c r="AV458" s="51">
        <f>IF($AU458="",0,IF(AND(IFERROR(LOOKUP(2,1/($B$9:$B$457=$B458),$AR$9:$AR457),1),NOT(AND(OR($F458="dividend",$F458="fee"),IFERROR(LOOKUP(2,1/($B$9:$B$457=$B458),$T$9:$T457),0)&gt;0))),ROW(),0))</f>
        <v>0</v>
      </c>
      <c r="AW458">
        <f>IF($A458="",0,IF($AV458&gt;0,MAX($AW$9:$AW$457)+1,MAX($AW$9:$AW$457)))</f>
        <v>0</v>
      </c>
      <c r="AX458">
        <f>IF($AU458="",0,IF(AND($AR458,OR(NOT(IFERROR(LOOKUP(2,1/($B$9:$B$457=$B458),$AR$9:$AR457),1)),IFERROR(LOOKUP(2,1/($B$9:$B$457=$B458),$T$9:$T457),0)=0)),ROW(),0))</f>
        <v>0</v>
      </c>
      <c r="AY458" t="str">
        <f t="shared" si="135"/>
        <v/>
      </c>
    </row>
    <row r="459" spans="1:51" ht="15" x14ac:dyDescent="0.25">
      <c r="A459" s="41" t="str">
        <f>IF(Trades!$A459="","",Trades!O459)</f>
        <v/>
      </c>
      <c r="B459" s="41" t="str">
        <f>IF(Trades!$A459="","",Trades!B459)</f>
        <v/>
      </c>
      <c r="C459" s="41" t="str">
        <f>IF(Trades!$A459="","",Trades!C459)</f>
        <v/>
      </c>
      <c r="D459" s="42" t="str">
        <f>IF(Trades!$A459="","",IF(Trades!$L459&gt;0,Trades!$L459,Trades!$C$6))</f>
        <v/>
      </c>
      <c r="E459" s="43" t="str">
        <f>IF(Trades!$A459="","",Trades!A459)</f>
        <v/>
      </c>
      <c r="F459" s="41" t="str">
        <f>IF(Trades!$A459="","",IFERROR(INDEX(Trades!$V$2:$V$14,MATCH(Trades!$E459,Trades!$U$2:$U$14,0)),""))</f>
        <v/>
      </c>
      <c r="G459" s="41" t="str">
        <f>IF(Trades!$A459="","",Trades!N459)</f>
        <v/>
      </c>
      <c r="H459" s="42" t="str">
        <f>IF(Trades!$A459="","",Trades!F459)</f>
        <v/>
      </c>
      <c r="I459" s="44" t="str">
        <f>IF(Trades!$A459="","",Trades!G459)</f>
        <v/>
      </c>
      <c r="J459" s="44" t="str">
        <f>IF(Trades!$A459="","",Trades!I459)</f>
        <v/>
      </c>
      <c r="K459" s="44" t="str">
        <f>IF(Trades!$A459="","",Trades!Q459)</f>
        <v/>
      </c>
      <c r="L459" s="42" t="str">
        <f>IF(Trades!$A459="","",Trades!F459)</f>
        <v/>
      </c>
      <c r="M459" s="44" t="str">
        <f>IF(Trades!$A459="","",Trades!M459)</f>
        <v/>
      </c>
      <c r="N459" s="44" t="str">
        <f>IF(Trades!$A459="","",Trades!R459)</f>
        <v/>
      </c>
      <c r="O459" s="44" t="str">
        <f>IF(Trades!$A459="","",Trades!J459)</f>
        <v/>
      </c>
      <c r="P459" s="43" t="str">
        <f>IF(Trades!$A459="","",Trades!H459)</f>
        <v/>
      </c>
      <c r="Q459" s="41" t="str">
        <f>IF(Trades!$A459="","",Trades!P459)</f>
        <v/>
      </c>
      <c r="R459" s="45" t="str">
        <f t="shared" si="119"/>
        <v/>
      </c>
      <c r="S459" s="45" t="str">
        <f t="shared" si="120"/>
        <v/>
      </c>
      <c r="T459" s="46" t="str">
        <f>IF(OR($A459="",$B459=""),"",IF(AND(IFERROR(LOOKUP(2,1/($B$9:$B$458=$B459),$AR$9:$AR458),1),NOT(AND(OR($F459="dividend",$F459="fee"),IFERROR(LOOKUP(2,1/($B$9:$B$458=$B459),$T$9:$T458),0)&gt;0))),IFERROR(LOOKUP(2,1/($B$9:$B$458=$B459),$T$9:$T458),0)+1,IFERROR(LOOKUP(2,1/($B$9:$B$458=$B459),$T$9:$T458),0)))</f>
        <v/>
      </c>
      <c r="U459" s="47" t="str">
        <f t="shared" si="121"/>
        <v/>
      </c>
      <c r="V459" s="47" t="str">
        <f>IF($A459="","",IF(OR($B459="",$C459="",$D459="",$E459="",$F459=""),"Missing required field",IF(COUNTIFS($A$9:$A459,$A459,$B$9:$B459,$B459)&gt;1,"Duplicate event ID",IF(AND($E459&lt;&gt;IFERROR(LOOKUP(2,1/($B$9:$B$458=$B459),$E$9:$E458),0),IFERROR(LOOKUP(2,1/($B$9:$B$458=$B459),$E$9:$E458),0)&gt;$E459),"Date out of order",IF(AND(OR($F459="buy_to_close",$F459="expire",$F459="roll",$F459="assignment",$F459="called_away"),$AF459=0),"Unknown lot",IF(OR(AND($F459="assignment",$AF459&gt;0,IF($AF459&gt;0,INDEX($AG$9:$AG$458,$AF459),"")&lt;&gt;"put"),AND($F459="called_away",$AF459&gt;0,IF($AF459&gt;0,INDEX($AG$9:$AG$458,$AF459),"")&lt;&gt;"call")),"Wrong option leg",IF(OR(AND(OR($F459="sell_put",$F459="sell_call"),OR($H459&lt;=0,$I459&lt;=0,$J459&lt;0)),AND(OR($F459="buy_to_close",$F459="expire",$F459="assignment",$F459="called_away"),OR($H459&lt;=0,$J459&lt;0)),AND($F459="roll",OR($H459&lt;=0,$I459&lt;=0,$J459&lt;0,$K459&lt;0)),AND(OR($F459="buy_shares",$F459="sell_shares"),OR($L459&lt;=0,$M459&lt;0)),AND(OR($F459="dividend",$F459="fee"),$N459&lt;0)),"Invalid value",IF(AND(OR($F459="sell_shares",$F459="called_away"),$AL459&lt;IF($F459="called_away",$AE459*$D459,$L459)),"Insufficient shares (capped)",IF(AND(OR($F459="buy_to_close",$F459="expire",$F459="roll",$F459="assignment",$F459="called_away"),$AF459&gt;0,$H459&gt;IF($AF459&gt;0,MAX(0,INDEX($AI$9:$AI$458,$AF459)-SUMIFS($AE$9:$AE$458,$G$9:$G$458,$G459,$B$9:$B$458,$B459)),0)),"Close quantity capped","OK")))))))))</f>
        <v/>
      </c>
      <c r="W459" s="48" t="str">
        <f t="shared" si="122"/>
        <v/>
      </c>
      <c r="X459" s="49" t="str">
        <f t="shared" si="123"/>
        <v/>
      </c>
      <c r="Y459" s="50" t="str">
        <f t="shared" si="124"/>
        <v/>
      </c>
      <c r="Z459" s="50" t="str">
        <f t="shared" si="125"/>
        <v/>
      </c>
      <c r="AA459" s="50" t="str">
        <f t="shared" si="126"/>
        <v/>
      </c>
      <c r="AB459" s="50" t="str">
        <f t="shared" si="127"/>
        <v/>
      </c>
      <c r="AC459" s="50" t="str">
        <f>IF($A459="","",IF($F459="assignment",IF($AF459&gt;0,INDEX($AH$9:$AH$458,$AF459),0)*$AE459*$D459,IF($F459="buy_shares",$M459*$AL459,0)))</f>
        <v/>
      </c>
      <c r="AD459" s="50" t="str">
        <f>IF($A459="","",IF($F459="called_away",IF($AF459&gt;0,INDEX($AH$9:$AH$458,$AF459),0)*$AL459,IF($F459="sell_shares",$M459*$AL459,0)))</f>
        <v/>
      </c>
      <c r="AE459" s="51" t="str">
        <f>IF($A459="","",IF(OR($F459="sell_put",$F459="sell_call"),IF(AND($H459&gt;0,$I459&gt;0,$J459&gt;=0),$H459,0),IF(OR($F459="buy_to_close",$F459="expire",$F459="roll",$F459="assignment",$F459="called_away"),IF(AND($AF459&gt;0,$H459&gt;0,IF($F459="assignment",IF($AF459&gt;0,INDEX($AG$9:$AG$458,$AF459),"")="put",TRUE),IF($F459="called_away",IF($AF459&gt;0,INDEX($AG$9:$AG$458,$AF459),"")="call",TRUE)),MIN($H459,IF($AF459&gt;0,MAX(0,INDEX($AI$9:$AI$458,$AF459)-SUMIFS($AE$9:$AE$458,$G$9:$G$458,$G459,$B$9:$B$458,$B459)),0)),0),0)))</f>
        <v/>
      </c>
      <c r="AF459" t="str">
        <f>IF($A459="","",IFERROR(MATCH(LEN($B459)&amp;":"&amp;$B459&amp;$G459,$AY$9:$AY$458,0),0))</f>
        <v/>
      </c>
      <c r="AG459" t="str">
        <f>IF($A459="","",IF($F459="sell_put","put",IF($F459="sell_call","call",IF($F459="roll",IF($AF459&gt;0,IF($AF459&gt;0,INDEX($AG$9:$AG$458,$AF459),""),""),IF($AF459&gt;0,IF($AF459&gt;0,INDEX($AG$9:$AG$458,$AF459),""),"")))))</f>
        <v/>
      </c>
      <c r="AH459" t="str">
        <f>IF($A459="","",IF(OR($F459="sell_put",$F459="sell_call",$F459="roll"),$I459,IF($AF459&gt;0,IF($AF459&gt;0,INDEX($AH$9:$AH$458,$AF459),0),0)))</f>
        <v/>
      </c>
      <c r="AI459" s="51" t="str">
        <f t="shared" si="128"/>
        <v/>
      </c>
      <c r="AJ459" s="51" t="str">
        <f>IF($A459="","",IFERROR(LOOKUP(2,1/($B$9:$B$458=$B459),$AM$9:$AM458),0))</f>
        <v/>
      </c>
      <c r="AK459" t="str">
        <f>IF($A459="","",IFERROR(LOOKUP(2,1/($B$9:$B$458=$B459),$AN$9:$AN458),0))</f>
        <v/>
      </c>
      <c r="AL459" s="51" t="str">
        <f t="shared" si="129"/>
        <v/>
      </c>
      <c r="AM459" s="51" t="str">
        <f t="shared" si="130"/>
        <v/>
      </c>
      <c r="AN459" t="str">
        <f t="shared" si="131"/>
        <v/>
      </c>
      <c r="AO459" s="50" t="str">
        <f>IF($A459="","",IFERROR(LOOKUP(2,1/($B$9:$B$458=$B459),$AO$9:$AO458),0)+IF($F459="sell_put",$I459*$AE459*$D459,IF($F459="roll",IF($AG459="put",($I459-IF($AF459&gt;0,INDEX($AH$9:$AH$458,$AF459),0))*$AE459*$D459,0),IF(AND(OR($F459="buy_to_close",$F459="expire",$F459="roll",$F459="assignment",$F459="called_away"),$F459&lt;&gt;"roll",$AG459="put"),-IF($AF459&gt;0,INDEX($AH$9:$AH$458,$AF459),0)*$AE459*$D459,0))))</f>
        <v/>
      </c>
      <c r="AP459" s="51" t="str">
        <f>IF($A459="","",IFERROR(LOOKUP(2,1/($B$9:$B$458=$B459),$AP$9:$AP458),0)+IF($F459="sell_put",$AE459*$D459,IF(AND(OR($F459="buy_to_close",$F459="expire",$F459="roll",$F459="assignment",$F459="called_away"),$F459&lt;&gt;"roll",$AG459="put"),-$AE459*$D459,0)))</f>
        <v/>
      </c>
      <c r="AQ459" s="51" t="str">
        <f>IF($A459="","",IFERROR(LOOKUP(2,1/($B$9:$B$458=$B459),$AQ$9:$AQ458),0)+IF(OR($F459="sell_put",$F459="sell_call"),$AE459,0)-IF(AND(OR($F459="buy_to_close",$F459="expire",$F459="roll",$F459="assignment",$F459="called_away"),$F459&lt;&gt;"roll"),$AE459,0))</f>
        <v/>
      </c>
      <c r="AR459" t="str">
        <f t="shared" si="132"/>
        <v/>
      </c>
      <c r="AS459" s="50" t="str">
        <f t="shared" si="133"/>
        <v/>
      </c>
      <c r="AT459" s="50" t="str">
        <f>IF($A459="","",MAX(IF($T459=IFERROR(LOOKUP(2,1/($B$9:$B$458=$B459),$T$9:$T458),0),IFERROR(LOOKUP(2,1/($B$9:$B$458=$B459),$AT$9:$AT458),0),0),$AS459))</f>
        <v/>
      </c>
      <c r="AU459" t="str">
        <f t="shared" si="134"/>
        <v/>
      </c>
      <c r="AV459" s="51">
        <f>IF($AU459="",0,IF(AND(IFERROR(LOOKUP(2,1/($B$9:$B$458=$B459),$AR$9:$AR458),1),NOT(AND(OR($F459="dividend",$F459="fee"),IFERROR(LOOKUP(2,1/($B$9:$B$458=$B459),$T$9:$T458),0)&gt;0))),ROW(),0))</f>
        <v>0</v>
      </c>
      <c r="AW459">
        <f>IF($A459="",0,IF($AV459&gt;0,MAX($AW$9:$AW$458)+1,MAX($AW$9:$AW$458)))</f>
        <v>0</v>
      </c>
      <c r="AX459">
        <f>IF($AU459="",0,IF(AND($AR459,OR(NOT(IFERROR(LOOKUP(2,1/($B$9:$B$458=$B459),$AR$9:$AR458),1)),IFERROR(LOOKUP(2,1/($B$9:$B$458=$B459),$T$9:$T458),0)=0)),ROW(),0))</f>
        <v>0</v>
      </c>
      <c r="AY459" t="str">
        <f t="shared" si="135"/>
        <v/>
      </c>
    </row>
    <row r="460" spans="1:51" ht="15" x14ac:dyDescent="0.25">
      <c r="A460" s="52" t="str">
        <f>IF(Trades!$A460="","",Trades!O460)</f>
        <v/>
      </c>
      <c r="B460" s="52" t="str">
        <f>IF(Trades!$A460="","",Trades!B460)</f>
        <v/>
      </c>
      <c r="C460" s="52" t="str">
        <f>IF(Trades!$A460="","",Trades!C460)</f>
        <v/>
      </c>
      <c r="D460" s="53" t="str">
        <f>IF(Trades!$A460="","",IF(Trades!$L460&gt;0,Trades!$L460,Trades!$C$6))</f>
        <v/>
      </c>
      <c r="E460" s="54" t="str">
        <f>IF(Trades!$A460="","",Trades!A460)</f>
        <v/>
      </c>
      <c r="F460" s="52" t="str">
        <f>IF(Trades!$A460="","",IFERROR(INDEX(Trades!$V$2:$V$14,MATCH(Trades!$E460,Trades!$U$2:$U$14,0)),""))</f>
        <v/>
      </c>
      <c r="G460" s="52" t="str">
        <f>IF(Trades!$A460="","",Trades!N460)</f>
        <v/>
      </c>
      <c r="H460" s="53" t="str">
        <f>IF(Trades!$A460="","",Trades!F460)</f>
        <v/>
      </c>
      <c r="I460" s="55" t="str">
        <f>IF(Trades!$A460="","",Trades!G460)</f>
        <v/>
      </c>
      <c r="J460" s="55" t="str">
        <f>IF(Trades!$A460="","",Trades!I460)</f>
        <v/>
      </c>
      <c r="K460" s="55" t="str">
        <f>IF(Trades!$A460="","",Trades!Q460)</f>
        <v/>
      </c>
      <c r="L460" s="53" t="str">
        <f>IF(Trades!$A460="","",Trades!F460)</f>
        <v/>
      </c>
      <c r="M460" s="55" t="str">
        <f>IF(Trades!$A460="","",Trades!M460)</f>
        <v/>
      </c>
      <c r="N460" s="55" t="str">
        <f>IF(Trades!$A460="","",Trades!R460)</f>
        <v/>
      </c>
      <c r="O460" s="55" t="str">
        <f>IF(Trades!$A460="","",Trades!J460)</f>
        <v/>
      </c>
      <c r="P460" s="54" t="str">
        <f>IF(Trades!$A460="","",Trades!H460)</f>
        <v/>
      </c>
      <c r="Q460" s="52" t="str">
        <f>IF(Trades!$A460="","",Trades!P460)</f>
        <v/>
      </c>
      <c r="R460" s="56" t="str">
        <f t="shared" si="119"/>
        <v/>
      </c>
      <c r="S460" s="56" t="str">
        <f t="shared" si="120"/>
        <v/>
      </c>
      <c r="T460" s="57" t="str">
        <f>IF(OR($A460="",$B460=""),"",IF(AND(IFERROR(LOOKUP(2,1/($B$9:$B$459=$B460),$AR$9:$AR459),1),NOT(AND(OR($F460="dividend",$F460="fee"),IFERROR(LOOKUP(2,1/($B$9:$B$459=$B460),$T$9:$T459),0)&gt;0))),IFERROR(LOOKUP(2,1/($B$9:$B$459=$B460),$T$9:$T459),0)+1,IFERROR(LOOKUP(2,1/($B$9:$B$459=$B460),$T$9:$T459),0)))</f>
        <v/>
      </c>
      <c r="U460" s="58" t="str">
        <f t="shared" si="121"/>
        <v/>
      </c>
      <c r="V460" s="58" t="str">
        <f>IF($A460="","",IF(OR($B460="",$C460="",$D460="",$E460="",$F460=""),"Missing required field",IF(COUNTIFS($A$9:$A460,$A460,$B$9:$B460,$B460)&gt;1,"Duplicate event ID",IF(AND($E460&lt;&gt;IFERROR(LOOKUP(2,1/($B$9:$B$459=$B460),$E$9:$E459),0),IFERROR(LOOKUP(2,1/($B$9:$B$459=$B460),$E$9:$E459),0)&gt;$E460),"Date out of order",IF(AND(OR($F460="buy_to_close",$F460="expire",$F460="roll",$F460="assignment",$F460="called_away"),$AF460=0),"Unknown lot",IF(OR(AND($F460="assignment",$AF460&gt;0,IF($AF460&gt;0,INDEX($AG$9:$AG$459,$AF460),"")&lt;&gt;"put"),AND($F460="called_away",$AF460&gt;0,IF($AF460&gt;0,INDEX($AG$9:$AG$459,$AF460),"")&lt;&gt;"call")),"Wrong option leg",IF(OR(AND(OR($F460="sell_put",$F460="sell_call"),OR($H460&lt;=0,$I460&lt;=0,$J460&lt;0)),AND(OR($F460="buy_to_close",$F460="expire",$F460="assignment",$F460="called_away"),OR($H460&lt;=0,$J460&lt;0)),AND($F460="roll",OR($H460&lt;=0,$I460&lt;=0,$J460&lt;0,$K460&lt;0)),AND(OR($F460="buy_shares",$F460="sell_shares"),OR($L460&lt;=0,$M460&lt;0)),AND(OR($F460="dividend",$F460="fee"),$N460&lt;0)),"Invalid value",IF(AND(OR($F460="sell_shares",$F460="called_away"),$AL460&lt;IF($F460="called_away",$AE460*$D460,$L460)),"Insufficient shares (capped)",IF(AND(OR($F460="buy_to_close",$F460="expire",$F460="roll",$F460="assignment",$F460="called_away"),$AF460&gt;0,$H460&gt;IF($AF460&gt;0,MAX(0,INDEX($AI$9:$AI$459,$AF460)-SUMIFS($AE$9:$AE$459,$G$9:$G$459,$G460,$B$9:$B$459,$B460)),0)),"Close quantity capped","OK")))))))))</f>
        <v/>
      </c>
      <c r="W460" s="59" t="str">
        <f t="shared" si="122"/>
        <v/>
      </c>
      <c r="X460" s="60" t="str">
        <f t="shared" si="123"/>
        <v/>
      </c>
      <c r="Y460" s="50" t="str">
        <f t="shared" si="124"/>
        <v/>
      </c>
      <c r="Z460" s="50" t="str">
        <f t="shared" si="125"/>
        <v/>
      </c>
      <c r="AA460" s="50" t="str">
        <f t="shared" si="126"/>
        <v/>
      </c>
      <c r="AB460" s="50" t="str">
        <f t="shared" si="127"/>
        <v/>
      </c>
      <c r="AC460" s="50" t="str">
        <f>IF($A460="","",IF($F460="assignment",IF($AF460&gt;0,INDEX($AH$9:$AH$459,$AF460),0)*$AE460*$D460,IF($F460="buy_shares",$M460*$AL460,0)))</f>
        <v/>
      </c>
      <c r="AD460" s="50" t="str">
        <f>IF($A460="","",IF($F460="called_away",IF($AF460&gt;0,INDEX($AH$9:$AH$459,$AF460),0)*$AL460,IF($F460="sell_shares",$M460*$AL460,0)))</f>
        <v/>
      </c>
      <c r="AE460" s="51" t="str">
        <f>IF($A460="","",IF(OR($F460="sell_put",$F460="sell_call"),IF(AND($H460&gt;0,$I460&gt;0,$J460&gt;=0),$H460,0),IF(OR($F460="buy_to_close",$F460="expire",$F460="roll",$F460="assignment",$F460="called_away"),IF(AND($AF460&gt;0,$H460&gt;0,IF($F460="assignment",IF($AF460&gt;0,INDEX($AG$9:$AG$459,$AF460),"")="put",TRUE),IF($F460="called_away",IF($AF460&gt;0,INDEX($AG$9:$AG$459,$AF460),"")="call",TRUE)),MIN($H460,IF($AF460&gt;0,MAX(0,INDEX($AI$9:$AI$459,$AF460)-SUMIFS($AE$9:$AE$459,$G$9:$G$459,$G460,$B$9:$B$459,$B460)),0)),0),0)))</f>
        <v/>
      </c>
      <c r="AF460" t="str">
        <f>IF($A460="","",IFERROR(MATCH(LEN($B460)&amp;":"&amp;$B460&amp;$G460,$AY$9:$AY$459,0),0))</f>
        <v/>
      </c>
      <c r="AG460" t="str">
        <f>IF($A460="","",IF($F460="sell_put","put",IF($F460="sell_call","call",IF($F460="roll",IF($AF460&gt;0,IF($AF460&gt;0,INDEX($AG$9:$AG$459,$AF460),""),""),IF($AF460&gt;0,IF($AF460&gt;0,INDEX($AG$9:$AG$459,$AF460),""),"")))))</f>
        <v/>
      </c>
      <c r="AH460" t="str">
        <f>IF($A460="","",IF(OR($F460="sell_put",$F460="sell_call",$F460="roll"),$I460,IF($AF460&gt;0,IF($AF460&gt;0,INDEX($AH$9:$AH$459,$AF460),0),0)))</f>
        <v/>
      </c>
      <c r="AI460" s="51" t="str">
        <f t="shared" si="128"/>
        <v/>
      </c>
      <c r="AJ460" s="51" t="str">
        <f>IF($A460="","",IFERROR(LOOKUP(2,1/($B$9:$B$459=$B460),$AM$9:$AM459),0))</f>
        <v/>
      </c>
      <c r="AK460" t="str">
        <f>IF($A460="","",IFERROR(LOOKUP(2,1/($B$9:$B$459=$B460),$AN$9:$AN459),0))</f>
        <v/>
      </c>
      <c r="AL460" s="51" t="str">
        <f t="shared" si="129"/>
        <v/>
      </c>
      <c r="AM460" s="51" t="str">
        <f t="shared" si="130"/>
        <v/>
      </c>
      <c r="AN460" t="str">
        <f t="shared" si="131"/>
        <v/>
      </c>
      <c r="AO460" s="50" t="str">
        <f>IF($A460="","",IFERROR(LOOKUP(2,1/($B$9:$B$459=$B460),$AO$9:$AO459),0)+IF($F460="sell_put",$I460*$AE460*$D460,IF($F460="roll",IF($AG460="put",($I460-IF($AF460&gt;0,INDEX($AH$9:$AH$459,$AF460),0))*$AE460*$D460,0),IF(AND(OR($F460="buy_to_close",$F460="expire",$F460="roll",$F460="assignment",$F460="called_away"),$F460&lt;&gt;"roll",$AG460="put"),-IF($AF460&gt;0,INDEX($AH$9:$AH$459,$AF460),0)*$AE460*$D460,0))))</f>
        <v/>
      </c>
      <c r="AP460" s="51" t="str">
        <f>IF($A460="","",IFERROR(LOOKUP(2,1/($B$9:$B$459=$B460),$AP$9:$AP459),0)+IF($F460="sell_put",$AE460*$D460,IF(AND(OR($F460="buy_to_close",$F460="expire",$F460="roll",$F460="assignment",$F460="called_away"),$F460&lt;&gt;"roll",$AG460="put"),-$AE460*$D460,0)))</f>
        <v/>
      </c>
      <c r="AQ460" s="51" t="str">
        <f>IF($A460="","",IFERROR(LOOKUP(2,1/($B$9:$B$459=$B460),$AQ$9:$AQ459),0)+IF(OR($F460="sell_put",$F460="sell_call"),$AE460,0)-IF(AND(OR($F460="buy_to_close",$F460="expire",$F460="roll",$F460="assignment",$F460="called_away"),$F460&lt;&gt;"roll"),$AE460,0))</f>
        <v/>
      </c>
      <c r="AR460" t="str">
        <f t="shared" si="132"/>
        <v/>
      </c>
      <c r="AS460" s="50" t="str">
        <f t="shared" si="133"/>
        <v/>
      </c>
      <c r="AT460" s="50" t="str">
        <f>IF($A460="","",MAX(IF($T460=IFERROR(LOOKUP(2,1/($B$9:$B$459=$B460),$T$9:$T459),0),IFERROR(LOOKUP(2,1/($B$9:$B$459=$B460),$AT$9:$AT459),0),0),$AS460))</f>
        <v/>
      </c>
      <c r="AU460" t="str">
        <f t="shared" si="134"/>
        <v/>
      </c>
      <c r="AV460" s="51">
        <f>IF($AU460="",0,IF(AND(IFERROR(LOOKUP(2,1/($B$9:$B$459=$B460),$AR$9:$AR459),1),NOT(AND(OR($F460="dividend",$F460="fee"),IFERROR(LOOKUP(2,1/($B$9:$B$459=$B460),$T$9:$T459),0)&gt;0))),ROW(),0))</f>
        <v>0</v>
      </c>
      <c r="AW460">
        <f>IF($A460="",0,IF($AV460&gt;0,MAX($AW$9:$AW$459)+1,MAX($AW$9:$AW$459)))</f>
        <v>0</v>
      </c>
      <c r="AX460">
        <f>IF($AU460="",0,IF(AND($AR460,OR(NOT(IFERROR(LOOKUP(2,1/($B$9:$B$459=$B460),$AR$9:$AR459),1)),IFERROR(LOOKUP(2,1/($B$9:$B$459=$B460),$T$9:$T459),0)=0)),ROW(),0))</f>
        <v>0</v>
      </c>
      <c r="AY460" t="str">
        <f t="shared" si="135"/>
        <v/>
      </c>
    </row>
    <row r="461" spans="1:51" ht="15" x14ac:dyDescent="0.25">
      <c r="A461" s="41" t="str">
        <f>IF(Trades!$A461="","",Trades!O461)</f>
        <v/>
      </c>
      <c r="B461" s="41" t="str">
        <f>IF(Trades!$A461="","",Trades!B461)</f>
        <v/>
      </c>
      <c r="C461" s="41" t="str">
        <f>IF(Trades!$A461="","",Trades!C461)</f>
        <v/>
      </c>
      <c r="D461" s="42" t="str">
        <f>IF(Trades!$A461="","",IF(Trades!$L461&gt;0,Trades!$L461,Trades!$C$6))</f>
        <v/>
      </c>
      <c r="E461" s="43" t="str">
        <f>IF(Trades!$A461="","",Trades!A461)</f>
        <v/>
      </c>
      <c r="F461" s="41" t="str">
        <f>IF(Trades!$A461="","",IFERROR(INDEX(Trades!$V$2:$V$14,MATCH(Trades!$E461,Trades!$U$2:$U$14,0)),""))</f>
        <v/>
      </c>
      <c r="G461" s="41" t="str">
        <f>IF(Trades!$A461="","",Trades!N461)</f>
        <v/>
      </c>
      <c r="H461" s="42" t="str">
        <f>IF(Trades!$A461="","",Trades!F461)</f>
        <v/>
      </c>
      <c r="I461" s="44" t="str">
        <f>IF(Trades!$A461="","",Trades!G461)</f>
        <v/>
      </c>
      <c r="J461" s="44" t="str">
        <f>IF(Trades!$A461="","",Trades!I461)</f>
        <v/>
      </c>
      <c r="K461" s="44" t="str">
        <f>IF(Trades!$A461="","",Trades!Q461)</f>
        <v/>
      </c>
      <c r="L461" s="42" t="str">
        <f>IF(Trades!$A461="","",Trades!F461)</f>
        <v/>
      </c>
      <c r="M461" s="44" t="str">
        <f>IF(Trades!$A461="","",Trades!M461)</f>
        <v/>
      </c>
      <c r="N461" s="44" t="str">
        <f>IF(Trades!$A461="","",Trades!R461)</f>
        <v/>
      </c>
      <c r="O461" s="44" t="str">
        <f>IF(Trades!$A461="","",Trades!J461)</f>
        <v/>
      </c>
      <c r="P461" s="43" t="str">
        <f>IF(Trades!$A461="","",Trades!H461)</f>
        <v/>
      </c>
      <c r="Q461" s="41" t="str">
        <f>IF(Trades!$A461="","",Trades!P461)</f>
        <v/>
      </c>
      <c r="R461" s="45" t="str">
        <f t="shared" si="119"/>
        <v/>
      </c>
      <c r="S461" s="45" t="str">
        <f t="shared" si="120"/>
        <v/>
      </c>
      <c r="T461" s="46" t="str">
        <f>IF(OR($A461="",$B461=""),"",IF(AND(IFERROR(LOOKUP(2,1/($B$9:$B$460=$B461),$AR$9:$AR460),1),NOT(AND(OR($F461="dividend",$F461="fee"),IFERROR(LOOKUP(2,1/($B$9:$B$460=$B461),$T$9:$T460),0)&gt;0))),IFERROR(LOOKUP(2,1/($B$9:$B$460=$B461),$T$9:$T460),0)+1,IFERROR(LOOKUP(2,1/($B$9:$B$460=$B461),$T$9:$T460),0)))</f>
        <v/>
      </c>
      <c r="U461" s="47" t="str">
        <f t="shared" si="121"/>
        <v/>
      </c>
      <c r="V461" s="47" t="str">
        <f>IF($A461="","",IF(OR($B461="",$C461="",$D461="",$E461="",$F461=""),"Missing required field",IF(COUNTIFS($A$9:$A461,$A461,$B$9:$B461,$B461)&gt;1,"Duplicate event ID",IF(AND($E461&lt;&gt;IFERROR(LOOKUP(2,1/($B$9:$B$460=$B461),$E$9:$E460),0),IFERROR(LOOKUP(2,1/($B$9:$B$460=$B461),$E$9:$E460),0)&gt;$E461),"Date out of order",IF(AND(OR($F461="buy_to_close",$F461="expire",$F461="roll",$F461="assignment",$F461="called_away"),$AF461=0),"Unknown lot",IF(OR(AND($F461="assignment",$AF461&gt;0,IF($AF461&gt;0,INDEX($AG$9:$AG$460,$AF461),"")&lt;&gt;"put"),AND($F461="called_away",$AF461&gt;0,IF($AF461&gt;0,INDEX($AG$9:$AG$460,$AF461),"")&lt;&gt;"call")),"Wrong option leg",IF(OR(AND(OR($F461="sell_put",$F461="sell_call"),OR($H461&lt;=0,$I461&lt;=0,$J461&lt;0)),AND(OR($F461="buy_to_close",$F461="expire",$F461="assignment",$F461="called_away"),OR($H461&lt;=0,$J461&lt;0)),AND($F461="roll",OR($H461&lt;=0,$I461&lt;=0,$J461&lt;0,$K461&lt;0)),AND(OR($F461="buy_shares",$F461="sell_shares"),OR($L461&lt;=0,$M461&lt;0)),AND(OR($F461="dividend",$F461="fee"),$N461&lt;0)),"Invalid value",IF(AND(OR($F461="sell_shares",$F461="called_away"),$AL461&lt;IF($F461="called_away",$AE461*$D461,$L461)),"Insufficient shares (capped)",IF(AND(OR($F461="buy_to_close",$F461="expire",$F461="roll",$F461="assignment",$F461="called_away"),$AF461&gt;0,$H461&gt;IF($AF461&gt;0,MAX(0,INDEX($AI$9:$AI$460,$AF461)-SUMIFS($AE$9:$AE$460,$G$9:$G$460,$G461,$B$9:$B$460,$B461)),0)),"Close quantity capped","OK")))))))))</f>
        <v/>
      </c>
      <c r="W461" s="48" t="str">
        <f t="shared" si="122"/>
        <v/>
      </c>
      <c r="X461" s="49" t="str">
        <f t="shared" si="123"/>
        <v/>
      </c>
      <c r="Y461" s="50" t="str">
        <f t="shared" si="124"/>
        <v/>
      </c>
      <c r="Z461" s="50" t="str">
        <f t="shared" si="125"/>
        <v/>
      </c>
      <c r="AA461" s="50" t="str">
        <f t="shared" si="126"/>
        <v/>
      </c>
      <c r="AB461" s="50" t="str">
        <f t="shared" si="127"/>
        <v/>
      </c>
      <c r="AC461" s="50" t="str">
        <f>IF($A461="","",IF($F461="assignment",IF($AF461&gt;0,INDEX($AH$9:$AH$460,$AF461),0)*$AE461*$D461,IF($F461="buy_shares",$M461*$AL461,0)))</f>
        <v/>
      </c>
      <c r="AD461" s="50" t="str">
        <f>IF($A461="","",IF($F461="called_away",IF($AF461&gt;0,INDEX($AH$9:$AH$460,$AF461),0)*$AL461,IF($F461="sell_shares",$M461*$AL461,0)))</f>
        <v/>
      </c>
      <c r="AE461" s="51" t="str">
        <f>IF($A461="","",IF(OR($F461="sell_put",$F461="sell_call"),IF(AND($H461&gt;0,$I461&gt;0,$J461&gt;=0),$H461,0),IF(OR($F461="buy_to_close",$F461="expire",$F461="roll",$F461="assignment",$F461="called_away"),IF(AND($AF461&gt;0,$H461&gt;0,IF($F461="assignment",IF($AF461&gt;0,INDEX($AG$9:$AG$460,$AF461),"")="put",TRUE),IF($F461="called_away",IF($AF461&gt;0,INDEX($AG$9:$AG$460,$AF461),"")="call",TRUE)),MIN($H461,IF($AF461&gt;0,MAX(0,INDEX($AI$9:$AI$460,$AF461)-SUMIFS($AE$9:$AE$460,$G$9:$G$460,$G461,$B$9:$B$460,$B461)),0)),0),0)))</f>
        <v/>
      </c>
      <c r="AF461" t="str">
        <f>IF($A461="","",IFERROR(MATCH(LEN($B461)&amp;":"&amp;$B461&amp;$G461,$AY$9:$AY$460,0),0))</f>
        <v/>
      </c>
      <c r="AG461" t="str">
        <f>IF($A461="","",IF($F461="sell_put","put",IF($F461="sell_call","call",IF($F461="roll",IF($AF461&gt;0,IF($AF461&gt;0,INDEX($AG$9:$AG$460,$AF461),""),""),IF($AF461&gt;0,IF($AF461&gt;0,INDEX($AG$9:$AG$460,$AF461),""),"")))))</f>
        <v/>
      </c>
      <c r="AH461" t="str">
        <f>IF($A461="","",IF(OR($F461="sell_put",$F461="sell_call",$F461="roll"),$I461,IF($AF461&gt;0,IF($AF461&gt;0,INDEX($AH$9:$AH$460,$AF461),0),0)))</f>
        <v/>
      </c>
      <c r="AI461" s="51" t="str">
        <f t="shared" si="128"/>
        <v/>
      </c>
      <c r="AJ461" s="51" t="str">
        <f>IF($A461="","",IFERROR(LOOKUP(2,1/($B$9:$B$460=$B461),$AM$9:$AM460),0))</f>
        <v/>
      </c>
      <c r="AK461" t="str">
        <f>IF($A461="","",IFERROR(LOOKUP(2,1/($B$9:$B$460=$B461),$AN$9:$AN460),0))</f>
        <v/>
      </c>
      <c r="AL461" s="51" t="str">
        <f t="shared" si="129"/>
        <v/>
      </c>
      <c r="AM461" s="51" t="str">
        <f t="shared" si="130"/>
        <v/>
      </c>
      <c r="AN461" t="str">
        <f t="shared" si="131"/>
        <v/>
      </c>
      <c r="AO461" s="50" t="str">
        <f>IF($A461="","",IFERROR(LOOKUP(2,1/($B$9:$B$460=$B461),$AO$9:$AO460),0)+IF($F461="sell_put",$I461*$AE461*$D461,IF($F461="roll",IF($AG461="put",($I461-IF($AF461&gt;0,INDEX($AH$9:$AH$460,$AF461),0))*$AE461*$D461,0),IF(AND(OR($F461="buy_to_close",$F461="expire",$F461="roll",$F461="assignment",$F461="called_away"),$F461&lt;&gt;"roll",$AG461="put"),-IF($AF461&gt;0,INDEX($AH$9:$AH$460,$AF461),0)*$AE461*$D461,0))))</f>
        <v/>
      </c>
      <c r="AP461" s="51" t="str">
        <f>IF($A461="","",IFERROR(LOOKUP(2,1/($B$9:$B$460=$B461),$AP$9:$AP460),0)+IF($F461="sell_put",$AE461*$D461,IF(AND(OR($F461="buy_to_close",$F461="expire",$F461="roll",$F461="assignment",$F461="called_away"),$F461&lt;&gt;"roll",$AG461="put"),-$AE461*$D461,0)))</f>
        <v/>
      </c>
      <c r="AQ461" s="51" t="str">
        <f>IF($A461="","",IFERROR(LOOKUP(2,1/($B$9:$B$460=$B461),$AQ$9:$AQ460),0)+IF(OR($F461="sell_put",$F461="sell_call"),$AE461,0)-IF(AND(OR($F461="buy_to_close",$F461="expire",$F461="roll",$F461="assignment",$F461="called_away"),$F461&lt;&gt;"roll"),$AE461,0))</f>
        <v/>
      </c>
      <c r="AR461" t="str">
        <f t="shared" si="132"/>
        <v/>
      </c>
      <c r="AS461" s="50" t="str">
        <f t="shared" si="133"/>
        <v/>
      </c>
      <c r="AT461" s="50" t="str">
        <f>IF($A461="","",MAX(IF($T461=IFERROR(LOOKUP(2,1/($B$9:$B$460=$B461),$T$9:$T460),0),IFERROR(LOOKUP(2,1/($B$9:$B$460=$B461),$AT$9:$AT460),0),0),$AS461))</f>
        <v/>
      </c>
      <c r="AU461" t="str">
        <f t="shared" si="134"/>
        <v/>
      </c>
      <c r="AV461" s="51">
        <f>IF($AU461="",0,IF(AND(IFERROR(LOOKUP(2,1/($B$9:$B$460=$B461),$AR$9:$AR460),1),NOT(AND(OR($F461="dividend",$F461="fee"),IFERROR(LOOKUP(2,1/($B$9:$B$460=$B461),$T$9:$T460),0)&gt;0))),ROW(),0))</f>
        <v>0</v>
      </c>
      <c r="AW461">
        <f>IF($A461="",0,IF($AV461&gt;0,MAX($AW$9:$AW$460)+1,MAX($AW$9:$AW$460)))</f>
        <v>0</v>
      </c>
      <c r="AX461">
        <f>IF($AU461="",0,IF(AND($AR461,OR(NOT(IFERROR(LOOKUP(2,1/($B$9:$B$460=$B461),$AR$9:$AR460),1)),IFERROR(LOOKUP(2,1/($B$9:$B$460=$B461),$T$9:$T460),0)=0)),ROW(),0))</f>
        <v>0</v>
      </c>
      <c r="AY461" t="str">
        <f t="shared" si="135"/>
        <v/>
      </c>
    </row>
    <row r="462" spans="1:51" ht="15" x14ac:dyDescent="0.25">
      <c r="A462" s="52" t="str">
        <f>IF(Trades!$A462="","",Trades!O462)</f>
        <v/>
      </c>
      <c r="B462" s="52" t="str">
        <f>IF(Trades!$A462="","",Trades!B462)</f>
        <v/>
      </c>
      <c r="C462" s="52" t="str">
        <f>IF(Trades!$A462="","",Trades!C462)</f>
        <v/>
      </c>
      <c r="D462" s="53" t="str">
        <f>IF(Trades!$A462="","",IF(Trades!$L462&gt;0,Trades!$L462,Trades!$C$6))</f>
        <v/>
      </c>
      <c r="E462" s="54" t="str">
        <f>IF(Trades!$A462="","",Trades!A462)</f>
        <v/>
      </c>
      <c r="F462" s="52" t="str">
        <f>IF(Trades!$A462="","",IFERROR(INDEX(Trades!$V$2:$V$14,MATCH(Trades!$E462,Trades!$U$2:$U$14,0)),""))</f>
        <v/>
      </c>
      <c r="G462" s="52" t="str">
        <f>IF(Trades!$A462="","",Trades!N462)</f>
        <v/>
      </c>
      <c r="H462" s="53" t="str">
        <f>IF(Trades!$A462="","",Trades!F462)</f>
        <v/>
      </c>
      <c r="I462" s="55" t="str">
        <f>IF(Trades!$A462="","",Trades!G462)</f>
        <v/>
      </c>
      <c r="J462" s="55" t="str">
        <f>IF(Trades!$A462="","",Trades!I462)</f>
        <v/>
      </c>
      <c r="K462" s="55" t="str">
        <f>IF(Trades!$A462="","",Trades!Q462)</f>
        <v/>
      </c>
      <c r="L462" s="53" t="str">
        <f>IF(Trades!$A462="","",Trades!F462)</f>
        <v/>
      </c>
      <c r="M462" s="55" t="str">
        <f>IF(Trades!$A462="","",Trades!M462)</f>
        <v/>
      </c>
      <c r="N462" s="55" t="str">
        <f>IF(Trades!$A462="","",Trades!R462)</f>
        <v/>
      </c>
      <c r="O462" s="55" t="str">
        <f>IF(Trades!$A462="","",Trades!J462)</f>
        <v/>
      </c>
      <c r="P462" s="54" t="str">
        <f>IF(Trades!$A462="","",Trades!H462)</f>
        <v/>
      </c>
      <c r="Q462" s="52" t="str">
        <f>IF(Trades!$A462="","",Trades!P462)</f>
        <v/>
      </c>
      <c r="R462" s="56" t="str">
        <f t="shared" si="119"/>
        <v/>
      </c>
      <c r="S462" s="56" t="str">
        <f t="shared" si="120"/>
        <v/>
      </c>
      <c r="T462" s="57" t="str">
        <f>IF(OR($A462="",$B462=""),"",IF(AND(IFERROR(LOOKUP(2,1/($B$9:$B$461=$B462),$AR$9:$AR461),1),NOT(AND(OR($F462="dividend",$F462="fee"),IFERROR(LOOKUP(2,1/($B$9:$B$461=$B462),$T$9:$T461),0)&gt;0))),IFERROR(LOOKUP(2,1/($B$9:$B$461=$B462),$T$9:$T461),0)+1,IFERROR(LOOKUP(2,1/($B$9:$B$461=$B462),$T$9:$T461),0)))</f>
        <v/>
      </c>
      <c r="U462" s="58" t="str">
        <f t="shared" si="121"/>
        <v/>
      </c>
      <c r="V462" s="58" t="str">
        <f>IF($A462="","",IF(OR($B462="",$C462="",$D462="",$E462="",$F462=""),"Missing required field",IF(COUNTIFS($A$9:$A462,$A462,$B$9:$B462,$B462)&gt;1,"Duplicate event ID",IF(AND($E462&lt;&gt;IFERROR(LOOKUP(2,1/($B$9:$B$461=$B462),$E$9:$E461),0),IFERROR(LOOKUP(2,1/($B$9:$B$461=$B462),$E$9:$E461),0)&gt;$E462),"Date out of order",IF(AND(OR($F462="buy_to_close",$F462="expire",$F462="roll",$F462="assignment",$F462="called_away"),$AF462=0),"Unknown lot",IF(OR(AND($F462="assignment",$AF462&gt;0,IF($AF462&gt;0,INDEX($AG$9:$AG$461,$AF462),"")&lt;&gt;"put"),AND($F462="called_away",$AF462&gt;0,IF($AF462&gt;0,INDEX($AG$9:$AG$461,$AF462),"")&lt;&gt;"call")),"Wrong option leg",IF(OR(AND(OR($F462="sell_put",$F462="sell_call"),OR($H462&lt;=0,$I462&lt;=0,$J462&lt;0)),AND(OR($F462="buy_to_close",$F462="expire",$F462="assignment",$F462="called_away"),OR($H462&lt;=0,$J462&lt;0)),AND($F462="roll",OR($H462&lt;=0,$I462&lt;=0,$J462&lt;0,$K462&lt;0)),AND(OR($F462="buy_shares",$F462="sell_shares"),OR($L462&lt;=0,$M462&lt;0)),AND(OR($F462="dividend",$F462="fee"),$N462&lt;0)),"Invalid value",IF(AND(OR($F462="sell_shares",$F462="called_away"),$AL462&lt;IF($F462="called_away",$AE462*$D462,$L462)),"Insufficient shares (capped)",IF(AND(OR($F462="buy_to_close",$F462="expire",$F462="roll",$F462="assignment",$F462="called_away"),$AF462&gt;0,$H462&gt;IF($AF462&gt;0,MAX(0,INDEX($AI$9:$AI$461,$AF462)-SUMIFS($AE$9:$AE$461,$G$9:$G$461,$G462,$B$9:$B$461,$B462)),0)),"Close quantity capped","OK")))))))))</f>
        <v/>
      </c>
      <c r="W462" s="59" t="str">
        <f t="shared" si="122"/>
        <v/>
      </c>
      <c r="X462" s="60" t="str">
        <f t="shared" si="123"/>
        <v/>
      </c>
      <c r="Y462" s="50" t="str">
        <f t="shared" si="124"/>
        <v/>
      </c>
      <c r="Z462" s="50" t="str">
        <f t="shared" si="125"/>
        <v/>
      </c>
      <c r="AA462" s="50" t="str">
        <f t="shared" si="126"/>
        <v/>
      </c>
      <c r="AB462" s="50" t="str">
        <f t="shared" si="127"/>
        <v/>
      </c>
      <c r="AC462" s="50" t="str">
        <f>IF($A462="","",IF($F462="assignment",IF($AF462&gt;0,INDEX($AH$9:$AH$461,$AF462),0)*$AE462*$D462,IF($F462="buy_shares",$M462*$AL462,0)))</f>
        <v/>
      </c>
      <c r="AD462" s="50" t="str">
        <f>IF($A462="","",IF($F462="called_away",IF($AF462&gt;0,INDEX($AH$9:$AH$461,$AF462),0)*$AL462,IF($F462="sell_shares",$M462*$AL462,0)))</f>
        <v/>
      </c>
      <c r="AE462" s="51" t="str">
        <f>IF($A462="","",IF(OR($F462="sell_put",$F462="sell_call"),IF(AND($H462&gt;0,$I462&gt;0,$J462&gt;=0),$H462,0),IF(OR($F462="buy_to_close",$F462="expire",$F462="roll",$F462="assignment",$F462="called_away"),IF(AND($AF462&gt;0,$H462&gt;0,IF($F462="assignment",IF($AF462&gt;0,INDEX($AG$9:$AG$461,$AF462),"")="put",TRUE),IF($F462="called_away",IF($AF462&gt;0,INDEX($AG$9:$AG$461,$AF462),"")="call",TRUE)),MIN($H462,IF($AF462&gt;0,MAX(0,INDEX($AI$9:$AI$461,$AF462)-SUMIFS($AE$9:$AE$461,$G$9:$G$461,$G462,$B$9:$B$461,$B462)),0)),0),0)))</f>
        <v/>
      </c>
      <c r="AF462" t="str">
        <f>IF($A462="","",IFERROR(MATCH(LEN($B462)&amp;":"&amp;$B462&amp;$G462,$AY$9:$AY$461,0),0))</f>
        <v/>
      </c>
      <c r="AG462" t="str">
        <f>IF($A462="","",IF($F462="sell_put","put",IF($F462="sell_call","call",IF($F462="roll",IF($AF462&gt;0,IF($AF462&gt;0,INDEX($AG$9:$AG$461,$AF462),""),""),IF($AF462&gt;0,IF($AF462&gt;0,INDEX($AG$9:$AG$461,$AF462),""),"")))))</f>
        <v/>
      </c>
      <c r="AH462" t="str">
        <f>IF($A462="","",IF(OR($F462="sell_put",$F462="sell_call",$F462="roll"),$I462,IF($AF462&gt;0,IF($AF462&gt;0,INDEX($AH$9:$AH$461,$AF462),0),0)))</f>
        <v/>
      </c>
      <c r="AI462" s="51" t="str">
        <f t="shared" si="128"/>
        <v/>
      </c>
      <c r="AJ462" s="51" t="str">
        <f>IF($A462="","",IFERROR(LOOKUP(2,1/($B$9:$B$461=$B462),$AM$9:$AM461),0))</f>
        <v/>
      </c>
      <c r="AK462" t="str">
        <f>IF($A462="","",IFERROR(LOOKUP(2,1/($B$9:$B$461=$B462),$AN$9:$AN461),0))</f>
        <v/>
      </c>
      <c r="AL462" s="51" t="str">
        <f t="shared" si="129"/>
        <v/>
      </c>
      <c r="AM462" s="51" t="str">
        <f t="shared" si="130"/>
        <v/>
      </c>
      <c r="AN462" t="str">
        <f t="shared" si="131"/>
        <v/>
      </c>
      <c r="AO462" s="50" t="str">
        <f>IF($A462="","",IFERROR(LOOKUP(2,1/($B$9:$B$461=$B462),$AO$9:$AO461),0)+IF($F462="sell_put",$I462*$AE462*$D462,IF($F462="roll",IF($AG462="put",($I462-IF($AF462&gt;0,INDEX($AH$9:$AH$461,$AF462),0))*$AE462*$D462,0),IF(AND(OR($F462="buy_to_close",$F462="expire",$F462="roll",$F462="assignment",$F462="called_away"),$F462&lt;&gt;"roll",$AG462="put"),-IF($AF462&gt;0,INDEX($AH$9:$AH$461,$AF462),0)*$AE462*$D462,0))))</f>
        <v/>
      </c>
      <c r="AP462" s="51" t="str">
        <f>IF($A462="","",IFERROR(LOOKUP(2,1/($B$9:$B$461=$B462),$AP$9:$AP461),0)+IF($F462="sell_put",$AE462*$D462,IF(AND(OR($F462="buy_to_close",$F462="expire",$F462="roll",$F462="assignment",$F462="called_away"),$F462&lt;&gt;"roll",$AG462="put"),-$AE462*$D462,0)))</f>
        <v/>
      </c>
      <c r="AQ462" s="51" t="str">
        <f>IF($A462="","",IFERROR(LOOKUP(2,1/($B$9:$B$461=$B462),$AQ$9:$AQ461),0)+IF(OR($F462="sell_put",$F462="sell_call"),$AE462,0)-IF(AND(OR($F462="buy_to_close",$F462="expire",$F462="roll",$F462="assignment",$F462="called_away"),$F462&lt;&gt;"roll"),$AE462,0))</f>
        <v/>
      </c>
      <c r="AR462" t="str">
        <f t="shared" si="132"/>
        <v/>
      </c>
      <c r="AS462" s="50" t="str">
        <f t="shared" si="133"/>
        <v/>
      </c>
      <c r="AT462" s="50" t="str">
        <f>IF($A462="","",MAX(IF($T462=IFERROR(LOOKUP(2,1/($B$9:$B$461=$B462),$T$9:$T461),0),IFERROR(LOOKUP(2,1/($B$9:$B$461=$B462),$AT$9:$AT461),0),0),$AS462))</f>
        <v/>
      </c>
      <c r="AU462" t="str">
        <f t="shared" si="134"/>
        <v/>
      </c>
      <c r="AV462" s="51">
        <f>IF($AU462="",0,IF(AND(IFERROR(LOOKUP(2,1/($B$9:$B$461=$B462),$AR$9:$AR461),1),NOT(AND(OR($F462="dividend",$F462="fee"),IFERROR(LOOKUP(2,1/($B$9:$B$461=$B462),$T$9:$T461),0)&gt;0))),ROW(),0))</f>
        <v>0</v>
      </c>
      <c r="AW462">
        <f>IF($A462="",0,IF($AV462&gt;0,MAX($AW$9:$AW$461)+1,MAX($AW$9:$AW$461)))</f>
        <v>0</v>
      </c>
      <c r="AX462">
        <f>IF($AU462="",0,IF(AND($AR462,OR(NOT(IFERROR(LOOKUP(2,1/($B$9:$B$461=$B462),$AR$9:$AR461),1)),IFERROR(LOOKUP(2,1/($B$9:$B$461=$B462),$T$9:$T461),0)=0)),ROW(),0))</f>
        <v>0</v>
      </c>
      <c r="AY462" t="str">
        <f t="shared" si="135"/>
        <v/>
      </c>
    </row>
    <row r="463" spans="1:51" ht="15" x14ac:dyDescent="0.25">
      <c r="A463" s="41" t="str">
        <f>IF(Trades!$A463="","",Trades!O463)</f>
        <v/>
      </c>
      <c r="B463" s="41" t="str">
        <f>IF(Trades!$A463="","",Trades!B463)</f>
        <v/>
      </c>
      <c r="C463" s="41" t="str">
        <f>IF(Trades!$A463="","",Trades!C463)</f>
        <v/>
      </c>
      <c r="D463" s="42" t="str">
        <f>IF(Trades!$A463="","",IF(Trades!$L463&gt;0,Trades!$L463,Trades!$C$6))</f>
        <v/>
      </c>
      <c r="E463" s="43" t="str">
        <f>IF(Trades!$A463="","",Trades!A463)</f>
        <v/>
      </c>
      <c r="F463" s="41" t="str">
        <f>IF(Trades!$A463="","",IFERROR(INDEX(Trades!$V$2:$V$14,MATCH(Trades!$E463,Trades!$U$2:$U$14,0)),""))</f>
        <v/>
      </c>
      <c r="G463" s="41" t="str">
        <f>IF(Trades!$A463="","",Trades!N463)</f>
        <v/>
      </c>
      <c r="H463" s="42" t="str">
        <f>IF(Trades!$A463="","",Trades!F463)</f>
        <v/>
      </c>
      <c r="I463" s="44" t="str">
        <f>IF(Trades!$A463="","",Trades!G463)</f>
        <v/>
      </c>
      <c r="J463" s="44" t="str">
        <f>IF(Trades!$A463="","",Trades!I463)</f>
        <v/>
      </c>
      <c r="K463" s="44" t="str">
        <f>IF(Trades!$A463="","",Trades!Q463)</f>
        <v/>
      </c>
      <c r="L463" s="42" t="str">
        <f>IF(Trades!$A463="","",Trades!F463)</f>
        <v/>
      </c>
      <c r="M463" s="44" t="str">
        <f>IF(Trades!$A463="","",Trades!M463)</f>
        <v/>
      </c>
      <c r="N463" s="44" t="str">
        <f>IF(Trades!$A463="","",Trades!R463)</f>
        <v/>
      </c>
      <c r="O463" s="44" t="str">
        <f>IF(Trades!$A463="","",Trades!J463)</f>
        <v/>
      </c>
      <c r="P463" s="43" t="str">
        <f>IF(Trades!$A463="","",Trades!H463)</f>
        <v/>
      </c>
      <c r="Q463" s="41" t="str">
        <f>IF(Trades!$A463="","",Trades!P463)</f>
        <v/>
      </c>
      <c r="R463" s="45" t="str">
        <f t="shared" si="119"/>
        <v/>
      </c>
      <c r="S463" s="45" t="str">
        <f t="shared" si="120"/>
        <v/>
      </c>
      <c r="T463" s="46" t="str">
        <f>IF(OR($A463="",$B463=""),"",IF(AND(IFERROR(LOOKUP(2,1/($B$9:$B$462=$B463),$AR$9:$AR462),1),NOT(AND(OR($F463="dividend",$F463="fee"),IFERROR(LOOKUP(2,1/($B$9:$B$462=$B463),$T$9:$T462),0)&gt;0))),IFERROR(LOOKUP(2,1/($B$9:$B$462=$B463),$T$9:$T462),0)+1,IFERROR(LOOKUP(2,1/($B$9:$B$462=$B463),$T$9:$T462),0)))</f>
        <v/>
      </c>
      <c r="U463" s="47" t="str">
        <f t="shared" si="121"/>
        <v/>
      </c>
      <c r="V463" s="47" t="str">
        <f>IF($A463="","",IF(OR($B463="",$C463="",$D463="",$E463="",$F463=""),"Missing required field",IF(COUNTIFS($A$9:$A463,$A463,$B$9:$B463,$B463)&gt;1,"Duplicate event ID",IF(AND($E463&lt;&gt;IFERROR(LOOKUP(2,1/($B$9:$B$462=$B463),$E$9:$E462),0),IFERROR(LOOKUP(2,1/($B$9:$B$462=$B463),$E$9:$E462),0)&gt;$E463),"Date out of order",IF(AND(OR($F463="buy_to_close",$F463="expire",$F463="roll",$F463="assignment",$F463="called_away"),$AF463=0),"Unknown lot",IF(OR(AND($F463="assignment",$AF463&gt;0,IF($AF463&gt;0,INDEX($AG$9:$AG$462,$AF463),"")&lt;&gt;"put"),AND($F463="called_away",$AF463&gt;0,IF($AF463&gt;0,INDEX($AG$9:$AG$462,$AF463),"")&lt;&gt;"call")),"Wrong option leg",IF(OR(AND(OR($F463="sell_put",$F463="sell_call"),OR($H463&lt;=0,$I463&lt;=0,$J463&lt;0)),AND(OR($F463="buy_to_close",$F463="expire",$F463="assignment",$F463="called_away"),OR($H463&lt;=0,$J463&lt;0)),AND($F463="roll",OR($H463&lt;=0,$I463&lt;=0,$J463&lt;0,$K463&lt;0)),AND(OR($F463="buy_shares",$F463="sell_shares"),OR($L463&lt;=0,$M463&lt;0)),AND(OR($F463="dividend",$F463="fee"),$N463&lt;0)),"Invalid value",IF(AND(OR($F463="sell_shares",$F463="called_away"),$AL463&lt;IF($F463="called_away",$AE463*$D463,$L463)),"Insufficient shares (capped)",IF(AND(OR($F463="buy_to_close",$F463="expire",$F463="roll",$F463="assignment",$F463="called_away"),$AF463&gt;0,$H463&gt;IF($AF463&gt;0,MAX(0,INDEX($AI$9:$AI$462,$AF463)-SUMIFS($AE$9:$AE$462,$G$9:$G$462,$G463,$B$9:$B$462,$B463)),0)),"Close quantity capped","OK")))))))))</f>
        <v/>
      </c>
      <c r="W463" s="48" t="str">
        <f t="shared" si="122"/>
        <v/>
      </c>
      <c r="X463" s="49" t="str">
        <f t="shared" si="123"/>
        <v/>
      </c>
      <c r="Y463" s="50" t="str">
        <f t="shared" si="124"/>
        <v/>
      </c>
      <c r="Z463" s="50" t="str">
        <f t="shared" si="125"/>
        <v/>
      </c>
      <c r="AA463" s="50" t="str">
        <f t="shared" si="126"/>
        <v/>
      </c>
      <c r="AB463" s="50" t="str">
        <f t="shared" si="127"/>
        <v/>
      </c>
      <c r="AC463" s="50" t="str">
        <f>IF($A463="","",IF($F463="assignment",IF($AF463&gt;0,INDEX($AH$9:$AH$462,$AF463),0)*$AE463*$D463,IF($F463="buy_shares",$M463*$AL463,0)))</f>
        <v/>
      </c>
      <c r="AD463" s="50" t="str">
        <f>IF($A463="","",IF($F463="called_away",IF($AF463&gt;0,INDEX($AH$9:$AH$462,$AF463),0)*$AL463,IF($F463="sell_shares",$M463*$AL463,0)))</f>
        <v/>
      </c>
      <c r="AE463" s="51" t="str">
        <f>IF($A463="","",IF(OR($F463="sell_put",$F463="sell_call"),IF(AND($H463&gt;0,$I463&gt;0,$J463&gt;=0),$H463,0),IF(OR($F463="buy_to_close",$F463="expire",$F463="roll",$F463="assignment",$F463="called_away"),IF(AND($AF463&gt;0,$H463&gt;0,IF($F463="assignment",IF($AF463&gt;0,INDEX($AG$9:$AG$462,$AF463),"")="put",TRUE),IF($F463="called_away",IF($AF463&gt;0,INDEX($AG$9:$AG$462,$AF463),"")="call",TRUE)),MIN($H463,IF($AF463&gt;0,MAX(0,INDEX($AI$9:$AI$462,$AF463)-SUMIFS($AE$9:$AE$462,$G$9:$G$462,$G463,$B$9:$B$462,$B463)),0)),0),0)))</f>
        <v/>
      </c>
      <c r="AF463" t="str">
        <f>IF($A463="","",IFERROR(MATCH(LEN($B463)&amp;":"&amp;$B463&amp;$G463,$AY$9:$AY$462,0),0))</f>
        <v/>
      </c>
      <c r="AG463" t="str">
        <f>IF($A463="","",IF($F463="sell_put","put",IF($F463="sell_call","call",IF($F463="roll",IF($AF463&gt;0,IF($AF463&gt;0,INDEX($AG$9:$AG$462,$AF463),""),""),IF($AF463&gt;0,IF($AF463&gt;0,INDEX($AG$9:$AG$462,$AF463),""),"")))))</f>
        <v/>
      </c>
      <c r="AH463" t="str">
        <f>IF($A463="","",IF(OR($F463="sell_put",$F463="sell_call",$F463="roll"),$I463,IF($AF463&gt;0,IF($AF463&gt;0,INDEX($AH$9:$AH$462,$AF463),0),0)))</f>
        <v/>
      </c>
      <c r="AI463" s="51" t="str">
        <f t="shared" si="128"/>
        <v/>
      </c>
      <c r="AJ463" s="51" t="str">
        <f>IF($A463="","",IFERROR(LOOKUP(2,1/($B$9:$B$462=$B463),$AM$9:$AM462),0))</f>
        <v/>
      </c>
      <c r="AK463" t="str">
        <f>IF($A463="","",IFERROR(LOOKUP(2,1/($B$9:$B$462=$B463),$AN$9:$AN462),0))</f>
        <v/>
      </c>
      <c r="AL463" s="51" t="str">
        <f t="shared" si="129"/>
        <v/>
      </c>
      <c r="AM463" s="51" t="str">
        <f t="shared" si="130"/>
        <v/>
      </c>
      <c r="AN463" t="str">
        <f t="shared" si="131"/>
        <v/>
      </c>
      <c r="AO463" s="50" t="str">
        <f>IF($A463="","",IFERROR(LOOKUP(2,1/($B$9:$B$462=$B463),$AO$9:$AO462),0)+IF($F463="sell_put",$I463*$AE463*$D463,IF($F463="roll",IF($AG463="put",($I463-IF($AF463&gt;0,INDEX($AH$9:$AH$462,$AF463),0))*$AE463*$D463,0),IF(AND(OR($F463="buy_to_close",$F463="expire",$F463="roll",$F463="assignment",$F463="called_away"),$F463&lt;&gt;"roll",$AG463="put"),-IF($AF463&gt;0,INDEX($AH$9:$AH$462,$AF463),0)*$AE463*$D463,0))))</f>
        <v/>
      </c>
      <c r="AP463" s="51" t="str">
        <f>IF($A463="","",IFERROR(LOOKUP(2,1/($B$9:$B$462=$B463),$AP$9:$AP462),0)+IF($F463="sell_put",$AE463*$D463,IF(AND(OR($F463="buy_to_close",$F463="expire",$F463="roll",$F463="assignment",$F463="called_away"),$F463&lt;&gt;"roll",$AG463="put"),-$AE463*$D463,0)))</f>
        <v/>
      </c>
      <c r="AQ463" s="51" t="str">
        <f>IF($A463="","",IFERROR(LOOKUP(2,1/($B$9:$B$462=$B463),$AQ$9:$AQ462),0)+IF(OR($F463="sell_put",$F463="sell_call"),$AE463,0)-IF(AND(OR($F463="buy_to_close",$F463="expire",$F463="roll",$F463="assignment",$F463="called_away"),$F463&lt;&gt;"roll"),$AE463,0))</f>
        <v/>
      </c>
      <c r="AR463" t="str">
        <f t="shared" si="132"/>
        <v/>
      </c>
      <c r="AS463" s="50" t="str">
        <f t="shared" si="133"/>
        <v/>
      </c>
      <c r="AT463" s="50" t="str">
        <f>IF($A463="","",MAX(IF($T463=IFERROR(LOOKUP(2,1/($B$9:$B$462=$B463),$T$9:$T462),0),IFERROR(LOOKUP(2,1/($B$9:$B$462=$B463),$AT$9:$AT462),0),0),$AS463))</f>
        <v/>
      </c>
      <c r="AU463" t="str">
        <f t="shared" si="134"/>
        <v/>
      </c>
      <c r="AV463" s="51">
        <f>IF($AU463="",0,IF(AND(IFERROR(LOOKUP(2,1/($B$9:$B$462=$B463),$AR$9:$AR462),1),NOT(AND(OR($F463="dividend",$F463="fee"),IFERROR(LOOKUP(2,1/($B$9:$B$462=$B463),$T$9:$T462),0)&gt;0))),ROW(),0))</f>
        <v>0</v>
      </c>
      <c r="AW463">
        <f>IF($A463="",0,IF($AV463&gt;0,MAX($AW$9:$AW$462)+1,MAX($AW$9:$AW$462)))</f>
        <v>0</v>
      </c>
      <c r="AX463">
        <f>IF($AU463="",0,IF(AND($AR463,OR(NOT(IFERROR(LOOKUP(2,1/($B$9:$B$462=$B463),$AR$9:$AR462),1)),IFERROR(LOOKUP(2,1/($B$9:$B$462=$B463),$T$9:$T462),0)=0)),ROW(),0))</f>
        <v>0</v>
      </c>
      <c r="AY463" t="str">
        <f t="shared" si="135"/>
        <v/>
      </c>
    </row>
    <row r="464" spans="1:51" ht="15" x14ac:dyDescent="0.25">
      <c r="A464" s="52" t="str">
        <f>IF(Trades!$A464="","",Trades!O464)</f>
        <v/>
      </c>
      <c r="B464" s="52" t="str">
        <f>IF(Trades!$A464="","",Trades!B464)</f>
        <v/>
      </c>
      <c r="C464" s="52" t="str">
        <f>IF(Trades!$A464="","",Trades!C464)</f>
        <v/>
      </c>
      <c r="D464" s="53" t="str">
        <f>IF(Trades!$A464="","",IF(Trades!$L464&gt;0,Trades!$L464,Trades!$C$6))</f>
        <v/>
      </c>
      <c r="E464" s="54" t="str">
        <f>IF(Trades!$A464="","",Trades!A464)</f>
        <v/>
      </c>
      <c r="F464" s="52" t="str">
        <f>IF(Trades!$A464="","",IFERROR(INDEX(Trades!$V$2:$V$14,MATCH(Trades!$E464,Trades!$U$2:$U$14,0)),""))</f>
        <v/>
      </c>
      <c r="G464" s="52" t="str">
        <f>IF(Trades!$A464="","",Trades!N464)</f>
        <v/>
      </c>
      <c r="H464" s="53" t="str">
        <f>IF(Trades!$A464="","",Trades!F464)</f>
        <v/>
      </c>
      <c r="I464" s="55" t="str">
        <f>IF(Trades!$A464="","",Trades!G464)</f>
        <v/>
      </c>
      <c r="J464" s="55" t="str">
        <f>IF(Trades!$A464="","",Trades!I464)</f>
        <v/>
      </c>
      <c r="K464" s="55" t="str">
        <f>IF(Trades!$A464="","",Trades!Q464)</f>
        <v/>
      </c>
      <c r="L464" s="53" t="str">
        <f>IF(Trades!$A464="","",Trades!F464)</f>
        <v/>
      </c>
      <c r="M464" s="55" t="str">
        <f>IF(Trades!$A464="","",Trades!M464)</f>
        <v/>
      </c>
      <c r="N464" s="55" t="str">
        <f>IF(Trades!$A464="","",Trades!R464)</f>
        <v/>
      </c>
      <c r="O464" s="55" t="str">
        <f>IF(Trades!$A464="","",Trades!J464)</f>
        <v/>
      </c>
      <c r="P464" s="54" t="str">
        <f>IF(Trades!$A464="","",Trades!H464)</f>
        <v/>
      </c>
      <c r="Q464" s="52" t="str">
        <f>IF(Trades!$A464="","",Trades!P464)</f>
        <v/>
      </c>
      <c r="R464" s="56" t="str">
        <f t="shared" si="119"/>
        <v/>
      </c>
      <c r="S464" s="56" t="str">
        <f t="shared" si="120"/>
        <v/>
      </c>
      <c r="T464" s="57" t="str">
        <f>IF(OR($A464="",$B464=""),"",IF(AND(IFERROR(LOOKUP(2,1/($B$9:$B$463=$B464),$AR$9:$AR463),1),NOT(AND(OR($F464="dividend",$F464="fee"),IFERROR(LOOKUP(2,1/($B$9:$B$463=$B464),$T$9:$T463),0)&gt;0))),IFERROR(LOOKUP(2,1/($B$9:$B$463=$B464),$T$9:$T463),0)+1,IFERROR(LOOKUP(2,1/($B$9:$B$463=$B464),$T$9:$T463),0)))</f>
        <v/>
      </c>
      <c r="U464" s="58" t="str">
        <f t="shared" si="121"/>
        <v/>
      </c>
      <c r="V464" s="58" t="str">
        <f>IF($A464="","",IF(OR($B464="",$C464="",$D464="",$E464="",$F464=""),"Missing required field",IF(COUNTIFS($A$9:$A464,$A464,$B$9:$B464,$B464)&gt;1,"Duplicate event ID",IF(AND($E464&lt;&gt;IFERROR(LOOKUP(2,1/($B$9:$B$463=$B464),$E$9:$E463),0),IFERROR(LOOKUP(2,1/($B$9:$B$463=$B464),$E$9:$E463),0)&gt;$E464),"Date out of order",IF(AND(OR($F464="buy_to_close",$F464="expire",$F464="roll",$F464="assignment",$F464="called_away"),$AF464=0),"Unknown lot",IF(OR(AND($F464="assignment",$AF464&gt;0,IF($AF464&gt;0,INDEX($AG$9:$AG$463,$AF464),"")&lt;&gt;"put"),AND($F464="called_away",$AF464&gt;0,IF($AF464&gt;0,INDEX($AG$9:$AG$463,$AF464),"")&lt;&gt;"call")),"Wrong option leg",IF(OR(AND(OR($F464="sell_put",$F464="sell_call"),OR($H464&lt;=0,$I464&lt;=0,$J464&lt;0)),AND(OR($F464="buy_to_close",$F464="expire",$F464="assignment",$F464="called_away"),OR($H464&lt;=0,$J464&lt;0)),AND($F464="roll",OR($H464&lt;=0,$I464&lt;=0,$J464&lt;0,$K464&lt;0)),AND(OR($F464="buy_shares",$F464="sell_shares"),OR($L464&lt;=0,$M464&lt;0)),AND(OR($F464="dividend",$F464="fee"),$N464&lt;0)),"Invalid value",IF(AND(OR($F464="sell_shares",$F464="called_away"),$AL464&lt;IF($F464="called_away",$AE464*$D464,$L464)),"Insufficient shares (capped)",IF(AND(OR($F464="buy_to_close",$F464="expire",$F464="roll",$F464="assignment",$F464="called_away"),$AF464&gt;0,$H464&gt;IF($AF464&gt;0,MAX(0,INDEX($AI$9:$AI$463,$AF464)-SUMIFS($AE$9:$AE$463,$G$9:$G$463,$G464,$B$9:$B$463,$B464)),0)),"Close quantity capped","OK")))))))))</f>
        <v/>
      </c>
      <c r="W464" s="59" t="str">
        <f t="shared" si="122"/>
        <v/>
      </c>
      <c r="X464" s="60" t="str">
        <f t="shared" si="123"/>
        <v/>
      </c>
      <c r="Y464" s="50" t="str">
        <f t="shared" si="124"/>
        <v/>
      </c>
      <c r="Z464" s="50" t="str">
        <f t="shared" si="125"/>
        <v/>
      </c>
      <c r="AA464" s="50" t="str">
        <f t="shared" si="126"/>
        <v/>
      </c>
      <c r="AB464" s="50" t="str">
        <f t="shared" si="127"/>
        <v/>
      </c>
      <c r="AC464" s="50" t="str">
        <f>IF($A464="","",IF($F464="assignment",IF($AF464&gt;0,INDEX($AH$9:$AH$463,$AF464),0)*$AE464*$D464,IF($F464="buy_shares",$M464*$AL464,0)))</f>
        <v/>
      </c>
      <c r="AD464" s="50" t="str">
        <f>IF($A464="","",IF($F464="called_away",IF($AF464&gt;0,INDEX($AH$9:$AH$463,$AF464),0)*$AL464,IF($F464="sell_shares",$M464*$AL464,0)))</f>
        <v/>
      </c>
      <c r="AE464" s="51" t="str">
        <f>IF($A464="","",IF(OR($F464="sell_put",$F464="sell_call"),IF(AND($H464&gt;0,$I464&gt;0,$J464&gt;=0),$H464,0),IF(OR($F464="buy_to_close",$F464="expire",$F464="roll",$F464="assignment",$F464="called_away"),IF(AND($AF464&gt;0,$H464&gt;0,IF($F464="assignment",IF($AF464&gt;0,INDEX($AG$9:$AG$463,$AF464),"")="put",TRUE),IF($F464="called_away",IF($AF464&gt;0,INDEX($AG$9:$AG$463,$AF464),"")="call",TRUE)),MIN($H464,IF($AF464&gt;0,MAX(0,INDEX($AI$9:$AI$463,$AF464)-SUMIFS($AE$9:$AE$463,$G$9:$G$463,$G464,$B$9:$B$463,$B464)),0)),0),0)))</f>
        <v/>
      </c>
      <c r="AF464" t="str">
        <f>IF($A464="","",IFERROR(MATCH(LEN($B464)&amp;":"&amp;$B464&amp;$G464,$AY$9:$AY$463,0),0))</f>
        <v/>
      </c>
      <c r="AG464" t="str">
        <f>IF($A464="","",IF($F464="sell_put","put",IF($F464="sell_call","call",IF($F464="roll",IF($AF464&gt;0,IF($AF464&gt;0,INDEX($AG$9:$AG$463,$AF464),""),""),IF($AF464&gt;0,IF($AF464&gt;0,INDEX($AG$9:$AG$463,$AF464),""),"")))))</f>
        <v/>
      </c>
      <c r="AH464" t="str">
        <f>IF($A464="","",IF(OR($F464="sell_put",$F464="sell_call",$F464="roll"),$I464,IF($AF464&gt;0,IF($AF464&gt;0,INDEX($AH$9:$AH$463,$AF464),0),0)))</f>
        <v/>
      </c>
      <c r="AI464" s="51" t="str">
        <f t="shared" si="128"/>
        <v/>
      </c>
      <c r="AJ464" s="51" t="str">
        <f>IF($A464="","",IFERROR(LOOKUP(2,1/($B$9:$B$463=$B464),$AM$9:$AM463),0))</f>
        <v/>
      </c>
      <c r="AK464" t="str">
        <f>IF($A464="","",IFERROR(LOOKUP(2,1/($B$9:$B$463=$B464),$AN$9:$AN463),0))</f>
        <v/>
      </c>
      <c r="AL464" s="51" t="str">
        <f t="shared" si="129"/>
        <v/>
      </c>
      <c r="AM464" s="51" t="str">
        <f t="shared" si="130"/>
        <v/>
      </c>
      <c r="AN464" t="str">
        <f t="shared" si="131"/>
        <v/>
      </c>
      <c r="AO464" s="50" t="str">
        <f>IF($A464="","",IFERROR(LOOKUP(2,1/($B$9:$B$463=$B464),$AO$9:$AO463),0)+IF($F464="sell_put",$I464*$AE464*$D464,IF($F464="roll",IF($AG464="put",($I464-IF($AF464&gt;0,INDEX($AH$9:$AH$463,$AF464),0))*$AE464*$D464,0),IF(AND(OR($F464="buy_to_close",$F464="expire",$F464="roll",$F464="assignment",$F464="called_away"),$F464&lt;&gt;"roll",$AG464="put"),-IF($AF464&gt;0,INDEX($AH$9:$AH$463,$AF464),0)*$AE464*$D464,0))))</f>
        <v/>
      </c>
      <c r="AP464" s="51" t="str">
        <f>IF($A464="","",IFERROR(LOOKUP(2,1/($B$9:$B$463=$B464),$AP$9:$AP463),0)+IF($F464="sell_put",$AE464*$D464,IF(AND(OR($F464="buy_to_close",$F464="expire",$F464="roll",$F464="assignment",$F464="called_away"),$F464&lt;&gt;"roll",$AG464="put"),-$AE464*$D464,0)))</f>
        <v/>
      </c>
      <c r="AQ464" s="51" t="str">
        <f>IF($A464="","",IFERROR(LOOKUP(2,1/($B$9:$B$463=$B464),$AQ$9:$AQ463),0)+IF(OR($F464="sell_put",$F464="sell_call"),$AE464,0)-IF(AND(OR($F464="buy_to_close",$F464="expire",$F464="roll",$F464="assignment",$F464="called_away"),$F464&lt;&gt;"roll"),$AE464,0))</f>
        <v/>
      </c>
      <c r="AR464" t="str">
        <f t="shared" si="132"/>
        <v/>
      </c>
      <c r="AS464" s="50" t="str">
        <f t="shared" si="133"/>
        <v/>
      </c>
      <c r="AT464" s="50" t="str">
        <f>IF($A464="","",MAX(IF($T464=IFERROR(LOOKUP(2,1/($B$9:$B$463=$B464),$T$9:$T463),0),IFERROR(LOOKUP(2,1/($B$9:$B$463=$B464),$AT$9:$AT463),0),0),$AS464))</f>
        <v/>
      </c>
      <c r="AU464" t="str">
        <f t="shared" si="134"/>
        <v/>
      </c>
      <c r="AV464" s="51">
        <f>IF($AU464="",0,IF(AND(IFERROR(LOOKUP(2,1/($B$9:$B$463=$B464),$AR$9:$AR463),1),NOT(AND(OR($F464="dividend",$F464="fee"),IFERROR(LOOKUP(2,1/($B$9:$B$463=$B464),$T$9:$T463),0)&gt;0))),ROW(),0))</f>
        <v>0</v>
      </c>
      <c r="AW464">
        <f>IF($A464="",0,IF($AV464&gt;0,MAX($AW$9:$AW$463)+1,MAX($AW$9:$AW$463)))</f>
        <v>0</v>
      </c>
      <c r="AX464">
        <f>IF($AU464="",0,IF(AND($AR464,OR(NOT(IFERROR(LOOKUP(2,1/($B$9:$B$463=$B464),$AR$9:$AR463),1)),IFERROR(LOOKUP(2,1/($B$9:$B$463=$B464),$T$9:$T463),0)=0)),ROW(),0))</f>
        <v>0</v>
      </c>
      <c r="AY464" t="str">
        <f t="shared" si="135"/>
        <v/>
      </c>
    </row>
    <row r="465" spans="1:51" ht="15" x14ac:dyDescent="0.25">
      <c r="A465" s="41" t="str">
        <f>IF(Trades!$A465="","",Trades!O465)</f>
        <v/>
      </c>
      <c r="B465" s="41" t="str">
        <f>IF(Trades!$A465="","",Trades!B465)</f>
        <v/>
      </c>
      <c r="C465" s="41" t="str">
        <f>IF(Trades!$A465="","",Trades!C465)</f>
        <v/>
      </c>
      <c r="D465" s="42" t="str">
        <f>IF(Trades!$A465="","",IF(Trades!$L465&gt;0,Trades!$L465,Trades!$C$6))</f>
        <v/>
      </c>
      <c r="E465" s="43" t="str">
        <f>IF(Trades!$A465="","",Trades!A465)</f>
        <v/>
      </c>
      <c r="F465" s="41" t="str">
        <f>IF(Trades!$A465="","",IFERROR(INDEX(Trades!$V$2:$V$14,MATCH(Trades!$E465,Trades!$U$2:$U$14,0)),""))</f>
        <v/>
      </c>
      <c r="G465" s="41" t="str">
        <f>IF(Trades!$A465="","",Trades!N465)</f>
        <v/>
      </c>
      <c r="H465" s="42" t="str">
        <f>IF(Trades!$A465="","",Trades!F465)</f>
        <v/>
      </c>
      <c r="I465" s="44" t="str">
        <f>IF(Trades!$A465="","",Trades!G465)</f>
        <v/>
      </c>
      <c r="J465" s="44" t="str">
        <f>IF(Trades!$A465="","",Trades!I465)</f>
        <v/>
      </c>
      <c r="K465" s="44" t="str">
        <f>IF(Trades!$A465="","",Trades!Q465)</f>
        <v/>
      </c>
      <c r="L465" s="42" t="str">
        <f>IF(Trades!$A465="","",Trades!F465)</f>
        <v/>
      </c>
      <c r="M465" s="44" t="str">
        <f>IF(Trades!$A465="","",Trades!M465)</f>
        <v/>
      </c>
      <c r="N465" s="44" t="str">
        <f>IF(Trades!$A465="","",Trades!R465)</f>
        <v/>
      </c>
      <c r="O465" s="44" t="str">
        <f>IF(Trades!$A465="","",Trades!J465)</f>
        <v/>
      </c>
      <c r="P465" s="43" t="str">
        <f>IF(Trades!$A465="","",Trades!H465)</f>
        <v/>
      </c>
      <c r="Q465" s="41" t="str">
        <f>IF(Trades!$A465="","",Trades!P465)</f>
        <v/>
      </c>
      <c r="R465" s="45" t="str">
        <f t="shared" si="119"/>
        <v/>
      </c>
      <c r="S465" s="45" t="str">
        <f t="shared" si="120"/>
        <v/>
      </c>
      <c r="T465" s="46" t="str">
        <f>IF(OR($A465="",$B465=""),"",IF(AND(IFERROR(LOOKUP(2,1/($B$9:$B$464=$B465),$AR$9:$AR464),1),NOT(AND(OR($F465="dividend",$F465="fee"),IFERROR(LOOKUP(2,1/($B$9:$B$464=$B465),$T$9:$T464),0)&gt;0))),IFERROR(LOOKUP(2,1/($B$9:$B$464=$B465),$T$9:$T464),0)+1,IFERROR(LOOKUP(2,1/($B$9:$B$464=$B465),$T$9:$T464),0)))</f>
        <v/>
      </c>
      <c r="U465" s="47" t="str">
        <f t="shared" si="121"/>
        <v/>
      </c>
      <c r="V465" s="47" t="str">
        <f>IF($A465="","",IF(OR($B465="",$C465="",$D465="",$E465="",$F465=""),"Missing required field",IF(COUNTIFS($A$9:$A465,$A465,$B$9:$B465,$B465)&gt;1,"Duplicate event ID",IF(AND($E465&lt;&gt;IFERROR(LOOKUP(2,1/($B$9:$B$464=$B465),$E$9:$E464),0),IFERROR(LOOKUP(2,1/($B$9:$B$464=$B465),$E$9:$E464),0)&gt;$E465),"Date out of order",IF(AND(OR($F465="buy_to_close",$F465="expire",$F465="roll",$F465="assignment",$F465="called_away"),$AF465=0),"Unknown lot",IF(OR(AND($F465="assignment",$AF465&gt;0,IF($AF465&gt;0,INDEX($AG$9:$AG$464,$AF465),"")&lt;&gt;"put"),AND($F465="called_away",$AF465&gt;0,IF($AF465&gt;0,INDEX($AG$9:$AG$464,$AF465),"")&lt;&gt;"call")),"Wrong option leg",IF(OR(AND(OR($F465="sell_put",$F465="sell_call"),OR($H465&lt;=0,$I465&lt;=0,$J465&lt;0)),AND(OR($F465="buy_to_close",$F465="expire",$F465="assignment",$F465="called_away"),OR($H465&lt;=0,$J465&lt;0)),AND($F465="roll",OR($H465&lt;=0,$I465&lt;=0,$J465&lt;0,$K465&lt;0)),AND(OR($F465="buy_shares",$F465="sell_shares"),OR($L465&lt;=0,$M465&lt;0)),AND(OR($F465="dividend",$F465="fee"),$N465&lt;0)),"Invalid value",IF(AND(OR($F465="sell_shares",$F465="called_away"),$AL465&lt;IF($F465="called_away",$AE465*$D465,$L465)),"Insufficient shares (capped)",IF(AND(OR($F465="buy_to_close",$F465="expire",$F465="roll",$F465="assignment",$F465="called_away"),$AF465&gt;0,$H465&gt;IF($AF465&gt;0,MAX(0,INDEX($AI$9:$AI$464,$AF465)-SUMIFS($AE$9:$AE$464,$G$9:$G$464,$G465,$B$9:$B$464,$B465)),0)),"Close quantity capped","OK")))))))))</f>
        <v/>
      </c>
      <c r="W465" s="48" t="str">
        <f t="shared" si="122"/>
        <v/>
      </c>
      <c r="X465" s="49" t="str">
        <f t="shared" si="123"/>
        <v/>
      </c>
      <c r="Y465" s="50" t="str">
        <f t="shared" si="124"/>
        <v/>
      </c>
      <c r="Z465" s="50" t="str">
        <f t="shared" si="125"/>
        <v/>
      </c>
      <c r="AA465" s="50" t="str">
        <f t="shared" si="126"/>
        <v/>
      </c>
      <c r="AB465" s="50" t="str">
        <f t="shared" si="127"/>
        <v/>
      </c>
      <c r="AC465" s="50" t="str">
        <f>IF($A465="","",IF($F465="assignment",IF($AF465&gt;0,INDEX($AH$9:$AH$464,$AF465),0)*$AE465*$D465,IF($F465="buy_shares",$M465*$AL465,0)))</f>
        <v/>
      </c>
      <c r="AD465" s="50" t="str">
        <f>IF($A465="","",IF($F465="called_away",IF($AF465&gt;0,INDEX($AH$9:$AH$464,$AF465),0)*$AL465,IF($F465="sell_shares",$M465*$AL465,0)))</f>
        <v/>
      </c>
      <c r="AE465" s="51" t="str">
        <f>IF($A465="","",IF(OR($F465="sell_put",$F465="sell_call"),IF(AND($H465&gt;0,$I465&gt;0,$J465&gt;=0),$H465,0),IF(OR($F465="buy_to_close",$F465="expire",$F465="roll",$F465="assignment",$F465="called_away"),IF(AND($AF465&gt;0,$H465&gt;0,IF($F465="assignment",IF($AF465&gt;0,INDEX($AG$9:$AG$464,$AF465),"")="put",TRUE),IF($F465="called_away",IF($AF465&gt;0,INDEX($AG$9:$AG$464,$AF465),"")="call",TRUE)),MIN($H465,IF($AF465&gt;0,MAX(0,INDEX($AI$9:$AI$464,$AF465)-SUMIFS($AE$9:$AE$464,$G$9:$G$464,$G465,$B$9:$B$464,$B465)),0)),0),0)))</f>
        <v/>
      </c>
      <c r="AF465" t="str">
        <f>IF($A465="","",IFERROR(MATCH(LEN($B465)&amp;":"&amp;$B465&amp;$G465,$AY$9:$AY$464,0),0))</f>
        <v/>
      </c>
      <c r="AG465" t="str">
        <f>IF($A465="","",IF($F465="sell_put","put",IF($F465="sell_call","call",IF($F465="roll",IF($AF465&gt;0,IF($AF465&gt;0,INDEX($AG$9:$AG$464,$AF465),""),""),IF($AF465&gt;0,IF($AF465&gt;0,INDEX($AG$9:$AG$464,$AF465),""),"")))))</f>
        <v/>
      </c>
      <c r="AH465" t="str">
        <f>IF($A465="","",IF(OR($F465="sell_put",$F465="sell_call",$F465="roll"),$I465,IF($AF465&gt;0,IF($AF465&gt;0,INDEX($AH$9:$AH$464,$AF465),0),0)))</f>
        <v/>
      </c>
      <c r="AI465" s="51" t="str">
        <f t="shared" si="128"/>
        <v/>
      </c>
      <c r="AJ465" s="51" t="str">
        <f>IF($A465="","",IFERROR(LOOKUP(2,1/($B$9:$B$464=$B465),$AM$9:$AM464),0))</f>
        <v/>
      </c>
      <c r="AK465" t="str">
        <f>IF($A465="","",IFERROR(LOOKUP(2,1/($B$9:$B$464=$B465),$AN$9:$AN464),0))</f>
        <v/>
      </c>
      <c r="AL465" s="51" t="str">
        <f t="shared" si="129"/>
        <v/>
      </c>
      <c r="AM465" s="51" t="str">
        <f t="shared" si="130"/>
        <v/>
      </c>
      <c r="AN465" t="str">
        <f t="shared" si="131"/>
        <v/>
      </c>
      <c r="AO465" s="50" t="str">
        <f>IF($A465="","",IFERROR(LOOKUP(2,1/($B$9:$B$464=$B465),$AO$9:$AO464),0)+IF($F465="sell_put",$I465*$AE465*$D465,IF($F465="roll",IF($AG465="put",($I465-IF($AF465&gt;0,INDEX($AH$9:$AH$464,$AF465),0))*$AE465*$D465,0),IF(AND(OR($F465="buy_to_close",$F465="expire",$F465="roll",$F465="assignment",$F465="called_away"),$F465&lt;&gt;"roll",$AG465="put"),-IF($AF465&gt;0,INDEX($AH$9:$AH$464,$AF465),0)*$AE465*$D465,0))))</f>
        <v/>
      </c>
      <c r="AP465" s="51" t="str">
        <f>IF($A465="","",IFERROR(LOOKUP(2,1/($B$9:$B$464=$B465),$AP$9:$AP464),0)+IF($F465="sell_put",$AE465*$D465,IF(AND(OR($F465="buy_to_close",$F465="expire",$F465="roll",$F465="assignment",$F465="called_away"),$F465&lt;&gt;"roll",$AG465="put"),-$AE465*$D465,0)))</f>
        <v/>
      </c>
      <c r="AQ465" s="51" t="str">
        <f>IF($A465="","",IFERROR(LOOKUP(2,1/($B$9:$B$464=$B465),$AQ$9:$AQ464),0)+IF(OR($F465="sell_put",$F465="sell_call"),$AE465,0)-IF(AND(OR($F465="buy_to_close",$F465="expire",$F465="roll",$F465="assignment",$F465="called_away"),$F465&lt;&gt;"roll"),$AE465,0))</f>
        <v/>
      </c>
      <c r="AR465" t="str">
        <f t="shared" si="132"/>
        <v/>
      </c>
      <c r="AS465" s="50" t="str">
        <f t="shared" si="133"/>
        <v/>
      </c>
      <c r="AT465" s="50" t="str">
        <f>IF($A465="","",MAX(IF($T465=IFERROR(LOOKUP(2,1/($B$9:$B$464=$B465),$T$9:$T464),0),IFERROR(LOOKUP(2,1/($B$9:$B$464=$B465),$AT$9:$AT464),0),0),$AS465))</f>
        <v/>
      </c>
      <c r="AU465" t="str">
        <f t="shared" si="134"/>
        <v/>
      </c>
      <c r="AV465" s="51">
        <f>IF($AU465="",0,IF(AND(IFERROR(LOOKUP(2,1/($B$9:$B$464=$B465),$AR$9:$AR464),1),NOT(AND(OR($F465="dividend",$F465="fee"),IFERROR(LOOKUP(2,1/($B$9:$B$464=$B465),$T$9:$T464),0)&gt;0))),ROW(),0))</f>
        <v>0</v>
      </c>
      <c r="AW465">
        <f>IF($A465="",0,IF($AV465&gt;0,MAX($AW$9:$AW$464)+1,MAX($AW$9:$AW$464)))</f>
        <v>0</v>
      </c>
      <c r="AX465">
        <f>IF($AU465="",0,IF(AND($AR465,OR(NOT(IFERROR(LOOKUP(2,1/($B$9:$B$464=$B465),$AR$9:$AR464),1)),IFERROR(LOOKUP(2,1/($B$9:$B$464=$B465),$T$9:$T464),0)=0)),ROW(),0))</f>
        <v>0</v>
      </c>
      <c r="AY465" t="str">
        <f t="shared" si="135"/>
        <v/>
      </c>
    </row>
    <row r="466" spans="1:51" ht="15" x14ac:dyDescent="0.25">
      <c r="A466" s="52" t="str">
        <f>IF(Trades!$A466="","",Trades!O466)</f>
        <v/>
      </c>
      <c r="B466" s="52" t="str">
        <f>IF(Trades!$A466="","",Trades!B466)</f>
        <v/>
      </c>
      <c r="C466" s="52" t="str">
        <f>IF(Trades!$A466="","",Trades!C466)</f>
        <v/>
      </c>
      <c r="D466" s="53" t="str">
        <f>IF(Trades!$A466="","",IF(Trades!$L466&gt;0,Trades!$L466,Trades!$C$6))</f>
        <v/>
      </c>
      <c r="E466" s="54" t="str">
        <f>IF(Trades!$A466="","",Trades!A466)</f>
        <v/>
      </c>
      <c r="F466" s="52" t="str">
        <f>IF(Trades!$A466="","",IFERROR(INDEX(Trades!$V$2:$V$14,MATCH(Trades!$E466,Trades!$U$2:$U$14,0)),""))</f>
        <v/>
      </c>
      <c r="G466" s="52" t="str">
        <f>IF(Trades!$A466="","",Trades!N466)</f>
        <v/>
      </c>
      <c r="H466" s="53" t="str">
        <f>IF(Trades!$A466="","",Trades!F466)</f>
        <v/>
      </c>
      <c r="I466" s="55" t="str">
        <f>IF(Trades!$A466="","",Trades!G466)</f>
        <v/>
      </c>
      <c r="J466" s="55" t="str">
        <f>IF(Trades!$A466="","",Trades!I466)</f>
        <v/>
      </c>
      <c r="K466" s="55" t="str">
        <f>IF(Trades!$A466="","",Trades!Q466)</f>
        <v/>
      </c>
      <c r="L466" s="53" t="str">
        <f>IF(Trades!$A466="","",Trades!F466)</f>
        <v/>
      </c>
      <c r="M466" s="55" t="str">
        <f>IF(Trades!$A466="","",Trades!M466)</f>
        <v/>
      </c>
      <c r="N466" s="55" t="str">
        <f>IF(Trades!$A466="","",Trades!R466)</f>
        <v/>
      </c>
      <c r="O466" s="55" t="str">
        <f>IF(Trades!$A466="","",Trades!J466)</f>
        <v/>
      </c>
      <c r="P466" s="54" t="str">
        <f>IF(Trades!$A466="","",Trades!H466)</f>
        <v/>
      </c>
      <c r="Q466" s="52" t="str">
        <f>IF(Trades!$A466="","",Trades!P466)</f>
        <v/>
      </c>
      <c r="R466" s="56" t="str">
        <f t="shared" si="119"/>
        <v/>
      </c>
      <c r="S466" s="56" t="str">
        <f t="shared" si="120"/>
        <v/>
      </c>
      <c r="T466" s="57" t="str">
        <f>IF(OR($A466="",$B466=""),"",IF(AND(IFERROR(LOOKUP(2,1/($B$9:$B$465=$B466),$AR$9:$AR465),1),NOT(AND(OR($F466="dividend",$F466="fee"),IFERROR(LOOKUP(2,1/($B$9:$B$465=$B466),$T$9:$T465),0)&gt;0))),IFERROR(LOOKUP(2,1/($B$9:$B$465=$B466),$T$9:$T465),0)+1,IFERROR(LOOKUP(2,1/($B$9:$B$465=$B466),$T$9:$T465),0)))</f>
        <v/>
      </c>
      <c r="U466" s="58" t="str">
        <f t="shared" si="121"/>
        <v/>
      </c>
      <c r="V466" s="58" t="str">
        <f>IF($A466="","",IF(OR($B466="",$C466="",$D466="",$E466="",$F466=""),"Missing required field",IF(COUNTIFS($A$9:$A466,$A466,$B$9:$B466,$B466)&gt;1,"Duplicate event ID",IF(AND($E466&lt;&gt;IFERROR(LOOKUP(2,1/($B$9:$B$465=$B466),$E$9:$E465),0),IFERROR(LOOKUP(2,1/($B$9:$B$465=$B466),$E$9:$E465),0)&gt;$E466),"Date out of order",IF(AND(OR($F466="buy_to_close",$F466="expire",$F466="roll",$F466="assignment",$F466="called_away"),$AF466=0),"Unknown lot",IF(OR(AND($F466="assignment",$AF466&gt;0,IF($AF466&gt;0,INDEX($AG$9:$AG$465,$AF466),"")&lt;&gt;"put"),AND($F466="called_away",$AF466&gt;0,IF($AF466&gt;0,INDEX($AG$9:$AG$465,$AF466),"")&lt;&gt;"call")),"Wrong option leg",IF(OR(AND(OR($F466="sell_put",$F466="sell_call"),OR($H466&lt;=0,$I466&lt;=0,$J466&lt;0)),AND(OR($F466="buy_to_close",$F466="expire",$F466="assignment",$F466="called_away"),OR($H466&lt;=0,$J466&lt;0)),AND($F466="roll",OR($H466&lt;=0,$I466&lt;=0,$J466&lt;0,$K466&lt;0)),AND(OR($F466="buy_shares",$F466="sell_shares"),OR($L466&lt;=0,$M466&lt;0)),AND(OR($F466="dividend",$F466="fee"),$N466&lt;0)),"Invalid value",IF(AND(OR($F466="sell_shares",$F466="called_away"),$AL466&lt;IF($F466="called_away",$AE466*$D466,$L466)),"Insufficient shares (capped)",IF(AND(OR($F466="buy_to_close",$F466="expire",$F466="roll",$F466="assignment",$F466="called_away"),$AF466&gt;0,$H466&gt;IF($AF466&gt;0,MAX(0,INDEX($AI$9:$AI$465,$AF466)-SUMIFS($AE$9:$AE$465,$G$9:$G$465,$G466,$B$9:$B$465,$B466)),0)),"Close quantity capped","OK")))))))))</f>
        <v/>
      </c>
      <c r="W466" s="59" t="str">
        <f t="shared" si="122"/>
        <v/>
      </c>
      <c r="X466" s="60" t="str">
        <f t="shared" si="123"/>
        <v/>
      </c>
      <c r="Y466" s="50" t="str">
        <f t="shared" si="124"/>
        <v/>
      </c>
      <c r="Z466" s="50" t="str">
        <f t="shared" si="125"/>
        <v/>
      </c>
      <c r="AA466" s="50" t="str">
        <f t="shared" si="126"/>
        <v/>
      </c>
      <c r="AB466" s="50" t="str">
        <f t="shared" si="127"/>
        <v/>
      </c>
      <c r="AC466" s="50" t="str">
        <f>IF($A466="","",IF($F466="assignment",IF($AF466&gt;0,INDEX($AH$9:$AH$465,$AF466),0)*$AE466*$D466,IF($F466="buy_shares",$M466*$AL466,0)))</f>
        <v/>
      </c>
      <c r="AD466" s="50" t="str">
        <f>IF($A466="","",IF($F466="called_away",IF($AF466&gt;0,INDEX($AH$9:$AH$465,$AF466),0)*$AL466,IF($F466="sell_shares",$M466*$AL466,0)))</f>
        <v/>
      </c>
      <c r="AE466" s="51" t="str">
        <f>IF($A466="","",IF(OR($F466="sell_put",$F466="sell_call"),IF(AND($H466&gt;0,$I466&gt;0,$J466&gt;=0),$H466,0),IF(OR($F466="buy_to_close",$F466="expire",$F466="roll",$F466="assignment",$F466="called_away"),IF(AND($AF466&gt;0,$H466&gt;0,IF($F466="assignment",IF($AF466&gt;0,INDEX($AG$9:$AG$465,$AF466),"")="put",TRUE),IF($F466="called_away",IF($AF466&gt;0,INDEX($AG$9:$AG$465,$AF466),"")="call",TRUE)),MIN($H466,IF($AF466&gt;0,MAX(0,INDEX($AI$9:$AI$465,$AF466)-SUMIFS($AE$9:$AE$465,$G$9:$G$465,$G466,$B$9:$B$465,$B466)),0)),0),0)))</f>
        <v/>
      </c>
      <c r="AF466" t="str">
        <f>IF($A466="","",IFERROR(MATCH(LEN($B466)&amp;":"&amp;$B466&amp;$G466,$AY$9:$AY$465,0),0))</f>
        <v/>
      </c>
      <c r="AG466" t="str">
        <f>IF($A466="","",IF($F466="sell_put","put",IF($F466="sell_call","call",IF($F466="roll",IF($AF466&gt;0,IF($AF466&gt;0,INDEX($AG$9:$AG$465,$AF466),""),""),IF($AF466&gt;0,IF($AF466&gt;0,INDEX($AG$9:$AG$465,$AF466),""),"")))))</f>
        <v/>
      </c>
      <c r="AH466" t="str">
        <f>IF($A466="","",IF(OR($F466="sell_put",$F466="sell_call",$F466="roll"),$I466,IF($AF466&gt;0,IF($AF466&gt;0,INDEX($AH$9:$AH$465,$AF466),0),0)))</f>
        <v/>
      </c>
      <c r="AI466" s="51" t="str">
        <f t="shared" si="128"/>
        <v/>
      </c>
      <c r="AJ466" s="51" t="str">
        <f>IF($A466="","",IFERROR(LOOKUP(2,1/($B$9:$B$465=$B466),$AM$9:$AM465),0))</f>
        <v/>
      </c>
      <c r="AK466" t="str">
        <f>IF($A466="","",IFERROR(LOOKUP(2,1/($B$9:$B$465=$B466),$AN$9:$AN465),0))</f>
        <v/>
      </c>
      <c r="AL466" s="51" t="str">
        <f t="shared" si="129"/>
        <v/>
      </c>
      <c r="AM466" s="51" t="str">
        <f t="shared" si="130"/>
        <v/>
      </c>
      <c r="AN466" t="str">
        <f t="shared" si="131"/>
        <v/>
      </c>
      <c r="AO466" s="50" t="str">
        <f>IF($A466="","",IFERROR(LOOKUP(2,1/($B$9:$B$465=$B466),$AO$9:$AO465),0)+IF($F466="sell_put",$I466*$AE466*$D466,IF($F466="roll",IF($AG466="put",($I466-IF($AF466&gt;0,INDEX($AH$9:$AH$465,$AF466),0))*$AE466*$D466,0),IF(AND(OR($F466="buy_to_close",$F466="expire",$F466="roll",$F466="assignment",$F466="called_away"),$F466&lt;&gt;"roll",$AG466="put"),-IF($AF466&gt;0,INDEX($AH$9:$AH$465,$AF466),0)*$AE466*$D466,0))))</f>
        <v/>
      </c>
      <c r="AP466" s="51" t="str">
        <f>IF($A466="","",IFERROR(LOOKUP(2,1/($B$9:$B$465=$B466),$AP$9:$AP465),0)+IF($F466="sell_put",$AE466*$D466,IF(AND(OR($F466="buy_to_close",$F466="expire",$F466="roll",$F466="assignment",$F466="called_away"),$F466&lt;&gt;"roll",$AG466="put"),-$AE466*$D466,0)))</f>
        <v/>
      </c>
      <c r="AQ466" s="51" t="str">
        <f>IF($A466="","",IFERROR(LOOKUP(2,1/($B$9:$B$465=$B466),$AQ$9:$AQ465),0)+IF(OR($F466="sell_put",$F466="sell_call"),$AE466,0)-IF(AND(OR($F466="buy_to_close",$F466="expire",$F466="roll",$F466="assignment",$F466="called_away"),$F466&lt;&gt;"roll"),$AE466,0))</f>
        <v/>
      </c>
      <c r="AR466" t="str">
        <f t="shared" si="132"/>
        <v/>
      </c>
      <c r="AS466" s="50" t="str">
        <f t="shared" si="133"/>
        <v/>
      </c>
      <c r="AT466" s="50" t="str">
        <f>IF($A466="","",MAX(IF($T466=IFERROR(LOOKUP(2,1/($B$9:$B$465=$B466),$T$9:$T465),0),IFERROR(LOOKUP(2,1/($B$9:$B$465=$B466),$AT$9:$AT465),0),0),$AS466))</f>
        <v/>
      </c>
      <c r="AU466" t="str">
        <f t="shared" si="134"/>
        <v/>
      </c>
      <c r="AV466" s="51">
        <f>IF($AU466="",0,IF(AND(IFERROR(LOOKUP(2,1/($B$9:$B$465=$B466),$AR$9:$AR465),1),NOT(AND(OR($F466="dividend",$F466="fee"),IFERROR(LOOKUP(2,1/($B$9:$B$465=$B466),$T$9:$T465),0)&gt;0))),ROW(),0))</f>
        <v>0</v>
      </c>
      <c r="AW466">
        <f>IF($A466="",0,IF($AV466&gt;0,MAX($AW$9:$AW$465)+1,MAX($AW$9:$AW$465)))</f>
        <v>0</v>
      </c>
      <c r="AX466">
        <f>IF($AU466="",0,IF(AND($AR466,OR(NOT(IFERROR(LOOKUP(2,1/($B$9:$B$465=$B466),$AR$9:$AR465),1)),IFERROR(LOOKUP(2,1/($B$9:$B$465=$B466),$T$9:$T465),0)=0)),ROW(),0))</f>
        <v>0</v>
      </c>
      <c r="AY466" t="str">
        <f t="shared" si="135"/>
        <v/>
      </c>
    </row>
    <row r="467" spans="1:51" ht="15" x14ac:dyDescent="0.25">
      <c r="A467" s="41" t="str">
        <f>IF(Trades!$A467="","",Trades!O467)</f>
        <v/>
      </c>
      <c r="B467" s="41" t="str">
        <f>IF(Trades!$A467="","",Trades!B467)</f>
        <v/>
      </c>
      <c r="C467" s="41" t="str">
        <f>IF(Trades!$A467="","",Trades!C467)</f>
        <v/>
      </c>
      <c r="D467" s="42" t="str">
        <f>IF(Trades!$A467="","",IF(Trades!$L467&gt;0,Trades!$L467,Trades!$C$6))</f>
        <v/>
      </c>
      <c r="E467" s="43" t="str">
        <f>IF(Trades!$A467="","",Trades!A467)</f>
        <v/>
      </c>
      <c r="F467" s="41" t="str">
        <f>IF(Trades!$A467="","",IFERROR(INDEX(Trades!$V$2:$V$14,MATCH(Trades!$E467,Trades!$U$2:$U$14,0)),""))</f>
        <v/>
      </c>
      <c r="G467" s="41" t="str">
        <f>IF(Trades!$A467="","",Trades!N467)</f>
        <v/>
      </c>
      <c r="H467" s="42" t="str">
        <f>IF(Trades!$A467="","",Trades!F467)</f>
        <v/>
      </c>
      <c r="I467" s="44" t="str">
        <f>IF(Trades!$A467="","",Trades!G467)</f>
        <v/>
      </c>
      <c r="J467" s="44" t="str">
        <f>IF(Trades!$A467="","",Trades!I467)</f>
        <v/>
      </c>
      <c r="K467" s="44" t="str">
        <f>IF(Trades!$A467="","",Trades!Q467)</f>
        <v/>
      </c>
      <c r="L467" s="42" t="str">
        <f>IF(Trades!$A467="","",Trades!F467)</f>
        <v/>
      </c>
      <c r="M467" s="44" t="str">
        <f>IF(Trades!$A467="","",Trades!M467)</f>
        <v/>
      </c>
      <c r="N467" s="44" t="str">
        <f>IF(Trades!$A467="","",Trades!R467)</f>
        <v/>
      </c>
      <c r="O467" s="44" t="str">
        <f>IF(Trades!$A467="","",Trades!J467)</f>
        <v/>
      </c>
      <c r="P467" s="43" t="str">
        <f>IF(Trades!$A467="","",Trades!H467)</f>
        <v/>
      </c>
      <c r="Q467" s="41" t="str">
        <f>IF(Trades!$A467="","",Trades!P467)</f>
        <v/>
      </c>
      <c r="R467" s="45" t="str">
        <f t="shared" si="119"/>
        <v/>
      </c>
      <c r="S467" s="45" t="str">
        <f t="shared" si="120"/>
        <v/>
      </c>
      <c r="T467" s="46" t="str">
        <f>IF(OR($A467="",$B467=""),"",IF(AND(IFERROR(LOOKUP(2,1/($B$9:$B$466=$B467),$AR$9:$AR466),1),NOT(AND(OR($F467="dividend",$F467="fee"),IFERROR(LOOKUP(2,1/($B$9:$B$466=$B467),$T$9:$T466),0)&gt;0))),IFERROR(LOOKUP(2,1/($B$9:$B$466=$B467),$T$9:$T466),0)+1,IFERROR(LOOKUP(2,1/($B$9:$B$466=$B467),$T$9:$T466),0)))</f>
        <v/>
      </c>
      <c r="U467" s="47" t="str">
        <f t="shared" si="121"/>
        <v/>
      </c>
      <c r="V467" s="47" t="str">
        <f>IF($A467="","",IF(OR($B467="",$C467="",$D467="",$E467="",$F467=""),"Missing required field",IF(COUNTIFS($A$9:$A467,$A467,$B$9:$B467,$B467)&gt;1,"Duplicate event ID",IF(AND($E467&lt;&gt;IFERROR(LOOKUP(2,1/($B$9:$B$466=$B467),$E$9:$E466),0),IFERROR(LOOKUP(2,1/($B$9:$B$466=$B467),$E$9:$E466),0)&gt;$E467),"Date out of order",IF(AND(OR($F467="buy_to_close",$F467="expire",$F467="roll",$F467="assignment",$F467="called_away"),$AF467=0),"Unknown lot",IF(OR(AND($F467="assignment",$AF467&gt;0,IF($AF467&gt;0,INDEX($AG$9:$AG$466,$AF467),"")&lt;&gt;"put"),AND($F467="called_away",$AF467&gt;0,IF($AF467&gt;0,INDEX($AG$9:$AG$466,$AF467),"")&lt;&gt;"call")),"Wrong option leg",IF(OR(AND(OR($F467="sell_put",$F467="sell_call"),OR($H467&lt;=0,$I467&lt;=0,$J467&lt;0)),AND(OR($F467="buy_to_close",$F467="expire",$F467="assignment",$F467="called_away"),OR($H467&lt;=0,$J467&lt;0)),AND($F467="roll",OR($H467&lt;=0,$I467&lt;=0,$J467&lt;0,$K467&lt;0)),AND(OR($F467="buy_shares",$F467="sell_shares"),OR($L467&lt;=0,$M467&lt;0)),AND(OR($F467="dividend",$F467="fee"),$N467&lt;0)),"Invalid value",IF(AND(OR($F467="sell_shares",$F467="called_away"),$AL467&lt;IF($F467="called_away",$AE467*$D467,$L467)),"Insufficient shares (capped)",IF(AND(OR($F467="buy_to_close",$F467="expire",$F467="roll",$F467="assignment",$F467="called_away"),$AF467&gt;0,$H467&gt;IF($AF467&gt;0,MAX(0,INDEX($AI$9:$AI$466,$AF467)-SUMIFS($AE$9:$AE$466,$G$9:$G$466,$G467,$B$9:$B$466,$B467)),0)),"Close quantity capped","OK")))))))))</f>
        <v/>
      </c>
      <c r="W467" s="48" t="str">
        <f t="shared" si="122"/>
        <v/>
      </c>
      <c r="X467" s="49" t="str">
        <f t="shared" si="123"/>
        <v/>
      </c>
      <c r="Y467" s="50" t="str">
        <f t="shared" si="124"/>
        <v/>
      </c>
      <c r="Z467" s="50" t="str">
        <f t="shared" si="125"/>
        <v/>
      </c>
      <c r="AA467" s="50" t="str">
        <f t="shared" si="126"/>
        <v/>
      </c>
      <c r="AB467" s="50" t="str">
        <f t="shared" si="127"/>
        <v/>
      </c>
      <c r="AC467" s="50" t="str">
        <f>IF($A467="","",IF($F467="assignment",IF($AF467&gt;0,INDEX($AH$9:$AH$466,$AF467),0)*$AE467*$D467,IF($F467="buy_shares",$M467*$AL467,0)))</f>
        <v/>
      </c>
      <c r="AD467" s="50" t="str">
        <f>IF($A467="","",IF($F467="called_away",IF($AF467&gt;0,INDEX($AH$9:$AH$466,$AF467),0)*$AL467,IF($F467="sell_shares",$M467*$AL467,0)))</f>
        <v/>
      </c>
      <c r="AE467" s="51" t="str">
        <f>IF($A467="","",IF(OR($F467="sell_put",$F467="sell_call"),IF(AND($H467&gt;0,$I467&gt;0,$J467&gt;=0),$H467,0),IF(OR($F467="buy_to_close",$F467="expire",$F467="roll",$F467="assignment",$F467="called_away"),IF(AND($AF467&gt;0,$H467&gt;0,IF($F467="assignment",IF($AF467&gt;0,INDEX($AG$9:$AG$466,$AF467),"")="put",TRUE),IF($F467="called_away",IF($AF467&gt;0,INDEX($AG$9:$AG$466,$AF467),"")="call",TRUE)),MIN($H467,IF($AF467&gt;0,MAX(0,INDEX($AI$9:$AI$466,$AF467)-SUMIFS($AE$9:$AE$466,$G$9:$G$466,$G467,$B$9:$B$466,$B467)),0)),0),0)))</f>
        <v/>
      </c>
      <c r="AF467" t="str">
        <f>IF($A467="","",IFERROR(MATCH(LEN($B467)&amp;":"&amp;$B467&amp;$G467,$AY$9:$AY$466,0),0))</f>
        <v/>
      </c>
      <c r="AG467" t="str">
        <f>IF($A467="","",IF($F467="sell_put","put",IF($F467="sell_call","call",IF($F467="roll",IF($AF467&gt;0,IF($AF467&gt;0,INDEX($AG$9:$AG$466,$AF467),""),""),IF($AF467&gt;0,IF($AF467&gt;0,INDEX($AG$9:$AG$466,$AF467),""),"")))))</f>
        <v/>
      </c>
      <c r="AH467" t="str">
        <f>IF($A467="","",IF(OR($F467="sell_put",$F467="sell_call",$F467="roll"),$I467,IF($AF467&gt;0,IF($AF467&gt;0,INDEX($AH$9:$AH$466,$AF467),0),0)))</f>
        <v/>
      </c>
      <c r="AI467" s="51" t="str">
        <f t="shared" si="128"/>
        <v/>
      </c>
      <c r="AJ467" s="51" t="str">
        <f>IF($A467="","",IFERROR(LOOKUP(2,1/($B$9:$B$466=$B467),$AM$9:$AM466),0))</f>
        <v/>
      </c>
      <c r="AK467" t="str">
        <f>IF($A467="","",IFERROR(LOOKUP(2,1/($B$9:$B$466=$B467),$AN$9:$AN466),0))</f>
        <v/>
      </c>
      <c r="AL467" s="51" t="str">
        <f t="shared" si="129"/>
        <v/>
      </c>
      <c r="AM467" s="51" t="str">
        <f t="shared" si="130"/>
        <v/>
      </c>
      <c r="AN467" t="str">
        <f t="shared" si="131"/>
        <v/>
      </c>
      <c r="AO467" s="50" t="str">
        <f>IF($A467="","",IFERROR(LOOKUP(2,1/($B$9:$B$466=$B467),$AO$9:$AO466),0)+IF($F467="sell_put",$I467*$AE467*$D467,IF($F467="roll",IF($AG467="put",($I467-IF($AF467&gt;0,INDEX($AH$9:$AH$466,$AF467),0))*$AE467*$D467,0),IF(AND(OR($F467="buy_to_close",$F467="expire",$F467="roll",$F467="assignment",$F467="called_away"),$F467&lt;&gt;"roll",$AG467="put"),-IF($AF467&gt;0,INDEX($AH$9:$AH$466,$AF467),0)*$AE467*$D467,0))))</f>
        <v/>
      </c>
      <c r="AP467" s="51" t="str">
        <f>IF($A467="","",IFERROR(LOOKUP(2,1/($B$9:$B$466=$B467),$AP$9:$AP466),0)+IF($F467="sell_put",$AE467*$D467,IF(AND(OR($F467="buy_to_close",$F467="expire",$F467="roll",$F467="assignment",$F467="called_away"),$F467&lt;&gt;"roll",$AG467="put"),-$AE467*$D467,0)))</f>
        <v/>
      </c>
      <c r="AQ467" s="51" t="str">
        <f>IF($A467="","",IFERROR(LOOKUP(2,1/($B$9:$B$466=$B467),$AQ$9:$AQ466),0)+IF(OR($F467="sell_put",$F467="sell_call"),$AE467,0)-IF(AND(OR($F467="buy_to_close",$F467="expire",$F467="roll",$F467="assignment",$F467="called_away"),$F467&lt;&gt;"roll"),$AE467,0))</f>
        <v/>
      </c>
      <c r="AR467" t="str">
        <f t="shared" si="132"/>
        <v/>
      </c>
      <c r="AS467" s="50" t="str">
        <f t="shared" si="133"/>
        <v/>
      </c>
      <c r="AT467" s="50" t="str">
        <f>IF($A467="","",MAX(IF($T467=IFERROR(LOOKUP(2,1/($B$9:$B$466=$B467),$T$9:$T466),0),IFERROR(LOOKUP(2,1/($B$9:$B$466=$B467),$AT$9:$AT466),0),0),$AS467))</f>
        <v/>
      </c>
      <c r="AU467" t="str">
        <f t="shared" si="134"/>
        <v/>
      </c>
      <c r="AV467" s="51">
        <f>IF($AU467="",0,IF(AND(IFERROR(LOOKUP(2,1/($B$9:$B$466=$B467),$AR$9:$AR466),1),NOT(AND(OR($F467="dividend",$F467="fee"),IFERROR(LOOKUP(2,1/($B$9:$B$466=$B467),$T$9:$T466),0)&gt;0))),ROW(),0))</f>
        <v>0</v>
      </c>
      <c r="AW467">
        <f>IF($A467="",0,IF($AV467&gt;0,MAX($AW$9:$AW$466)+1,MAX($AW$9:$AW$466)))</f>
        <v>0</v>
      </c>
      <c r="AX467">
        <f>IF($AU467="",0,IF(AND($AR467,OR(NOT(IFERROR(LOOKUP(2,1/($B$9:$B$466=$B467),$AR$9:$AR466),1)),IFERROR(LOOKUP(2,1/($B$9:$B$466=$B467),$T$9:$T466),0)=0)),ROW(),0))</f>
        <v>0</v>
      </c>
      <c r="AY467" t="str">
        <f t="shared" si="135"/>
        <v/>
      </c>
    </row>
    <row r="468" spans="1:51" ht="15" x14ac:dyDescent="0.25">
      <c r="A468" s="52" t="str">
        <f>IF(Trades!$A468="","",Trades!O468)</f>
        <v/>
      </c>
      <c r="B468" s="52" t="str">
        <f>IF(Trades!$A468="","",Trades!B468)</f>
        <v/>
      </c>
      <c r="C468" s="52" t="str">
        <f>IF(Trades!$A468="","",Trades!C468)</f>
        <v/>
      </c>
      <c r="D468" s="53" t="str">
        <f>IF(Trades!$A468="","",IF(Trades!$L468&gt;0,Trades!$L468,Trades!$C$6))</f>
        <v/>
      </c>
      <c r="E468" s="54" t="str">
        <f>IF(Trades!$A468="","",Trades!A468)</f>
        <v/>
      </c>
      <c r="F468" s="52" t="str">
        <f>IF(Trades!$A468="","",IFERROR(INDEX(Trades!$V$2:$V$14,MATCH(Trades!$E468,Trades!$U$2:$U$14,0)),""))</f>
        <v/>
      </c>
      <c r="G468" s="52" t="str">
        <f>IF(Trades!$A468="","",Trades!N468)</f>
        <v/>
      </c>
      <c r="H468" s="53" t="str">
        <f>IF(Trades!$A468="","",Trades!F468)</f>
        <v/>
      </c>
      <c r="I468" s="55" t="str">
        <f>IF(Trades!$A468="","",Trades!G468)</f>
        <v/>
      </c>
      <c r="J468" s="55" t="str">
        <f>IF(Trades!$A468="","",Trades!I468)</f>
        <v/>
      </c>
      <c r="K468" s="55" t="str">
        <f>IF(Trades!$A468="","",Trades!Q468)</f>
        <v/>
      </c>
      <c r="L468" s="53" t="str">
        <f>IF(Trades!$A468="","",Trades!F468)</f>
        <v/>
      </c>
      <c r="M468" s="55" t="str">
        <f>IF(Trades!$A468="","",Trades!M468)</f>
        <v/>
      </c>
      <c r="N468" s="55" t="str">
        <f>IF(Trades!$A468="","",Trades!R468)</f>
        <v/>
      </c>
      <c r="O468" s="55" t="str">
        <f>IF(Trades!$A468="","",Trades!J468)</f>
        <v/>
      </c>
      <c r="P468" s="54" t="str">
        <f>IF(Trades!$A468="","",Trades!H468)</f>
        <v/>
      </c>
      <c r="Q468" s="52" t="str">
        <f>IF(Trades!$A468="","",Trades!P468)</f>
        <v/>
      </c>
      <c r="R468" s="56" t="str">
        <f t="shared" si="119"/>
        <v/>
      </c>
      <c r="S468" s="56" t="str">
        <f t="shared" si="120"/>
        <v/>
      </c>
      <c r="T468" s="57" t="str">
        <f>IF(OR($A468="",$B468=""),"",IF(AND(IFERROR(LOOKUP(2,1/($B$9:$B$467=$B468),$AR$9:$AR467),1),NOT(AND(OR($F468="dividend",$F468="fee"),IFERROR(LOOKUP(2,1/($B$9:$B$467=$B468),$T$9:$T467),0)&gt;0))),IFERROR(LOOKUP(2,1/($B$9:$B$467=$B468),$T$9:$T467),0)+1,IFERROR(LOOKUP(2,1/($B$9:$B$467=$B468),$T$9:$T467),0)))</f>
        <v/>
      </c>
      <c r="U468" s="58" t="str">
        <f t="shared" si="121"/>
        <v/>
      </c>
      <c r="V468" s="58" t="str">
        <f>IF($A468="","",IF(OR($B468="",$C468="",$D468="",$E468="",$F468=""),"Missing required field",IF(COUNTIFS($A$9:$A468,$A468,$B$9:$B468,$B468)&gt;1,"Duplicate event ID",IF(AND($E468&lt;&gt;IFERROR(LOOKUP(2,1/($B$9:$B$467=$B468),$E$9:$E467),0),IFERROR(LOOKUP(2,1/($B$9:$B$467=$B468),$E$9:$E467),0)&gt;$E468),"Date out of order",IF(AND(OR($F468="buy_to_close",$F468="expire",$F468="roll",$F468="assignment",$F468="called_away"),$AF468=0),"Unknown lot",IF(OR(AND($F468="assignment",$AF468&gt;0,IF($AF468&gt;0,INDEX($AG$9:$AG$467,$AF468),"")&lt;&gt;"put"),AND($F468="called_away",$AF468&gt;0,IF($AF468&gt;0,INDEX($AG$9:$AG$467,$AF468),"")&lt;&gt;"call")),"Wrong option leg",IF(OR(AND(OR($F468="sell_put",$F468="sell_call"),OR($H468&lt;=0,$I468&lt;=0,$J468&lt;0)),AND(OR($F468="buy_to_close",$F468="expire",$F468="assignment",$F468="called_away"),OR($H468&lt;=0,$J468&lt;0)),AND($F468="roll",OR($H468&lt;=0,$I468&lt;=0,$J468&lt;0,$K468&lt;0)),AND(OR($F468="buy_shares",$F468="sell_shares"),OR($L468&lt;=0,$M468&lt;0)),AND(OR($F468="dividend",$F468="fee"),$N468&lt;0)),"Invalid value",IF(AND(OR($F468="sell_shares",$F468="called_away"),$AL468&lt;IF($F468="called_away",$AE468*$D468,$L468)),"Insufficient shares (capped)",IF(AND(OR($F468="buy_to_close",$F468="expire",$F468="roll",$F468="assignment",$F468="called_away"),$AF468&gt;0,$H468&gt;IF($AF468&gt;0,MAX(0,INDEX($AI$9:$AI$467,$AF468)-SUMIFS($AE$9:$AE$467,$G$9:$G$467,$G468,$B$9:$B$467,$B468)),0)),"Close quantity capped","OK")))))))))</f>
        <v/>
      </c>
      <c r="W468" s="59" t="str">
        <f t="shared" si="122"/>
        <v/>
      </c>
      <c r="X468" s="60" t="str">
        <f t="shared" si="123"/>
        <v/>
      </c>
      <c r="Y468" s="50" t="str">
        <f t="shared" si="124"/>
        <v/>
      </c>
      <c r="Z468" s="50" t="str">
        <f t="shared" si="125"/>
        <v/>
      </c>
      <c r="AA468" s="50" t="str">
        <f t="shared" si="126"/>
        <v/>
      </c>
      <c r="AB468" s="50" t="str">
        <f t="shared" si="127"/>
        <v/>
      </c>
      <c r="AC468" s="50" t="str">
        <f>IF($A468="","",IF($F468="assignment",IF($AF468&gt;0,INDEX($AH$9:$AH$467,$AF468),0)*$AE468*$D468,IF($F468="buy_shares",$M468*$AL468,0)))</f>
        <v/>
      </c>
      <c r="AD468" s="50" t="str">
        <f>IF($A468="","",IF($F468="called_away",IF($AF468&gt;0,INDEX($AH$9:$AH$467,$AF468),0)*$AL468,IF($F468="sell_shares",$M468*$AL468,0)))</f>
        <v/>
      </c>
      <c r="AE468" s="51" t="str">
        <f>IF($A468="","",IF(OR($F468="sell_put",$F468="sell_call"),IF(AND($H468&gt;0,$I468&gt;0,$J468&gt;=0),$H468,0),IF(OR($F468="buy_to_close",$F468="expire",$F468="roll",$F468="assignment",$F468="called_away"),IF(AND($AF468&gt;0,$H468&gt;0,IF($F468="assignment",IF($AF468&gt;0,INDEX($AG$9:$AG$467,$AF468),"")="put",TRUE),IF($F468="called_away",IF($AF468&gt;0,INDEX($AG$9:$AG$467,$AF468),"")="call",TRUE)),MIN($H468,IF($AF468&gt;0,MAX(0,INDEX($AI$9:$AI$467,$AF468)-SUMIFS($AE$9:$AE$467,$G$9:$G$467,$G468,$B$9:$B$467,$B468)),0)),0),0)))</f>
        <v/>
      </c>
      <c r="AF468" t="str">
        <f>IF($A468="","",IFERROR(MATCH(LEN($B468)&amp;":"&amp;$B468&amp;$G468,$AY$9:$AY$467,0),0))</f>
        <v/>
      </c>
      <c r="AG468" t="str">
        <f>IF($A468="","",IF($F468="sell_put","put",IF($F468="sell_call","call",IF($F468="roll",IF($AF468&gt;0,IF($AF468&gt;0,INDEX($AG$9:$AG$467,$AF468),""),""),IF($AF468&gt;0,IF($AF468&gt;0,INDEX($AG$9:$AG$467,$AF468),""),"")))))</f>
        <v/>
      </c>
      <c r="AH468" t="str">
        <f>IF($A468="","",IF(OR($F468="sell_put",$F468="sell_call",$F468="roll"),$I468,IF($AF468&gt;0,IF($AF468&gt;0,INDEX($AH$9:$AH$467,$AF468),0),0)))</f>
        <v/>
      </c>
      <c r="AI468" s="51" t="str">
        <f t="shared" si="128"/>
        <v/>
      </c>
      <c r="AJ468" s="51" t="str">
        <f>IF($A468="","",IFERROR(LOOKUP(2,1/($B$9:$B$467=$B468),$AM$9:$AM467),0))</f>
        <v/>
      </c>
      <c r="AK468" t="str">
        <f>IF($A468="","",IFERROR(LOOKUP(2,1/($B$9:$B$467=$B468),$AN$9:$AN467),0))</f>
        <v/>
      </c>
      <c r="AL468" s="51" t="str">
        <f t="shared" si="129"/>
        <v/>
      </c>
      <c r="AM468" s="51" t="str">
        <f t="shared" si="130"/>
        <v/>
      </c>
      <c r="AN468" t="str">
        <f t="shared" si="131"/>
        <v/>
      </c>
      <c r="AO468" s="50" t="str">
        <f>IF($A468="","",IFERROR(LOOKUP(2,1/($B$9:$B$467=$B468),$AO$9:$AO467),0)+IF($F468="sell_put",$I468*$AE468*$D468,IF($F468="roll",IF($AG468="put",($I468-IF($AF468&gt;0,INDEX($AH$9:$AH$467,$AF468),0))*$AE468*$D468,0),IF(AND(OR($F468="buy_to_close",$F468="expire",$F468="roll",$F468="assignment",$F468="called_away"),$F468&lt;&gt;"roll",$AG468="put"),-IF($AF468&gt;0,INDEX($AH$9:$AH$467,$AF468),0)*$AE468*$D468,0))))</f>
        <v/>
      </c>
      <c r="AP468" s="51" t="str">
        <f>IF($A468="","",IFERROR(LOOKUP(2,1/($B$9:$B$467=$B468),$AP$9:$AP467),0)+IF($F468="sell_put",$AE468*$D468,IF(AND(OR($F468="buy_to_close",$F468="expire",$F468="roll",$F468="assignment",$F468="called_away"),$F468&lt;&gt;"roll",$AG468="put"),-$AE468*$D468,0)))</f>
        <v/>
      </c>
      <c r="AQ468" s="51" t="str">
        <f>IF($A468="","",IFERROR(LOOKUP(2,1/($B$9:$B$467=$B468),$AQ$9:$AQ467),0)+IF(OR($F468="sell_put",$F468="sell_call"),$AE468,0)-IF(AND(OR($F468="buy_to_close",$F468="expire",$F468="roll",$F468="assignment",$F468="called_away"),$F468&lt;&gt;"roll"),$AE468,0))</f>
        <v/>
      </c>
      <c r="AR468" t="str">
        <f t="shared" si="132"/>
        <v/>
      </c>
      <c r="AS468" s="50" t="str">
        <f t="shared" si="133"/>
        <v/>
      </c>
      <c r="AT468" s="50" t="str">
        <f>IF($A468="","",MAX(IF($T468=IFERROR(LOOKUP(2,1/($B$9:$B$467=$B468),$T$9:$T467),0),IFERROR(LOOKUP(2,1/($B$9:$B$467=$B468),$AT$9:$AT467),0),0),$AS468))</f>
        <v/>
      </c>
      <c r="AU468" t="str">
        <f t="shared" si="134"/>
        <v/>
      </c>
      <c r="AV468" s="51">
        <f>IF($AU468="",0,IF(AND(IFERROR(LOOKUP(2,1/($B$9:$B$467=$B468),$AR$9:$AR467),1),NOT(AND(OR($F468="dividend",$F468="fee"),IFERROR(LOOKUP(2,1/($B$9:$B$467=$B468),$T$9:$T467),0)&gt;0))),ROW(),0))</f>
        <v>0</v>
      </c>
      <c r="AW468">
        <f>IF($A468="",0,IF($AV468&gt;0,MAX($AW$9:$AW$467)+1,MAX($AW$9:$AW$467)))</f>
        <v>0</v>
      </c>
      <c r="AX468">
        <f>IF($AU468="",0,IF(AND($AR468,OR(NOT(IFERROR(LOOKUP(2,1/($B$9:$B$467=$B468),$AR$9:$AR467),1)),IFERROR(LOOKUP(2,1/($B$9:$B$467=$B468),$T$9:$T467),0)=0)),ROW(),0))</f>
        <v>0</v>
      </c>
      <c r="AY468" t="str">
        <f t="shared" si="135"/>
        <v/>
      </c>
    </row>
    <row r="469" spans="1:51" ht="15" x14ac:dyDescent="0.25">
      <c r="A469" s="41" t="str">
        <f>IF(Trades!$A469="","",Trades!O469)</f>
        <v/>
      </c>
      <c r="B469" s="41" t="str">
        <f>IF(Trades!$A469="","",Trades!B469)</f>
        <v/>
      </c>
      <c r="C469" s="41" t="str">
        <f>IF(Trades!$A469="","",Trades!C469)</f>
        <v/>
      </c>
      <c r="D469" s="42" t="str">
        <f>IF(Trades!$A469="","",IF(Trades!$L469&gt;0,Trades!$L469,Trades!$C$6))</f>
        <v/>
      </c>
      <c r="E469" s="43" t="str">
        <f>IF(Trades!$A469="","",Trades!A469)</f>
        <v/>
      </c>
      <c r="F469" s="41" t="str">
        <f>IF(Trades!$A469="","",IFERROR(INDEX(Trades!$V$2:$V$14,MATCH(Trades!$E469,Trades!$U$2:$U$14,0)),""))</f>
        <v/>
      </c>
      <c r="G469" s="41" t="str">
        <f>IF(Trades!$A469="","",Trades!N469)</f>
        <v/>
      </c>
      <c r="H469" s="42" t="str">
        <f>IF(Trades!$A469="","",Trades!F469)</f>
        <v/>
      </c>
      <c r="I469" s="44" t="str">
        <f>IF(Trades!$A469="","",Trades!G469)</f>
        <v/>
      </c>
      <c r="J469" s="44" t="str">
        <f>IF(Trades!$A469="","",Trades!I469)</f>
        <v/>
      </c>
      <c r="K469" s="44" t="str">
        <f>IF(Trades!$A469="","",Trades!Q469)</f>
        <v/>
      </c>
      <c r="L469" s="42" t="str">
        <f>IF(Trades!$A469="","",Trades!F469)</f>
        <v/>
      </c>
      <c r="M469" s="44" t="str">
        <f>IF(Trades!$A469="","",Trades!M469)</f>
        <v/>
      </c>
      <c r="N469" s="44" t="str">
        <f>IF(Trades!$A469="","",Trades!R469)</f>
        <v/>
      </c>
      <c r="O469" s="44" t="str">
        <f>IF(Trades!$A469="","",Trades!J469)</f>
        <v/>
      </c>
      <c r="P469" s="43" t="str">
        <f>IF(Trades!$A469="","",Trades!H469)</f>
        <v/>
      </c>
      <c r="Q469" s="41" t="str">
        <f>IF(Trades!$A469="","",Trades!P469)</f>
        <v/>
      </c>
      <c r="R469" s="45" t="str">
        <f t="shared" si="119"/>
        <v/>
      </c>
      <c r="S469" s="45" t="str">
        <f t="shared" si="120"/>
        <v/>
      </c>
      <c r="T469" s="46" t="str">
        <f>IF(OR($A469="",$B469=""),"",IF(AND(IFERROR(LOOKUP(2,1/($B$9:$B$468=$B469),$AR$9:$AR468),1),NOT(AND(OR($F469="dividend",$F469="fee"),IFERROR(LOOKUP(2,1/($B$9:$B$468=$B469),$T$9:$T468),0)&gt;0))),IFERROR(LOOKUP(2,1/($B$9:$B$468=$B469),$T$9:$T468),0)+1,IFERROR(LOOKUP(2,1/($B$9:$B$468=$B469),$T$9:$T468),0)))</f>
        <v/>
      </c>
      <c r="U469" s="47" t="str">
        <f t="shared" si="121"/>
        <v/>
      </c>
      <c r="V469" s="47" t="str">
        <f>IF($A469="","",IF(OR($B469="",$C469="",$D469="",$E469="",$F469=""),"Missing required field",IF(COUNTIFS($A$9:$A469,$A469,$B$9:$B469,$B469)&gt;1,"Duplicate event ID",IF(AND($E469&lt;&gt;IFERROR(LOOKUP(2,1/($B$9:$B$468=$B469),$E$9:$E468),0),IFERROR(LOOKUP(2,1/($B$9:$B$468=$B469),$E$9:$E468),0)&gt;$E469),"Date out of order",IF(AND(OR($F469="buy_to_close",$F469="expire",$F469="roll",$F469="assignment",$F469="called_away"),$AF469=0),"Unknown lot",IF(OR(AND($F469="assignment",$AF469&gt;0,IF($AF469&gt;0,INDEX($AG$9:$AG$468,$AF469),"")&lt;&gt;"put"),AND($F469="called_away",$AF469&gt;0,IF($AF469&gt;0,INDEX($AG$9:$AG$468,$AF469),"")&lt;&gt;"call")),"Wrong option leg",IF(OR(AND(OR($F469="sell_put",$F469="sell_call"),OR($H469&lt;=0,$I469&lt;=0,$J469&lt;0)),AND(OR($F469="buy_to_close",$F469="expire",$F469="assignment",$F469="called_away"),OR($H469&lt;=0,$J469&lt;0)),AND($F469="roll",OR($H469&lt;=0,$I469&lt;=0,$J469&lt;0,$K469&lt;0)),AND(OR($F469="buy_shares",$F469="sell_shares"),OR($L469&lt;=0,$M469&lt;0)),AND(OR($F469="dividend",$F469="fee"),$N469&lt;0)),"Invalid value",IF(AND(OR($F469="sell_shares",$F469="called_away"),$AL469&lt;IF($F469="called_away",$AE469*$D469,$L469)),"Insufficient shares (capped)",IF(AND(OR($F469="buy_to_close",$F469="expire",$F469="roll",$F469="assignment",$F469="called_away"),$AF469&gt;0,$H469&gt;IF($AF469&gt;0,MAX(0,INDEX($AI$9:$AI$468,$AF469)-SUMIFS($AE$9:$AE$468,$G$9:$G$468,$G469,$B$9:$B$468,$B469)),0)),"Close quantity capped","OK")))))))))</f>
        <v/>
      </c>
      <c r="W469" s="48" t="str">
        <f t="shared" si="122"/>
        <v/>
      </c>
      <c r="X469" s="49" t="str">
        <f t="shared" si="123"/>
        <v/>
      </c>
      <c r="Y469" s="50" t="str">
        <f t="shared" si="124"/>
        <v/>
      </c>
      <c r="Z469" s="50" t="str">
        <f t="shared" si="125"/>
        <v/>
      </c>
      <c r="AA469" s="50" t="str">
        <f t="shared" si="126"/>
        <v/>
      </c>
      <c r="AB469" s="50" t="str">
        <f t="shared" si="127"/>
        <v/>
      </c>
      <c r="AC469" s="50" t="str">
        <f>IF($A469="","",IF($F469="assignment",IF($AF469&gt;0,INDEX($AH$9:$AH$468,$AF469),0)*$AE469*$D469,IF($F469="buy_shares",$M469*$AL469,0)))</f>
        <v/>
      </c>
      <c r="AD469" s="50" t="str">
        <f>IF($A469="","",IF($F469="called_away",IF($AF469&gt;0,INDEX($AH$9:$AH$468,$AF469),0)*$AL469,IF($F469="sell_shares",$M469*$AL469,0)))</f>
        <v/>
      </c>
      <c r="AE469" s="51" t="str">
        <f>IF($A469="","",IF(OR($F469="sell_put",$F469="sell_call"),IF(AND($H469&gt;0,$I469&gt;0,$J469&gt;=0),$H469,0),IF(OR($F469="buy_to_close",$F469="expire",$F469="roll",$F469="assignment",$F469="called_away"),IF(AND($AF469&gt;0,$H469&gt;0,IF($F469="assignment",IF($AF469&gt;0,INDEX($AG$9:$AG$468,$AF469),"")="put",TRUE),IF($F469="called_away",IF($AF469&gt;0,INDEX($AG$9:$AG$468,$AF469),"")="call",TRUE)),MIN($H469,IF($AF469&gt;0,MAX(0,INDEX($AI$9:$AI$468,$AF469)-SUMIFS($AE$9:$AE$468,$G$9:$G$468,$G469,$B$9:$B$468,$B469)),0)),0),0)))</f>
        <v/>
      </c>
      <c r="AF469" t="str">
        <f>IF($A469="","",IFERROR(MATCH(LEN($B469)&amp;":"&amp;$B469&amp;$G469,$AY$9:$AY$468,0),0))</f>
        <v/>
      </c>
      <c r="AG469" t="str">
        <f>IF($A469="","",IF($F469="sell_put","put",IF($F469="sell_call","call",IF($F469="roll",IF($AF469&gt;0,IF($AF469&gt;0,INDEX($AG$9:$AG$468,$AF469),""),""),IF($AF469&gt;0,IF($AF469&gt;0,INDEX($AG$9:$AG$468,$AF469),""),"")))))</f>
        <v/>
      </c>
      <c r="AH469" t="str">
        <f>IF($A469="","",IF(OR($F469="sell_put",$F469="sell_call",$F469="roll"),$I469,IF($AF469&gt;0,IF($AF469&gt;0,INDEX($AH$9:$AH$468,$AF469),0),0)))</f>
        <v/>
      </c>
      <c r="AI469" s="51" t="str">
        <f t="shared" si="128"/>
        <v/>
      </c>
      <c r="AJ469" s="51" t="str">
        <f>IF($A469="","",IFERROR(LOOKUP(2,1/($B$9:$B$468=$B469),$AM$9:$AM468),0))</f>
        <v/>
      </c>
      <c r="AK469" t="str">
        <f>IF($A469="","",IFERROR(LOOKUP(2,1/($B$9:$B$468=$B469),$AN$9:$AN468),0))</f>
        <v/>
      </c>
      <c r="AL469" s="51" t="str">
        <f t="shared" si="129"/>
        <v/>
      </c>
      <c r="AM469" s="51" t="str">
        <f t="shared" si="130"/>
        <v/>
      </c>
      <c r="AN469" t="str">
        <f t="shared" si="131"/>
        <v/>
      </c>
      <c r="AO469" s="50" t="str">
        <f>IF($A469="","",IFERROR(LOOKUP(2,1/($B$9:$B$468=$B469),$AO$9:$AO468),0)+IF($F469="sell_put",$I469*$AE469*$D469,IF($F469="roll",IF($AG469="put",($I469-IF($AF469&gt;0,INDEX($AH$9:$AH$468,$AF469),0))*$AE469*$D469,0),IF(AND(OR($F469="buy_to_close",$F469="expire",$F469="roll",$F469="assignment",$F469="called_away"),$F469&lt;&gt;"roll",$AG469="put"),-IF($AF469&gt;0,INDEX($AH$9:$AH$468,$AF469),0)*$AE469*$D469,0))))</f>
        <v/>
      </c>
      <c r="AP469" s="51" t="str">
        <f>IF($A469="","",IFERROR(LOOKUP(2,1/($B$9:$B$468=$B469),$AP$9:$AP468),0)+IF($F469="sell_put",$AE469*$D469,IF(AND(OR($F469="buy_to_close",$F469="expire",$F469="roll",$F469="assignment",$F469="called_away"),$F469&lt;&gt;"roll",$AG469="put"),-$AE469*$D469,0)))</f>
        <v/>
      </c>
      <c r="AQ469" s="51" t="str">
        <f>IF($A469="","",IFERROR(LOOKUP(2,1/($B$9:$B$468=$B469),$AQ$9:$AQ468),0)+IF(OR($F469="sell_put",$F469="sell_call"),$AE469,0)-IF(AND(OR($F469="buy_to_close",$F469="expire",$F469="roll",$F469="assignment",$F469="called_away"),$F469&lt;&gt;"roll"),$AE469,0))</f>
        <v/>
      </c>
      <c r="AR469" t="str">
        <f t="shared" si="132"/>
        <v/>
      </c>
      <c r="AS469" s="50" t="str">
        <f t="shared" si="133"/>
        <v/>
      </c>
      <c r="AT469" s="50" t="str">
        <f>IF($A469="","",MAX(IF($T469=IFERROR(LOOKUP(2,1/($B$9:$B$468=$B469),$T$9:$T468),0),IFERROR(LOOKUP(2,1/($B$9:$B$468=$B469),$AT$9:$AT468),0),0),$AS469))</f>
        <v/>
      </c>
      <c r="AU469" t="str">
        <f t="shared" si="134"/>
        <v/>
      </c>
      <c r="AV469" s="51">
        <f>IF($AU469="",0,IF(AND(IFERROR(LOOKUP(2,1/($B$9:$B$468=$B469),$AR$9:$AR468),1),NOT(AND(OR($F469="dividend",$F469="fee"),IFERROR(LOOKUP(2,1/($B$9:$B$468=$B469),$T$9:$T468),0)&gt;0))),ROW(),0))</f>
        <v>0</v>
      </c>
      <c r="AW469">
        <f>IF($A469="",0,IF($AV469&gt;0,MAX($AW$9:$AW$468)+1,MAX($AW$9:$AW$468)))</f>
        <v>0</v>
      </c>
      <c r="AX469">
        <f>IF($AU469="",0,IF(AND($AR469,OR(NOT(IFERROR(LOOKUP(2,1/($B$9:$B$468=$B469),$AR$9:$AR468),1)),IFERROR(LOOKUP(2,1/($B$9:$B$468=$B469),$T$9:$T468),0)=0)),ROW(),0))</f>
        <v>0</v>
      </c>
      <c r="AY469" t="str">
        <f t="shared" si="135"/>
        <v/>
      </c>
    </row>
    <row r="470" spans="1:51" ht="15" x14ac:dyDescent="0.25">
      <c r="A470" s="52" t="str">
        <f>IF(Trades!$A470="","",Trades!O470)</f>
        <v/>
      </c>
      <c r="B470" s="52" t="str">
        <f>IF(Trades!$A470="","",Trades!B470)</f>
        <v/>
      </c>
      <c r="C470" s="52" t="str">
        <f>IF(Trades!$A470="","",Trades!C470)</f>
        <v/>
      </c>
      <c r="D470" s="53" t="str">
        <f>IF(Trades!$A470="","",IF(Trades!$L470&gt;0,Trades!$L470,Trades!$C$6))</f>
        <v/>
      </c>
      <c r="E470" s="54" t="str">
        <f>IF(Trades!$A470="","",Trades!A470)</f>
        <v/>
      </c>
      <c r="F470" s="52" t="str">
        <f>IF(Trades!$A470="","",IFERROR(INDEX(Trades!$V$2:$V$14,MATCH(Trades!$E470,Trades!$U$2:$U$14,0)),""))</f>
        <v/>
      </c>
      <c r="G470" s="52" t="str">
        <f>IF(Trades!$A470="","",Trades!N470)</f>
        <v/>
      </c>
      <c r="H470" s="53" t="str">
        <f>IF(Trades!$A470="","",Trades!F470)</f>
        <v/>
      </c>
      <c r="I470" s="55" t="str">
        <f>IF(Trades!$A470="","",Trades!G470)</f>
        <v/>
      </c>
      <c r="J470" s="55" t="str">
        <f>IF(Trades!$A470="","",Trades!I470)</f>
        <v/>
      </c>
      <c r="K470" s="55" t="str">
        <f>IF(Trades!$A470="","",Trades!Q470)</f>
        <v/>
      </c>
      <c r="L470" s="53" t="str">
        <f>IF(Trades!$A470="","",Trades!F470)</f>
        <v/>
      </c>
      <c r="M470" s="55" t="str">
        <f>IF(Trades!$A470="","",Trades!M470)</f>
        <v/>
      </c>
      <c r="N470" s="55" t="str">
        <f>IF(Trades!$A470="","",Trades!R470)</f>
        <v/>
      </c>
      <c r="O470" s="55" t="str">
        <f>IF(Trades!$A470="","",Trades!J470)</f>
        <v/>
      </c>
      <c r="P470" s="54" t="str">
        <f>IF(Trades!$A470="","",Trades!H470)</f>
        <v/>
      </c>
      <c r="Q470" s="52" t="str">
        <f>IF(Trades!$A470="","",Trades!P470)</f>
        <v/>
      </c>
      <c r="R470" s="56" t="str">
        <f t="shared" si="119"/>
        <v/>
      </c>
      <c r="S470" s="56" t="str">
        <f t="shared" si="120"/>
        <v/>
      </c>
      <c r="T470" s="57" t="str">
        <f>IF(OR($A470="",$B470=""),"",IF(AND(IFERROR(LOOKUP(2,1/($B$9:$B$469=$B470),$AR$9:$AR469),1),NOT(AND(OR($F470="dividend",$F470="fee"),IFERROR(LOOKUP(2,1/($B$9:$B$469=$B470),$T$9:$T469),0)&gt;0))),IFERROR(LOOKUP(2,1/($B$9:$B$469=$B470),$T$9:$T469),0)+1,IFERROR(LOOKUP(2,1/($B$9:$B$469=$B470),$T$9:$T469),0)))</f>
        <v/>
      </c>
      <c r="U470" s="58" t="str">
        <f t="shared" si="121"/>
        <v/>
      </c>
      <c r="V470" s="58" t="str">
        <f>IF($A470="","",IF(OR($B470="",$C470="",$D470="",$E470="",$F470=""),"Missing required field",IF(COUNTIFS($A$9:$A470,$A470,$B$9:$B470,$B470)&gt;1,"Duplicate event ID",IF(AND($E470&lt;&gt;IFERROR(LOOKUP(2,1/($B$9:$B$469=$B470),$E$9:$E469),0),IFERROR(LOOKUP(2,1/($B$9:$B$469=$B470),$E$9:$E469),0)&gt;$E470),"Date out of order",IF(AND(OR($F470="buy_to_close",$F470="expire",$F470="roll",$F470="assignment",$F470="called_away"),$AF470=0),"Unknown lot",IF(OR(AND($F470="assignment",$AF470&gt;0,IF($AF470&gt;0,INDEX($AG$9:$AG$469,$AF470),"")&lt;&gt;"put"),AND($F470="called_away",$AF470&gt;0,IF($AF470&gt;0,INDEX($AG$9:$AG$469,$AF470),"")&lt;&gt;"call")),"Wrong option leg",IF(OR(AND(OR($F470="sell_put",$F470="sell_call"),OR($H470&lt;=0,$I470&lt;=0,$J470&lt;0)),AND(OR($F470="buy_to_close",$F470="expire",$F470="assignment",$F470="called_away"),OR($H470&lt;=0,$J470&lt;0)),AND($F470="roll",OR($H470&lt;=0,$I470&lt;=0,$J470&lt;0,$K470&lt;0)),AND(OR($F470="buy_shares",$F470="sell_shares"),OR($L470&lt;=0,$M470&lt;0)),AND(OR($F470="dividend",$F470="fee"),$N470&lt;0)),"Invalid value",IF(AND(OR($F470="sell_shares",$F470="called_away"),$AL470&lt;IF($F470="called_away",$AE470*$D470,$L470)),"Insufficient shares (capped)",IF(AND(OR($F470="buy_to_close",$F470="expire",$F470="roll",$F470="assignment",$F470="called_away"),$AF470&gt;0,$H470&gt;IF($AF470&gt;0,MAX(0,INDEX($AI$9:$AI$469,$AF470)-SUMIFS($AE$9:$AE$469,$G$9:$G$469,$G470,$B$9:$B$469,$B470)),0)),"Close quantity capped","OK")))))))))</f>
        <v/>
      </c>
      <c r="W470" s="59" t="str">
        <f t="shared" si="122"/>
        <v/>
      </c>
      <c r="X470" s="60" t="str">
        <f t="shared" si="123"/>
        <v/>
      </c>
      <c r="Y470" s="50" t="str">
        <f t="shared" si="124"/>
        <v/>
      </c>
      <c r="Z470" s="50" t="str">
        <f t="shared" si="125"/>
        <v/>
      </c>
      <c r="AA470" s="50" t="str">
        <f t="shared" si="126"/>
        <v/>
      </c>
      <c r="AB470" s="50" t="str">
        <f t="shared" si="127"/>
        <v/>
      </c>
      <c r="AC470" s="50" t="str">
        <f>IF($A470="","",IF($F470="assignment",IF($AF470&gt;0,INDEX($AH$9:$AH$469,$AF470),0)*$AE470*$D470,IF($F470="buy_shares",$M470*$AL470,0)))</f>
        <v/>
      </c>
      <c r="AD470" s="50" t="str">
        <f>IF($A470="","",IF($F470="called_away",IF($AF470&gt;0,INDEX($AH$9:$AH$469,$AF470),0)*$AL470,IF($F470="sell_shares",$M470*$AL470,0)))</f>
        <v/>
      </c>
      <c r="AE470" s="51" t="str">
        <f>IF($A470="","",IF(OR($F470="sell_put",$F470="sell_call"),IF(AND($H470&gt;0,$I470&gt;0,$J470&gt;=0),$H470,0),IF(OR($F470="buy_to_close",$F470="expire",$F470="roll",$F470="assignment",$F470="called_away"),IF(AND($AF470&gt;0,$H470&gt;0,IF($F470="assignment",IF($AF470&gt;0,INDEX($AG$9:$AG$469,$AF470),"")="put",TRUE),IF($F470="called_away",IF($AF470&gt;0,INDEX($AG$9:$AG$469,$AF470),"")="call",TRUE)),MIN($H470,IF($AF470&gt;0,MAX(0,INDEX($AI$9:$AI$469,$AF470)-SUMIFS($AE$9:$AE$469,$G$9:$G$469,$G470,$B$9:$B$469,$B470)),0)),0),0)))</f>
        <v/>
      </c>
      <c r="AF470" t="str">
        <f>IF($A470="","",IFERROR(MATCH(LEN($B470)&amp;":"&amp;$B470&amp;$G470,$AY$9:$AY$469,0),0))</f>
        <v/>
      </c>
      <c r="AG470" t="str">
        <f>IF($A470="","",IF($F470="sell_put","put",IF($F470="sell_call","call",IF($F470="roll",IF($AF470&gt;0,IF($AF470&gt;0,INDEX($AG$9:$AG$469,$AF470),""),""),IF($AF470&gt;0,IF($AF470&gt;0,INDEX($AG$9:$AG$469,$AF470),""),"")))))</f>
        <v/>
      </c>
      <c r="AH470" t="str">
        <f>IF($A470="","",IF(OR($F470="sell_put",$F470="sell_call",$F470="roll"),$I470,IF($AF470&gt;0,IF($AF470&gt;0,INDEX($AH$9:$AH$469,$AF470),0),0)))</f>
        <v/>
      </c>
      <c r="AI470" s="51" t="str">
        <f t="shared" si="128"/>
        <v/>
      </c>
      <c r="AJ470" s="51" t="str">
        <f>IF($A470="","",IFERROR(LOOKUP(2,1/($B$9:$B$469=$B470),$AM$9:$AM469),0))</f>
        <v/>
      </c>
      <c r="AK470" t="str">
        <f>IF($A470="","",IFERROR(LOOKUP(2,1/($B$9:$B$469=$B470),$AN$9:$AN469),0))</f>
        <v/>
      </c>
      <c r="AL470" s="51" t="str">
        <f t="shared" si="129"/>
        <v/>
      </c>
      <c r="AM470" s="51" t="str">
        <f t="shared" si="130"/>
        <v/>
      </c>
      <c r="AN470" t="str">
        <f t="shared" si="131"/>
        <v/>
      </c>
      <c r="AO470" s="50" t="str">
        <f>IF($A470="","",IFERROR(LOOKUP(2,1/($B$9:$B$469=$B470),$AO$9:$AO469),0)+IF($F470="sell_put",$I470*$AE470*$D470,IF($F470="roll",IF($AG470="put",($I470-IF($AF470&gt;0,INDEX($AH$9:$AH$469,$AF470),0))*$AE470*$D470,0),IF(AND(OR($F470="buy_to_close",$F470="expire",$F470="roll",$F470="assignment",$F470="called_away"),$F470&lt;&gt;"roll",$AG470="put"),-IF($AF470&gt;0,INDEX($AH$9:$AH$469,$AF470),0)*$AE470*$D470,0))))</f>
        <v/>
      </c>
      <c r="AP470" s="51" t="str">
        <f>IF($A470="","",IFERROR(LOOKUP(2,1/($B$9:$B$469=$B470),$AP$9:$AP469),0)+IF($F470="sell_put",$AE470*$D470,IF(AND(OR($F470="buy_to_close",$F470="expire",$F470="roll",$F470="assignment",$F470="called_away"),$F470&lt;&gt;"roll",$AG470="put"),-$AE470*$D470,0)))</f>
        <v/>
      </c>
      <c r="AQ470" s="51" t="str">
        <f>IF($A470="","",IFERROR(LOOKUP(2,1/($B$9:$B$469=$B470),$AQ$9:$AQ469),0)+IF(OR($F470="sell_put",$F470="sell_call"),$AE470,0)-IF(AND(OR($F470="buy_to_close",$F470="expire",$F470="roll",$F470="assignment",$F470="called_away"),$F470&lt;&gt;"roll"),$AE470,0))</f>
        <v/>
      </c>
      <c r="AR470" t="str">
        <f t="shared" si="132"/>
        <v/>
      </c>
      <c r="AS470" s="50" t="str">
        <f t="shared" si="133"/>
        <v/>
      </c>
      <c r="AT470" s="50" t="str">
        <f>IF($A470="","",MAX(IF($T470=IFERROR(LOOKUP(2,1/($B$9:$B$469=$B470),$T$9:$T469),0),IFERROR(LOOKUP(2,1/($B$9:$B$469=$B470),$AT$9:$AT469),0),0),$AS470))</f>
        <v/>
      </c>
      <c r="AU470" t="str">
        <f t="shared" si="134"/>
        <v/>
      </c>
      <c r="AV470" s="51">
        <f>IF($AU470="",0,IF(AND(IFERROR(LOOKUP(2,1/($B$9:$B$469=$B470),$AR$9:$AR469),1),NOT(AND(OR($F470="dividend",$F470="fee"),IFERROR(LOOKUP(2,1/($B$9:$B$469=$B470),$T$9:$T469),0)&gt;0))),ROW(),0))</f>
        <v>0</v>
      </c>
      <c r="AW470">
        <f>IF($A470="",0,IF($AV470&gt;0,MAX($AW$9:$AW$469)+1,MAX($AW$9:$AW$469)))</f>
        <v>0</v>
      </c>
      <c r="AX470">
        <f>IF($AU470="",0,IF(AND($AR470,OR(NOT(IFERROR(LOOKUP(2,1/($B$9:$B$469=$B470),$AR$9:$AR469),1)),IFERROR(LOOKUP(2,1/($B$9:$B$469=$B470),$T$9:$T469),0)=0)),ROW(),0))</f>
        <v>0</v>
      </c>
      <c r="AY470" t="str">
        <f t="shared" si="135"/>
        <v/>
      </c>
    </row>
    <row r="471" spans="1:51" ht="15" x14ac:dyDescent="0.25">
      <c r="A471" s="41" t="str">
        <f>IF(Trades!$A471="","",Trades!O471)</f>
        <v/>
      </c>
      <c r="B471" s="41" t="str">
        <f>IF(Trades!$A471="","",Trades!B471)</f>
        <v/>
      </c>
      <c r="C471" s="41" t="str">
        <f>IF(Trades!$A471="","",Trades!C471)</f>
        <v/>
      </c>
      <c r="D471" s="42" t="str">
        <f>IF(Trades!$A471="","",IF(Trades!$L471&gt;0,Trades!$L471,Trades!$C$6))</f>
        <v/>
      </c>
      <c r="E471" s="43" t="str">
        <f>IF(Trades!$A471="","",Trades!A471)</f>
        <v/>
      </c>
      <c r="F471" s="41" t="str">
        <f>IF(Trades!$A471="","",IFERROR(INDEX(Trades!$V$2:$V$14,MATCH(Trades!$E471,Trades!$U$2:$U$14,0)),""))</f>
        <v/>
      </c>
      <c r="G471" s="41" t="str">
        <f>IF(Trades!$A471="","",Trades!N471)</f>
        <v/>
      </c>
      <c r="H471" s="42" t="str">
        <f>IF(Trades!$A471="","",Trades!F471)</f>
        <v/>
      </c>
      <c r="I471" s="44" t="str">
        <f>IF(Trades!$A471="","",Trades!G471)</f>
        <v/>
      </c>
      <c r="J471" s="44" t="str">
        <f>IF(Trades!$A471="","",Trades!I471)</f>
        <v/>
      </c>
      <c r="K471" s="44" t="str">
        <f>IF(Trades!$A471="","",Trades!Q471)</f>
        <v/>
      </c>
      <c r="L471" s="42" t="str">
        <f>IF(Trades!$A471="","",Trades!F471)</f>
        <v/>
      </c>
      <c r="M471" s="44" t="str">
        <f>IF(Trades!$A471="","",Trades!M471)</f>
        <v/>
      </c>
      <c r="N471" s="44" t="str">
        <f>IF(Trades!$A471="","",Trades!R471)</f>
        <v/>
      </c>
      <c r="O471" s="44" t="str">
        <f>IF(Trades!$A471="","",Trades!J471)</f>
        <v/>
      </c>
      <c r="P471" s="43" t="str">
        <f>IF(Trades!$A471="","",Trades!H471)</f>
        <v/>
      </c>
      <c r="Q471" s="41" t="str">
        <f>IF(Trades!$A471="","",Trades!P471)</f>
        <v/>
      </c>
      <c r="R471" s="45" t="str">
        <f t="shared" si="119"/>
        <v/>
      </c>
      <c r="S471" s="45" t="str">
        <f t="shared" si="120"/>
        <v/>
      </c>
      <c r="T471" s="46" t="str">
        <f>IF(OR($A471="",$B471=""),"",IF(AND(IFERROR(LOOKUP(2,1/($B$9:$B$470=$B471),$AR$9:$AR470),1),NOT(AND(OR($F471="dividend",$F471="fee"),IFERROR(LOOKUP(2,1/($B$9:$B$470=$B471),$T$9:$T470),0)&gt;0))),IFERROR(LOOKUP(2,1/($B$9:$B$470=$B471),$T$9:$T470),0)+1,IFERROR(LOOKUP(2,1/($B$9:$B$470=$B471),$T$9:$T470),0)))</f>
        <v/>
      </c>
      <c r="U471" s="47" t="str">
        <f t="shared" si="121"/>
        <v/>
      </c>
      <c r="V471" s="47" t="str">
        <f>IF($A471="","",IF(OR($B471="",$C471="",$D471="",$E471="",$F471=""),"Missing required field",IF(COUNTIFS($A$9:$A471,$A471,$B$9:$B471,$B471)&gt;1,"Duplicate event ID",IF(AND($E471&lt;&gt;IFERROR(LOOKUP(2,1/($B$9:$B$470=$B471),$E$9:$E470),0),IFERROR(LOOKUP(2,1/($B$9:$B$470=$B471),$E$9:$E470),0)&gt;$E471),"Date out of order",IF(AND(OR($F471="buy_to_close",$F471="expire",$F471="roll",$F471="assignment",$F471="called_away"),$AF471=0),"Unknown lot",IF(OR(AND($F471="assignment",$AF471&gt;0,IF($AF471&gt;0,INDEX($AG$9:$AG$470,$AF471),"")&lt;&gt;"put"),AND($F471="called_away",$AF471&gt;0,IF($AF471&gt;0,INDEX($AG$9:$AG$470,$AF471),"")&lt;&gt;"call")),"Wrong option leg",IF(OR(AND(OR($F471="sell_put",$F471="sell_call"),OR($H471&lt;=0,$I471&lt;=0,$J471&lt;0)),AND(OR($F471="buy_to_close",$F471="expire",$F471="assignment",$F471="called_away"),OR($H471&lt;=0,$J471&lt;0)),AND($F471="roll",OR($H471&lt;=0,$I471&lt;=0,$J471&lt;0,$K471&lt;0)),AND(OR($F471="buy_shares",$F471="sell_shares"),OR($L471&lt;=0,$M471&lt;0)),AND(OR($F471="dividend",$F471="fee"),$N471&lt;0)),"Invalid value",IF(AND(OR($F471="sell_shares",$F471="called_away"),$AL471&lt;IF($F471="called_away",$AE471*$D471,$L471)),"Insufficient shares (capped)",IF(AND(OR($F471="buy_to_close",$F471="expire",$F471="roll",$F471="assignment",$F471="called_away"),$AF471&gt;0,$H471&gt;IF($AF471&gt;0,MAX(0,INDEX($AI$9:$AI$470,$AF471)-SUMIFS($AE$9:$AE$470,$G$9:$G$470,$G471,$B$9:$B$470,$B471)),0)),"Close quantity capped","OK")))))))))</f>
        <v/>
      </c>
      <c r="W471" s="48" t="str">
        <f t="shared" si="122"/>
        <v/>
      </c>
      <c r="X471" s="49" t="str">
        <f t="shared" si="123"/>
        <v/>
      </c>
      <c r="Y471" s="50" t="str">
        <f t="shared" si="124"/>
        <v/>
      </c>
      <c r="Z471" s="50" t="str">
        <f t="shared" si="125"/>
        <v/>
      </c>
      <c r="AA471" s="50" t="str">
        <f t="shared" si="126"/>
        <v/>
      </c>
      <c r="AB471" s="50" t="str">
        <f t="shared" si="127"/>
        <v/>
      </c>
      <c r="AC471" s="50" t="str">
        <f>IF($A471="","",IF($F471="assignment",IF($AF471&gt;0,INDEX($AH$9:$AH$470,$AF471),0)*$AE471*$D471,IF($F471="buy_shares",$M471*$AL471,0)))</f>
        <v/>
      </c>
      <c r="AD471" s="50" t="str">
        <f>IF($A471="","",IF($F471="called_away",IF($AF471&gt;0,INDEX($AH$9:$AH$470,$AF471),0)*$AL471,IF($F471="sell_shares",$M471*$AL471,0)))</f>
        <v/>
      </c>
      <c r="AE471" s="51" t="str">
        <f>IF($A471="","",IF(OR($F471="sell_put",$F471="sell_call"),IF(AND($H471&gt;0,$I471&gt;0,$J471&gt;=0),$H471,0),IF(OR($F471="buy_to_close",$F471="expire",$F471="roll",$F471="assignment",$F471="called_away"),IF(AND($AF471&gt;0,$H471&gt;0,IF($F471="assignment",IF($AF471&gt;0,INDEX($AG$9:$AG$470,$AF471),"")="put",TRUE),IF($F471="called_away",IF($AF471&gt;0,INDEX($AG$9:$AG$470,$AF471),"")="call",TRUE)),MIN($H471,IF($AF471&gt;0,MAX(0,INDEX($AI$9:$AI$470,$AF471)-SUMIFS($AE$9:$AE$470,$G$9:$G$470,$G471,$B$9:$B$470,$B471)),0)),0),0)))</f>
        <v/>
      </c>
      <c r="AF471" t="str">
        <f>IF($A471="","",IFERROR(MATCH(LEN($B471)&amp;":"&amp;$B471&amp;$G471,$AY$9:$AY$470,0),0))</f>
        <v/>
      </c>
      <c r="AG471" t="str">
        <f>IF($A471="","",IF($F471="sell_put","put",IF($F471="sell_call","call",IF($F471="roll",IF($AF471&gt;0,IF($AF471&gt;0,INDEX($AG$9:$AG$470,$AF471),""),""),IF($AF471&gt;0,IF($AF471&gt;0,INDEX($AG$9:$AG$470,$AF471),""),"")))))</f>
        <v/>
      </c>
      <c r="AH471" t="str">
        <f>IF($A471="","",IF(OR($F471="sell_put",$F471="sell_call",$F471="roll"),$I471,IF($AF471&gt;0,IF($AF471&gt;0,INDEX($AH$9:$AH$470,$AF471),0),0)))</f>
        <v/>
      </c>
      <c r="AI471" s="51" t="str">
        <f t="shared" si="128"/>
        <v/>
      </c>
      <c r="AJ471" s="51" t="str">
        <f>IF($A471="","",IFERROR(LOOKUP(2,1/($B$9:$B$470=$B471),$AM$9:$AM470),0))</f>
        <v/>
      </c>
      <c r="AK471" t="str">
        <f>IF($A471="","",IFERROR(LOOKUP(2,1/($B$9:$B$470=$B471),$AN$9:$AN470),0))</f>
        <v/>
      </c>
      <c r="AL471" s="51" t="str">
        <f t="shared" si="129"/>
        <v/>
      </c>
      <c r="AM471" s="51" t="str">
        <f t="shared" si="130"/>
        <v/>
      </c>
      <c r="AN471" t="str">
        <f t="shared" si="131"/>
        <v/>
      </c>
      <c r="AO471" s="50" t="str">
        <f>IF($A471="","",IFERROR(LOOKUP(2,1/($B$9:$B$470=$B471),$AO$9:$AO470),0)+IF($F471="sell_put",$I471*$AE471*$D471,IF($F471="roll",IF($AG471="put",($I471-IF($AF471&gt;0,INDEX($AH$9:$AH$470,$AF471),0))*$AE471*$D471,0),IF(AND(OR($F471="buy_to_close",$F471="expire",$F471="roll",$F471="assignment",$F471="called_away"),$F471&lt;&gt;"roll",$AG471="put"),-IF($AF471&gt;0,INDEX($AH$9:$AH$470,$AF471),0)*$AE471*$D471,0))))</f>
        <v/>
      </c>
      <c r="AP471" s="51" t="str">
        <f>IF($A471="","",IFERROR(LOOKUP(2,1/($B$9:$B$470=$B471),$AP$9:$AP470),0)+IF($F471="sell_put",$AE471*$D471,IF(AND(OR($F471="buy_to_close",$F471="expire",$F471="roll",$F471="assignment",$F471="called_away"),$F471&lt;&gt;"roll",$AG471="put"),-$AE471*$D471,0)))</f>
        <v/>
      </c>
      <c r="AQ471" s="51" t="str">
        <f>IF($A471="","",IFERROR(LOOKUP(2,1/($B$9:$B$470=$B471),$AQ$9:$AQ470),0)+IF(OR($F471="sell_put",$F471="sell_call"),$AE471,0)-IF(AND(OR($F471="buy_to_close",$F471="expire",$F471="roll",$F471="assignment",$F471="called_away"),$F471&lt;&gt;"roll"),$AE471,0))</f>
        <v/>
      </c>
      <c r="AR471" t="str">
        <f t="shared" si="132"/>
        <v/>
      </c>
      <c r="AS471" s="50" t="str">
        <f t="shared" si="133"/>
        <v/>
      </c>
      <c r="AT471" s="50" t="str">
        <f>IF($A471="","",MAX(IF($T471=IFERROR(LOOKUP(2,1/($B$9:$B$470=$B471),$T$9:$T470),0),IFERROR(LOOKUP(2,1/($B$9:$B$470=$B471),$AT$9:$AT470),0),0),$AS471))</f>
        <v/>
      </c>
      <c r="AU471" t="str">
        <f t="shared" si="134"/>
        <v/>
      </c>
      <c r="AV471" s="51">
        <f>IF($AU471="",0,IF(AND(IFERROR(LOOKUP(2,1/($B$9:$B$470=$B471),$AR$9:$AR470),1),NOT(AND(OR($F471="dividend",$F471="fee"),IFERROR(LOOKUP(2,1/($B$9:$B$470=$B471),$T$9:$T470),0)&gt;0))),ROW(),0))</f>
        <v>0</v>
      </c>
      <c r="AW471">
        <f>IF($A471="",0,IF($AV471&gt;0,MAX($AW$9:$AW$470)+1,MAX($AW$9:$AW$470)))</f>
        <v>0</v>
      </c>
      <c r="AX471">
        <f>IF($AU471="",0,IF(AND($AR471,OR(NOT(IFERROR(LOOKUP(2,1/($B$9:$B$470=$B471),$AR$9:$AR470),1)),IFERROR(LOOKUP(2,1/($B$9:$B$470=$B471),$T$9:$T470),0)=0)),ROW(),0))</f>
        <v>0</v>
      </c>
      <c r="AY471" t="str">
        <f t="shared" si="135"/>
        <v/>
      </c>
    </row>
    <row r="472" spans="1:51" ht="15" x14ac:dyDescent="0.25">
      <c r="A472" s="52" t="str">
        <f>IF(Trades!$A472="","",Trades!O472)</f>
        <v/>
      </c>
      <c r="B472" s="52" t="str">
        <f>IF(Trades!$A472="","",Trades!B472)</f>
        <v/>
      </c>
      <c r="C472" s="52" t="str">
        <f>IF(Trades!$A472="","",Trades!C472)</f>
        <v/>
      </c>
      <c r="D472" s="53" t="str">
        <f>IF(Trades!$A472="","",IF(Trades!$L472&gt;0,Trades!$L472,Trades!$C$6))</f>
        <v/>
      </c>
      <c r="E472" s="54" t="str">
        <f>IF(Trades!$A472="","",Trades!A472)</f>
        <v/>
      </c>
      <c r="F472" s="52" t="str">
        <f>IF(Trades!$A472="","",IFERROR(INDEX(Trades!$V$2:$V$14,MATCH(Trades!$E472,Trades!$U$2:$U$14,0)),""))</f>
        <v/>
      </c>
      <c r="G472" s="52" t="str">
        <f>IF(Trades!$A472="","",Trades!N472)</f>
        <v/>
      </c>
      <c r="H472" s="53" t="str">
        <f>IF(Trades!$A472="","",Trades!F472)</f>
        <v/>
      </c>
      <c r="I472" s="55" t="str">
        <f>IF(Trades!$A472="","",Trades!G472)</f>
        <v/>
      </c>
      <c r="J472" s="55" t="str">
        <f>IF(Trades!$A472="","",Trades!I472)</f>
        <v/>
      </c>
      <c r="K472" s="55" t="str">
        <f>IF(Trades!$A472="","",Trades!Q472)</f>
        <v/>
      </c>
      <c r="L472" s="53" t="str">
        <f>IF(Trades!$A472="","",Trades!F472)</f>
        <v/>
      </c>
      <c r="M472" s="55" t="str">
        <f>IF(Trades!$A472="","",Trades!M472)</f>
        <v/>
      </c>
      <c r="N472" s="55" t="str">
        <f>IF(Trades!$A472="","",Trades!R472)</f>
        <v/>
      </c>
      <c r="O472" s="55" t="str">
        <f>IF(Trades!$A472="","",Trades!J472)</f>
        <v/>
      </c>
      <c r="P472" s="54" t="str">
        <f>IF(Trades!$A472="","",Trades!H472)</f>
        <v/>
      </c>
      <c r="Q472" s="52" t="str">
        <f>IF(Trades!$A472="","",Trades!P472)</f>
        <v/>
      </c>
      <c r="R472" s="56" t="str">
        <f t="shared" si="119"/>
        <v/>
      </c>
      <c r="S472" s="56" t="str">
        <f t="shared" si="120"/>
        <v/>
      </c>
      <c r="T472" s="57" t="str">
        <f>IF(OR($A472="",$B472=""),"",IF(AND(IFERROR(LOOKUP(2,1/($B$9:$B$471=$B472),$AR$9:$AR471),1),NOT(AND(OR($F472="dividend",$F472="fee"),IFERROR(LOOKUP(2,1/($B$9:$B$471=$B472),$T$9:$T471),0)&gt;0))),IFERROR(LOOKUP(2,1/($B$9:$B$471=$B472),$T$9:$T471),0)+1,IFERROR(LOOKUP(2,1/($B$9:$B$471=$B472),$T$9:$T471),0)))</f>
        <v/>
      </c>
      <c r="U472" s="58" t="str">
        <f t="shared" si="121"/>
        <v/>
      </c>
      <c r="V472" s="58" t="str">
        <f>IF($A472="","",IF(OR($B472="",$C472="",$D472="",$E472="",$F472=""),"Missing required field",IF(COUNTIFS($A$9:$A472,$A472,$B$9:$B472,$B472)&gt;1,"Duplicate event ID",IF(AND($E472&lt;&gt;IFERROR(LOOKUP(2,1/($B$9:$B$471=$B472),$E$9:$E471),0),IFERROR(LOOKUP(2,1/($B$9:$B$471=$B472),$E$9:$E471),0)&gt;$E472),"Date out of order",IF(AND(OR($F472="buy_to_close",$F472="expire",$F472="roll",$F472="assignment",$F472="called_away"),$AF472=0),"Unknown lot",IF(OR(AND($F472="assignment",$AF472&gt;0,IF($AF472&gt;0,INDEX($AG$9:$AG$471,$AF472),"")&lt;&gt;"put"),AND($F472="called_away",$AF472&gt;0,IF($AF472&gt;0,INDEX($AG$9:$AG$471,$AF472),"")&lt;&gt;"call")),"Wrong option leg",IF(OR(AND(OR($F472="sell_put",$F472="sell_call"),OR($H472&lt;=0,$I472&lt;=0,$J472&lt;0)),AND(OR($F472="buy_to_close",$F472="expire",$F472="assignment",$F472="called_away"),OR($H472&lt;=0,$J472&lt;0)),AND($F472="roll",OR($H472&lt;=0,$I472&lt;=0,$J472&lt;0,$K472&lt;0)),AND(OR($F472="buy_shares",$F472="sell_shares"),OR($L472&lt;=0,$M472&lt;0)),AND(OR($F472="dividend",$F472="fee"),$N472&lt;0)),"Invalid value",IF(AND(OR($F472="sell_shares",$F472="called_away"),$AL472&lt;IF($F472="called_away",$AE472*$D472,$L472)),"Insufficient shares (capped)",IF(AND(OR($F472="buy_to_close",$F472="expire",$F472="roll",$F472="assignment",$F472="called_away"),$AF472&gt;0,$H472&gt;IF($AF472&gt;0,MAX(0,INDEX($AI$9:$AI$471,$AF472)-SUMIFS($AE$9:$AE$471,$G$9:$G$471,$G472,$B$9:$B$471,$B472)),0)),"Close quantity capped","OK")))))))))</f>
        <v/>
      </c>
      <c r="W472" s="59" t="str">
        <f t="shared" si="122"/>
        <v/>
      </c>
      <c r="X472" s="60" t="str">
        <f t="shared" si="123"/>
        <v/>
      </c>
      <c r="Y472" s="50" t="str">
        <f t="shared" si="124"/>
        <v/>
      </c>
      <c r="Z472" s="50" t="str">
        <f t="shared" si="125"/>
        <v/>
      </c>
      <c r="AA472" s="50" t="str">
        <f t="shared" si="126"/>
        <v/>
      </c>
      <c r="AB472" s="50" t="str">
        <f t="shared" si="127"/>
        <v/>
      </c>
      <c r="AC472" s="50" t="str">
        <f>IF($A472="","",IF($F472="assignment",IF($AF472&gt;0,INDEX($AH$9:$AH$471,$AF472),0)*$AE472*$D472,IF($F472="buy_shares",$M472*$AL472,0)))</f>
        <v/>
      </c>
      <c r="AD472" s="50" t="str">
        <f>IF($A472="","",IF($F472="called_away",IF($AF472&gt;0,INDEX($AH$9:$AH$471,$AF472),0)*$AL472,IF($F472="sell_shares",$M472*$AL472,0)))</f>
        <v/>
      </c>
      <c r="AE472" s="51" t="str">
        <f>IF($A472="","",IF(OR($F472="sell_put",$F472="sell_call"),IF(AND($H472&gt;0,$I472&gt;0,$J472&gt;=0),$H472,0),IF(OR($F472="buy_to_close",$F472="expire",$F472="roll",$F472="assignment",$F472="called_away"),IF(AND($AF472&gt;0,$H472&gt;0,IF($F472="assignment",IF($AF472&gt;0,INDEX($AG$9:$AG$471,$AF472),"")="put",TRUE),IF($F472="called_away",IF($AF472&gt;0,INDEX($AG$9:$AG$471,$AF472),"")="call",TRUE)),MIN($H472,IF($AF472&gt;0,MAX(0,INDEX($AI$9:$AI$471,$AF472)-SUMIFS($AE$9:$AE$471,$G$9:$G$471,$G472,$B$9:$B$471,$B472)),0)),0),0)))</f>
        <v/>
      </c>
      <c r="AF472" t="str">
        <f>IF($A472="","",IFERROR(MATCH(LEN($B472)&amp;":"&amp;$B472&amp;$G472,$AY$9:$AY$471,0),0))</f>
        <v/>
      </c>
      <c r="AG472" t="str">
        <f>IF($A472="","",IF($F472="sell_put","put",IF($F472="sell_call","call",IF($F472="roll",IF($AF472&gt;0,IF($AF472&gt;0,INDEX($AG$9:$AG$471,$AF472),""),""),IF($AF472&gt;0,IF($AF472&gt;0,INDEX($AG$9:$AG$471,$AF472),""),"")))))</f>
        <v/>
      </c>
      <c r="AH472" t="str">
        <f>IF($A472="","",IF(OR($F472="sell_put",$F472="sell_call",$F472="roll"),$I472,IF($AF472&gt;0,IF($AF472&gt;0,INDEX($AH$9:$AH$471,$AF472),0),0)))</f>
        <v/>
      </c>
      <c r="AI472" s="51" t="str">
        <f t="shared" si="128"/>
        <v/>
      </c>
      <c r="AJ472" s="51" t="str">
        <f>IF($A472="","",IFERROR(LOOKUP(2,1/($B$9:$B$471=$B472),$AM$9:$AM471),0))</f>
        <v/>
      </c>
      <c r="AK472" t="str">
        <f>IF($A472="","",IFERROR(LOOKUP(2,1/($B$9:$B$471=$B472),$AN$9:$AN471),0))</f>
        <v/>
      </c>
      <c r="AL472" s="51" t="str">
        <f t="shared" si="129"/>
        <v/>
      </c>
      <c r="AM472" s="51" t="str">
        <f t="shared" si="130"/>
        <v/>
      </c>
      <c r="AN472" t="str">
        <f t="shared" si="131"/>
        <v/>
      </c>
      <c r="AO472" s="50" t="str">
        <f>IF($A472="","",IFERROR(LOOKUP(2,1/($B$9:$B$471=$B472),$AO$9:$AO471),0)+IF($F472="sell_put",$I472*$AE472*$D472,IF($F472="roll",IF($AG472="put",($I472-IF($AF472&gt;0,INDEX($AH$9:$AH$471,$AF472),0))*$AE472*$D472,0),IF(AND(OR($F472="buy_to_close",$F472="expire",$F472="roll",$F472="assignment",$F472="called_away"),$F472&lt;&gt;"roll",$AG472="put"),-IF($AF472&gt;0,INDEX($AH$9:$AH$471,$AF472),0)*$AE472*$D472,0))))</f>
        <v/>
      </c>
      <c r="AP472" s="51" t="str">
        <f>IF($A472="","",IFERROR(LOOKUP(2,1/($B$9:$B$471=$B472),$AP$9:$AP471),0)+IF($F472="sell_put",$AE472*$D472,IF(AND(OR($F472="buy_to_close",$F472="expire",$F472="roll",$F472="assignment",$F472="called_away"),$F472&lt;&gt;"roll",$AG472="put"),-$AE472*$D472,0)))</f>
        <v/>
      </c>
      <c r="AQ472" s="51" t="str">
        <f>IF($A472="","",IFERROR(LOOKUP(2,1/($B$9:$B$471=$B472),$AQ$9:$AQ471),0)+IF(OR($F472="sell_put",$F472="sell_call"),$AE472,0)-IF(AND(OR($F472="buy_to_close",$F472="expire",$F472="roll",$F472="assignment",$F472="called_away"),$F472&lt;&gt;"roll"),$AE472,0))</f>
        <v/>
      </c>
      <c r="AR472" t="str">
        <f t="shared" si="132"/>
        <v/>
      </c>
      <c r="AS472" s="50" t="str">
        <f t="shared" si="133"/>
        <v/>
      </c>
      <c r="AT472" s="50" t="str">
        <f>IF($A472="","",MAX(IF($T472=IFERROR(LOOKUP(2,1/($B$9:$B$471=$B472),$T$9:$T471),0),IFERROR(LOOKUP(2,1/($B$9:$B$471=$B472),$AT$9:$AT471),0),0),$AS472))</f>
        <v/>
      </c>
      <c r="AU472" t="str">
        <f t="shared" si="134"/>
        <v/>
      </c>
      <c r="AV472" s="51">
        <f>IF($AU472="",0,IF(AND(IFERROR(LOOKUP(2,1/($B$9:$B$471=$B472),$AR$9:$AR471),1),NOT(AND(OR($F472="dividend",$F472="fee"),IFERROR(LOOKUP(2,1/($B$9:$B$471=$B472),$T$9:$T471),0)&gt;0))),ROW(),0))</f>
        <v>0</v>
      </c>
      <c r="AW472">
        <f>IF($A472="",0,IF($AV472&gt;0,MAX($AW$9:$AW$471)+1,MAX($AW$9:$AW$471)))</f>
        <v>0</v>
      </c>
      <c r="AX472">
        <f>IF($AU472="",0,IF(AND($AR472,OR(NOT(IFERROR(LOOKUP(2,1/($B$9:$B$471=$B472),$AR$9:$AR471),1)),IFERROR(LOOKUP(2,1/($B$9:$B$471=$B472),$T$9:$T471),0)=0)),ROW(),0))</f>
        <v>0</v>
      </c>
      <c r="AY472" t="str">
        <f t="shared" si="135"/>
        <v/>
      </c>
    </row>
    <row r="473" spans="1:51" ht="15" x14ac:dyDescent="0.25">
      <c r="A473" s="41" t="str">
        <f>IF(Trades!$A473="","",Trades!O473)</f>
        <v/>
      </c>
      <c r="B473" s="41" t="str">
        <f>IF(Trades!$A473="","",Trades!B473)</f>
        <v/>
      </c>
      <c r="C473" s="41" t="str">
        <f>IF(Trades!$A473="","",Trades!C473)</f>
        <v/>
      </c>
      <c r="D473" s="42" t="str">
        <f>IF(Trades!$A473="","",IF(Trades!$L473&gt;0,Trades!$L473,Trades!$C$6))</f>
        <v/>
      </c>
      <c r="E473" s="43" t="str">
        <f>IF(Trades!$A473="","",Trades!A473)</f>
        <v/>
      </c>
      <c r="F473" s="41" t="str">
        <f>IF(Trades!$A473="","",IFERROR(INDEX(Trades!$V$2:$V$14,MATCH(Trades!$E473,Trades!$U$2:$U$14,0)),""))</f>
        <v/>
      </c>
      <c r="G473" s="41" t="str">
        <f>IF(Trades!$A473="","",Trades!N473)</f>
        <v/>
      </c>
      <c r="H473" s="42" t="str">
        <f>IF(Trades!$A473="","",Trades!F473)</f>
        <v/>
      </c>
      <c r="I473" s="44" t="str">
        <f>IF(Trades!$A473="","",Trades!G473)</f>
        <v/>
      </c>
      <c r="J473" s="44" t="str">
        <f>IF(Trades!$A473="","",Trades!I473)</f>
        <v/>
      </c>
      <c r="K473" s="44" t="str">
        <f>IF(Trades!$A473="","",Trades!Q473)</f>
        <v/>
      </c>
      <c r="L473" s="42" t="str">
        <f>IF(Trades!$A473="","",Trades!F473)</f>
        <v/>
      </c>
      <c r="M473" s="44" t="str">
        <f>IF(Trades!$A473="","",Trades!M473)</f>
        <v/>
      </c>
      <c r="N473" s="44" t="str">
        <f>IF(Trades!$A473="","",Trades!R473)</f>
        <v/>
      </c>
      <c r="O473" s="44" t="str">
        <f>IF(Trades!$A473="","",Trades!J473)</f>
        <v/>
      </c>
      <c r="P473" s="43" t="str">
        <f>IF(Trades!$A473="","",Trades!H473)</f>
        <v/>
      </c>
      <c r="Q473" s="41" t="str">
        <f>IF(Trades!$A473="","",Trades!P473)</f>
        <v/>
      </c>
      <c r="R473" s="45" t="str">
        <f t="shared" si="119"/>
        <v/>
      </c>
      <c r="S473" s="45" t="str">
        <f t="shared" si="120"/>
        <v/>
      </c>
      <c r="T473" s="46" t="str">
        <f>IF(OR($A473="",$B473=""),"",IF(AND(IFERROR(LOOKUP(2,1/($B$9:$B$472=$B473),$AR$9:$AR472),1),NOT(AND(OR($F473="dividend",$F473="fee"),IFERROR(LOOKUP(2,1/($B$9:$B$472=$B473),$T$9:$T472),0)&gt;0))),IFERROR(LOOKUP(2,1/($B$9:$B$472=$B473),$T$9:$T472),0)+1,IFERROR(LOOKUP(2,1/($B$9:$B$472=$B473),$T$9:$T472),0)))</f>
        <v/>
      </c>
      <c r="U473" s="47" t="str">
        <f t="shared" si="121"/>
        <v/>
      </c>
      <c r="V473" s="47" t="str">
        <f>IF($A473="","",IF(OR($B473="",$C473="",$D473="",$E473="",$F473=""),"Missing required field",IF(COUNTIFS($A$9:$A473,$A473,$B$9:$B473,$B473)&gt;1,"Duplicate event ID",IF(AND($E473&lt;&gt;IFERROR(LOOKUP(2,1/($B$9:$B$472=$B473),$E$9:$E472),0),IFERROR(LOOKUP(2,1/($B$9:$B$472=$B473),$E$9:$E472),0)&gt;$E473),"Date out of order",IF(AND(OR($F473="buy_to_close",$F473="expire",$F473="roll",$F473="assignment",$F473="called_away"),$AF473=0),"Unknown lot",IF(OR(AND($F473="assignment",$AF473&gt;0,IF($AF473&gt;0,INDEX($AG$9:$AG$472,$AF473),"")&lt;&gt;"put"),AND($F473="called_away",$AF473&gt;0,IF($AF473&gt;0,INDEX($AG$9:$AG$472,$AF473),"")&lt;&gt;"call")),"Wrong option leg",IF(OR(AND(OR($F473="sell_put",$F473="sell_call"),OR($H473&lt;=0,$I473&lt;=0,$J473&lt;0)),AND(OR($F473="buy_to_close",$F473="expire",$F473="assignment",$F473="called_away"),OR($H473&lt;=0,$J473&lt;0)),AND($F473="roll",OR($H473&lt;=0,$I473&lt;=0,$J473&lt;0,$K473&lt;0)),AND(OR($F473="buy_shares",$F473="sell_shares"),OR($L473&lt;=0,$M473&lt;0)),AND(OR($F473="dividend",$F473="fee"),$N473&lt;0)),"Invalid value",IF(AND(OR($F473="sell_shares",$F473="called_away"),$AL473&lt;IF($F473="called_away",$AE473*$D473,$L473)),"Insufficient shares (capped)",IF(AND(OR($F473="buy_to_close",$F473="expire",$F473="roll",$F473="assignment",$F473="called_away"),$AF473&gt;0,$H473&gt;IF($AF473&gt;0,MAX(0,INDEX($AI$9:$AI$472,$AF473)-SUMIFS($AE$9:$AE$472,$G$9:$G$472,$G473,$B$9:$B$472,$B473)),0)),"Close quantity capped","OK")))))))))</f>
        <v/>
      </c>
      <c r="W473" s="48" t="str">
        <f t="shared" si="122"/>
        <v/>
      </c>
      <c r="X473" s="49" t="str">
        <f t="shared" si="123"/>
        <v/>
      </c>
      <c r="Y473" s="50" t="str">
        <f t="shared" si="124"/>
        <v/>
      </c>
      <c r="Z473" s="50" t="str">
        <f t="shared" si="125"/>
        <v/>
      </c>
      <c r="AA473" s="50" t="str">
        <f t="shared" si="126"/>
        <v/>
      </c>
      <c r="AB473" s="50" t="str">
        <f t="shared" si="127"/>
        <v/>
      </c>
      <c r="AC473" s="50" t="str">
        <f>IF($A473="","",IF($F473="assignment",IF($AF473&gt;0,INDEX($AH$9:$AH$472,$AF473),0)*$AE473*$D473,IF($F473="buy_shares",$M473*$AL473,0)))</f>
        <v/>
      </c>
      <c r="AD473" s="50" t="str">
        <f>IF($A473="","",IF($F473="called_away",IF($AF473&gt;0,INDEX($AH$9:$AH$472,$AF473),0)*$AL473,IF($F473="sell_shares",$M473*$AL473,0)))</f>
        <v/>
      </c>
      <c r="AE473" s="51" t="str">
        <f>IF($A473="","",IF(OR($F473="sell_put",$F473="sell_call"),IF(AND($H473&gt;0,$I473&gt;0,$J473&gt;=0),$H473,0),IF(OR($F473="buy_to_close",$F473="expire",$F473="roll",$F473="assignment",$F473="called_away"),IF(AND($AF473&gt;0,$H473&gt;0,IF($F473="assignment",IF($AF473&gt;0,INDEX($AG$9:$AG$472,$AF473),"")="put",TRUE),IF($F473="called_away",IF($AF473&gt;0,INDEX($AG$9:$AG$472,$AF473),"")="call",TRUE)),MIN($H473,IF($AF473&gt;0,MAX(0,INDEX($AI$9:$AI$472,$AF473)-SUMIFS($AE$9:$AE$472,$G$9:$G$472,$G473,$B$9:$B$472,$B473)),0)),0),0)))</f>
        <v/>
      </c>
      <c r="AF473" t="str">
        <f>IF($A473="","",IFERROR(MATCH(LEN($B473)&amp;":"&amp;$B473&amp;$G473,$AY$9:$AY$472,0),0))</f>
        <v/>
      </c>
      <c r="AG473" t="str">
        <f>IF($A473="","",IF($F473="sell_put","put",IF($F473="sell_call","call",IF($F473="roll",IF($AF473&gt;0,IF($AF473&gt;0,INDEX($AG$9:$AG$472,$AF473),""),""),IF($AF473&gt;0,IF($AF473&gt;0,INDEX($AG$9:$AG$472,$AF473),""),"")))))</f>
        <v/>
      </c>
      <c r="AH473" t="str">
        <f>IF($A473="","",IF(OR($F473="sell_put",$F473="sell_call",$F473="roll"),$I473,IF($AF473&gt;0,IF($AF473&gt;0,INDEX($AH$9:$AH$472,$AF473),0),0)))</f>
        <v/>
      </c>
      <c r="AI473" s="51" t="str">
        <f t="shared" si="128"/>
        <v/>
      </c>
      <c r="AJ473" s="51" t="str">
        <f>IF($A473="","",IFERROR(LOOKUP(2,1/($B$9:$B$472=$B473),$AM$9:$AM472),0))</f>
        <v/>
      </c>
      <c r="AK473" t="str">
        <f>IF($A473="","",IFERROR(LOOKUP(2,1/($B$9:$B$472=$B473),$AN$9:$AN472),0))</f>
        <v/>
      </c>
      <c r="AL473" s="51" t="str">
        <f t="shared" si="129"/>
        <v/>
      </c>
      <c r="AM473" s="51" t="str">
        <f t="shared" si="130"/>
        <v/>
      </c>
      <c r="AN473" t="str">
        <f t="shared" si="131"/>
        <v/>
      </c>
      <c r="AO473" s="50" t="str">
        <f>IF($A473="","",IFERROR(LOOKUP(2,1/($B$9:$B$472=$B473),$AO$9:$AO472),0)+IF($F473="sell_put",$I473*$AE473*$D473,IF($F473="roll",IF($AG473="put",($I473-IF($AF473&gt;0,INDEX($AH$9:$AH$472,$AF473),0))*$AE473*$D473,0),IF(AND(OR($F473="buy_to_close",$F473="expire",$F473="roll",$F473="assignment",$F473="called_away"),$F473&lt;&gt;"roll",$AG473="put"),-IF($AF473&gt;0,INDEX($AH$9:$AH$472,$AF473),0)*$AE473*$D473,0))))</f>
        <v/>
      </c>
      <c r="AP473" s="51" t="str">
        <f>IF($A473="","",IFERROR(LOOKUP(2,1/($B$9:$B$472=$B473),$AP$9:$AP472),0)+IF($F473="sell_put",$AE473*$D473,IF(AND(OR($F473="buy_to_close",$F473="expire",$F473="roll",$F473="assignment",$F473="called_away"),$F473&lt;&gt;"roll",$AG473="put"),-$AE473*$D473,0)))</f>
        <v/>
      </c>
      <c r="AQ473" s="51" t="str">
        <f>IF($A473="","",IFERROR(LOOKUP(2,1/($B$9:$B$472=$B473),$AQ$9:$AQ472),0)+IF(OR($F473="sell_put",$F473="sell_call"),$AE473,0)-IF(AND(OR($F473="buy_to_close",$F473="expire",$F473="roll",$F473="assignment",$F473="called_away"),$F473&lt;&gt;"roll"),$AE473,0))</f>
        <v/>
      </c>
      <c r="AR473" t="str">
        <f t="shared" si="132"/>
        <v/>
      </c>
      <c r="AS473" s="50" t="str">
        <f t="shared" si="133"/>
        <v/>
      </c>
      <c r="AT473" s="50" t="str">
        <f>IF($A473="","",MAX(IF($T473=IFERROR(LOOKUP(2,1/($B$9:$B$472=$B473),$T$9:$T472),0),IFERROR(LOOKUP(2,1/($B$9:$B$472=$B473),$AT$9:$AT472),0),0),$AS473))</f>
        <v/>
      </c>
      <c r="AU473" t="str">
        <f t="shared" si="134"/>
        <v/>
      </c>
      <c r="AV473" s="51">
        <f>IF($AU473="",0,IF(AND(IFERROR(LOOKUP(2,1/($B$9:$B$472=$B473),$AR$9:$AR472),1),NOT(AND(OR($F473="dividend",$F473="fee"),IFERROR(LOOKUP(2,1/($B$9:$B$472=$B473),$T$9:$T472),0)&gt;0))),ROW(),0))</f>
        <v>0</v>
      </c>
      <c r="AW473">
        <f>IF($A473="",0,IF($AV473&gt;0,MAX($AW$9:$AW$472)+1,MAX($AW$9:$AW$472)))</f>
        <v>0</v>
      </c>
      <c r="AX473">
        <f>IF($AU473="",0,IF(AND($AR473,OR(NOT(IFERROR(LOOKUP(2,1/($B$9:$B$472=$B473),$AR$9:$AR472),1)),IFERROR(LOOKUP(2,1/($B$9:$B$472=$B473),$T$9:$T472),0)=0)),ROW(),0))</f>
        <v>0</v>
      </c>
      <c r="AY473" t="str">
        <f t="shared" si="135"/>
        <v/>
      </c>
    </row>
    <row r="474" spans="1:51" ht="15" x14ac:dyDescent="0.25">
      <c r="A474" s="52" t="str">
        <f>IF(Trades!$A474="","",Trades!O474)</f>
        <v/>
      </c>
      <c r="B474" s="52" t="str">
        <f>IF(Trades!$A474="","",Trades!B474)</f>
        <v/>
      </c>
      <c r="C474" s="52" t="str">
        <f>IF(Trades!$A474="","",Trades!C474)</f>
        <v/>
      </c>
      <c r="D474" s="53" t="str">
        <f>IF(Trades!$A474="","",IF(Trades!$L474&gt;0,Trades!$L474,Trades!$C$6))</f>
        <v/>
      </c>
      <c r="E474" s="54" t="str">
        <f>IF(Trades!$A474="","",Trades!A474)</f>
        <v/>
      </c>
      <c r="F474" s="52" t="str">
        <f>IF(Trades!$A474="","",IFERROR(INDEX(Trades!$V$2:$V$14,MATCH(Trades!$E474,Trades!$U$2:$U$14,0)),""))</f>
        <v/>
      </c>
      <c r="G474" s="52" t="str">
        <f>IF(Trades!$A474="","",Trades!N474)</f>
        <v/>
      </c>
      <c r="H474" s="53" t="str">
        <f>IF(Trades!$A474="","",Trades!F474)</f>
        <v/>
      </c>
      <c r="I474" s="55" t="str">
        <f>IF(Trades!$A474="","",Trades!G474)</f>
        <v/>
      </c>
      <c r="J474" s="55" t="str">
        <f>IF(Trades!$A474="","",Trades!I474)</f>
        <v/>
      </c>
      <c r="K474" s="55" t="str">
        <f>IF(Trades!$A474="","",Trades!Q474)</f>
        <v/>
      </c>
      <c r="L474" s="53" t="str">
        <f>IF(Trades!$A474="","",Trades!F474)</f>
        <v/>
      </c>
      <c r="M474" s="55" t="str">
        <f>IF(Trades!$A474="","",Trades!M474)</f>
        <v/>
      </c>
      <c r="N474" s="55" t="str">
        <f>IF(Trades!$A474="","",Trades!R474)</f>
        <v/>
      </c>
      <c r="O474" s="55" t="str">
        <f>IF(Trades!$A474="","",Trades!J474)</f>
        <v/>
      </c>
      <c r="P474" s="54" t="str">
        <f>IF(Trades!$A474="","",Trades!H474)</f>
        <v/>
      </c>
      <c r="Q474" s="52" t="str">
        <f>IF(Trades!$A474="","",Trades!P474)</f>
        <v/>
      </c>
      <c r="R474" s="56" t="str">
        <f t="shared" si="119"/>
        <v/>
      </c>
      <c r="S474" s="56" t="str">
        <f t="shared" si="120"/>
        <v/>
      </c>
      <c r="T474" s="57" t="str">
        <f>IF(OR($A474="",$B474=""),"",IF(AND(IFERROR(LOOKUP(2,1/($B$9:$B$473=$B474),$AR$9:$AR473),1),NOT(AND(OR($F474="dividend",$F474="fee"),IFERROR(LOOKUP(2,1/($B$9:$B$473=$B474),$T$9:$T473),0)&gt;0))),IFERROR(LOOKUP(2,1/($B$9:$B$473=$B474),$T$9:$T473),0)+1,IFERROR(LOOKUP(2,1/($B$9:$B$473=$B474),$T$9:$T473),0)))</f>
        <v/>
      </c>
      <c r="U474" s="58" t="str">
        <f t="shared" si="121"/>
        <v/>
      </c>
      <c r="V474" s="58" t="str">
        <f>IF($A474="","",IF(OR($B474="",$C474="",$D474="",$E474="",$F474=""),"Missing required field",IF(COUNTIFS($A$9:$A474,$A474,$B$9:$B474,$B474)&gt;1,"Duplicate event ID",IF(AND($E474&lt;&gt;IFERROR(LOOKUP(2,1/($B$9:$B$473=$B474),$E$9:$E473),0),IFERROR(LOOKUP(2,1/($B$9:$B$473=$B474),$E$9:$E473),0)&gt;$E474),"Date out of order",IF(AND(OR($F474="buy_to_close",$F474="expire",$F474="roll",$F474="assignment",$F474="called_away"),$AF474=0),"Unknown lot",IF(OR(AND($F474="assignment",$AF474&gt;0,IF($AF474&gt;0,INDEX($AG$9:$AG$473,$AF474),"")&lt;&gt;"put"),AND($F474="called_away",$AF474&gt;0,IF($AF474&gt;0,INDEX($AG$9:$AG$473,$AF474),"")&lt;&gt;"call")),"Wrong option leg",IF(OR(AND(OR($F474="sell_put",$F474="sell_call"),OR($H474&lt;=0,$I474&lt;=0,$J474&lt;0)),AND(OR($F474="buy_to_close",$F474="expire",$F474="assignment",$F474="called_away"),OR($H474&lt;=0,$J474&lt;0)),AND($F474="roll",OR($H474&lt;=0,$I474&lt;=0,$J474&lt;0,$K474&lt;0)),AND(OR($F474="buy_shares",$F474="sell_shares"),OR($L474&lt;=0,$M474&lt;0)),AND(OR($F474="dividend",$F474="fee"),$N474&lt;0)),"Invalid value",IF(AND(OR($F474="sell_shares",$F474="called_away"),$AL474&lt;IF($F474="called_away",$AE474*$D474,$L474)),"Insufficient shares (capped)",IF(AND(OR($F474="buy_to_close",$F474="expire",$F474="roll",$F474="assignment",$F474="called_away"),$AF474&gt;0,$H474&gt;IF($AF474&gt;0,MAX(0,INDEX($AI$9:$AI$473,$AF474)-SUMIFS($AE$9:$AE$473,$G$9:$G$473,$G474,$B$9:$B$473,$B474)),0)),"Close quantity capped","OK")))))))))</f>
        <v/>
      </c>
      <c r="W474" s="59" t="str">
        <f t="shared" si="122"/>
        <v/>
      </c>
      <c r="X474" s="60" t="str">
        <f t="shared" si="123"/>
        <v/>
      </c>
      <c r="Y474" s="50" t="str">
        <f t="shared" si="124"/>
        <v/>
      </c>
      <c r="Z474" s="50" t="str">
        <f t="shared" si="125"/>
        <v/>
      </c>
      <c r="AA474" s="50" t="str">
        <f t="shared" si="126"/>
        <v/>
      </c>
      <c r="AB474" s="50" t="str">
        <f t="shared" si="127"/>
        <v/>
      </c>
      <c r="AC474" s="50" t="str">
        <f>IF($A474="","",IF($F474="assignment",IF($AF474&gt;0,INDEX($AH$9:$AH$473,$AF474),0)*$AE474*$D474,IF($F474="buy_shares",$M474*$AL474,0)))</f>
        <v/>
      </c>
      <c r="AD474" s="50" t="str">
        <f>IF($A474="","",IF($F474="called_away",IF($AF474&gt;0,INDEX($AH$9:$AH$473,$AF474),0)*$AL474,IF($F474="sell_shares",$M474*$AL474,0)))</f>
        <v/>
      </c>
      <c r="AE474" s="51" t="str">
        <f>IF($A474="","",IF(OR($F474="sell_put",$F474="sell_call"),IF(AND($H474&gt;0,$I474&gt;0,$J474&gt;=0),$H474,0),IF(OR($F474="buy_to_close",$F474="expire",$F474="roll",$F474="assignment",$F474="called_away"),IF(AND($AF474&gt;0,$H474&gt;0,IF($F474="assignment",IF($AF474&gt;0,INDEX($AG$9:$AG$473,$AF474),"")="put",TRUE),IF($F474="called_away",IF($AF474&gt;0,INDEX($AG$9:$AG$473,$AF474),"")="call",TRUE)),MIN($H474,IF($AF474&gt;0,MAX(0,INDEX($AI$9:$AI$473,$AF474)-SUMIFS($AE$9:$AE$473,$G$9:$G$473,$G474,$B$9:$B$473,$B474)),0)),0),0)))</f>
        <v/>
      </c>
      <c r="AF474" t="str">
        <f>IF($A474="","",IFERROR(MATCH(LEN($B474)&amp;":"&amp;$B474&amp;$G474,$AY$9:$AY$473,0),0))</f>
        <v/>
      </c>
      <c r="AG474" t="str">
        <f>IF($A474="","",IF($F474="sell_put","put",IF($F474="sell_call","call",IF($F474="roll",IF($AF474&gt;0,IF($AF474&gt;0,INDEX($AG$9:$AG$473,$AF474),""),""),IF($AF474&gt;0,IF($AF474&gt;0,INDEX($AG$9:$AG$473,$AF474),""),"")))))</f>
        <v/>
      </c>
      <c r="AH474" t="str">
        <f>IF($A474="","",IF(OR($F474="sell_put",$F474="sell_call",$F474="roll"),$I474,IF($AF474&gt;0,IF($AF474&gt;0,INDEX($AH$9:$AH$473,$AF474),0),0)))</f>
        <v/>
      </c>
      <c r="AI474" s="51" t="str">
        <f t="shared" si="128"/>
        <v/>
      </c>
      <c r="AJ474" s="51" t="str">
        <f>IF($A474="","",IFERROR(LOOKUP(2,1/($B$9:$B$473=$B474),$AM$9:$AM473),0))</f>
        <v/>
      </c>
      <c r="AK474" t="str">
        <f>IF($A474="","",IFERROR(LOOKUP(2,1/($B$9:$B$473=$B474),$AN$9:$AN473),0))</f>
        <v/>
      </c>
      <c r="AL474" s="51" t="str">
        <f t="shared" si="129"/>
        <v/>
      </c>
      <c r="AM474" s="51" t="str">
        <f t="shared" si="130"/>
        <v/>
      </c>
      <c r="AN474" t="str">
        <f t="shared" si="131"/>
        <v/>
      </c>
      <c r="AO474" s="50" t="str">
        <f>IF($A474="","",IFERROR(LOOKUP(2,1/($B$9:$B$473=$B474),$AO$9:$AO473),0)+IF($F474="sell_put",$I474*$AE474*$D474,IF($F474="roll",IF($AG474="put",($I474-IF($AF474&gt;0,INDEX($AH$9:$AH$473,$AF474),0))*$AE474*$D474,0),IF(AND(OR($F474="buy_to_close",$F474="expire",$F474="roll",$F474="assignment",$F474="called_away"),$F474&lt;&gt;"roll",$AG474="put"),-IF($AF474&gt;0,INDEX($AH$9:$AH$473,$AF474),0)*$AE474*$D474,0))))</f>
        <v/>
      </c>
      <c r="AP474" s="51" t="str">
        <f>IF($A474="","",IFERROR(LOOKUP(2,1/($B$9:$B$473=$B474),$AP$9:$AP473),0)+IF($F474="sell_put",$AE474*$D474,IF(AND(OR($F474="buy_to_close",$F474="expire",$F474="roll",$F474="assignment",$F474="called_away"),$F474&lt;&gt;"roll",$AG474="put"),-$AE474*$D474,0)))</f>
        <v/>
      </c>
      <c r="AQ474" s="51" t="str">
        <f>IF($A474="","",IFERROR(LOOKUP(2,1/($B$9:$B$473=$B474),$AQ$9:$AQ473),0)+IF(OR($F474="sell_put",$F474="sell_call"),$AE474,0)-IF(AND(OR($F474="buy_to_close",$F474="expire",$F474="roll",$F474="assignment",$F474="called_away"),$F474&lt;&gt;"roll"),$AE474,0))</f>
        <v/>
      </c>
      <c r="AR474" t="str">
        <f t="shared" si="132"/>
        <v/>
      </c>
      <c r="AS474" s="50" t="str">
        <f t="shared" si="133"/>
        <v/>
      </c>
      <c r="AT474" s="50" t="str">
        <f>IF($A474="","",MAX(IF($T474=IFERROR(LOOKUP(2,1/($B$9:$B$473=$B474),$T$9:$T473),0),IFERROR(LOOKUP(2,1/($B$9:$B$473=$B474),$AT$9:$AT473),0),0),$AS474))</f>
        <v/>
      </c>
      <c r="AU474" t="str">
        <f t="shared" si="134"/>
        <v/>
      </c>
      <c r="AV474" s="51">
        <f>IF($AU474="",0,IF(AND(IFERROR(LOOKUP(2,1/($B$9:$B$473=$B474),$AR$9:$AR473),1),NOT(AND(OR($F474="dividend",$F474="fee"),IFERROR(LOOKUP(2,1/($B$9:$B$473=$B474),$T$9:$T473),0)&gt;0))),ROW(),0))</f>
        <v>0</v>
      </c>
      <c r="AW474">
        <f>IF($A474="",0,IF($AV474&gt;0,MAX($AW$9:$AW$473)+1,MAX($AW$9:$AW$473)))</f>
        <v>0</v>
      </c>
      <c r="AX474">
        <f>IF($AU474="",0,IF(AND($AR474,OR(NOT(IFERROR(LOOKUP(2,1/($B$9:$B$473=$B474),$AR$9:$AR473),1)),IFERROR(LOOKUP(2,1/($B$9:$B$473=$B474),$T$9:$T473),0)=0)),ROW(),0))</f>
        <v>0</v>
      </c>
      <c r="AY474" t="str">
        <f t="shared" si="135"/>
        <v/>
      </c>
    </row>
    <row r="475" spans="1:51" ht="15" x14ac:dyDescent="0.25">
      <c r="A475" s="41" t="str">
        <f>IF(Trades!$A475="","",Trades!O475)</f>
        <v/>
      </c>
      <c r="B475" s="41" t="str">
        <f>IF(Trades!$A475="","",Trades!B475)</f>
        <v/>
      </c>
      <c r="C475" s="41" t="str">
        <f>IF(Trades!$A475="","",Trades!C475)</f>
        <v/>
      </c>
      <c r="D475" s="42" t="str">
        <f>IF(Trades!$A475="","",IF(Trades!$L475&gt;0,Trades!$L475,Trades!$C$6))</f>
        <v/>
      </c>
      <c r="E475" s="43" t="str">
        <f>IF(Trades!$A475="","",Trades!A475)</f>
        <v/>
      </c>
      <c r="F475" s="41" t="str">
        <f>IF(Trades!$A475="","",IFERROR(INDEX(Trades!$V$2:$V$14,MATCH(Trades!$E475,Trades!$U$2:$U$14,0)),""))</f>
        <v/>
      </c>
      <c r="G475" s="41" t="str">
        <f>IF(Trades!$A475="","",Trades!N475)</f>
        <v/>
      </c>
      <c r="H475" s="42" t="str">
        <f>IF(Trades!$A475="","",Trades!F475)</f>
        <v/>
      </c>
      <c r="I475" s="44" t="str">
        <f>IF(Trades!$A475="","",Trades!G475)</f>
        <v/>
      </c>
      <c r="J475" s="44" t="str">
        <f>IF(Trades!$A475="","",Trades!I475)</f>
        <v/>
      </c>
      <c r="K475" s="44" t="str">
        <f>IF(Trades!$A475="","",Trades!Q475)</f>
        <v/>
      </c>
      <c r="L475" s="42" t="str">
        <f>IF(Trades!$A475="","",Trades!F475)</f>
        <v/>
      </c>
      <c r="M475" s="44" t="str">
        <f>IF(Trades!$A475="","",Trades!M475)</f>
        <v/>
      </c>
      <c r="N475" s="44" t="str">
        <f>IF(Trades!$A475="","",Trades!R475)</f>
        <v/>
      </c>
      <c r="O475" s="44" t="str">
        <f>IF(Trades!$A475="","",Trades!J475)</f>
        <v/>
      </c>
      <c r="P475" s="43" t="str">
        <f>IF(Trades!$A475="","",Trades!H475)</f>
        <v/>
      </c>
      <c r="Q475" s="41" t="str">
        <f>IF(Trades!$A475="","",Trades!P475)</f>
        <v/>
      </c>
      <c r="R475" s="45" t="str">
        <f t="shared" si="119"/>
        <v/>
      </c>
      <c r="S475" s="45" t="str">
        <f t="shared" si="120"/>
        <v/>
      </c>
      <c r="T475" s="46" t="str">
        <f>IF(OR($A475="",$B475=""),"",IF(AND(IFERROR(LOOKUP(2,1/($B$9:$B$474=$B475),$AR$9:$AR474),1),NOT(AND(OR($F475="dividend",$F475="fee"),IFERROR(LOOKUP(2,1/($B$9:$B$474=$B475),$T$9:$T474),0)&gt;0))),IFERROR(LOOKUP(2,1/($B$9:$B$474=$B475),$T$9:$T474),0)+1,IFERROR(LOOKUP(2,1/($B$9:$B$474=$B475),$T$9:$T474),0)))</f>
        <v/>
      </c>
      <c r="U475" s="47" t="str">
        <f t="shared" si="121"/>
        <v/>
      </c>
      <c r="V475" s="47" t="str">
        <f>IF($A475="","",IF(OR($B475="",$C475="",$D475="",$E475="",$F475=""),"Missing required field",IF(COUNTIFS($A$9:$A475,$A475,$B$9:$B475,$B475)&gt;1,"Duplicate event ID",IF(AND($E475&lt;&gt;IFERROR(LOOKUP(2,1/($B$9:$B$474=$B475),$E$9:$E474),0),IFERROR(LOOKUP(2,1/($B$9:$B$474=$B475),$E$9:$E474),0)&gt;$E475),"Date out of order",IF(AND(OR($F475="buy_to_close",$F475="expire",$F475="roll",$F475="assignment",$F475="called_away"),$AF475=0),"Unknown lot",IF(OR(AND($F475="assignment",$AF475&gt;0,IF($AF475&gt;0,INDEX($AG$9:$AG$474,$AF475),"")&lt;&gt;"put"),AND($F475="called_away",$AF475&gt;0,IF($AF475&gt;0,INDEX($AG$9:$AG$474,$AF475),"")&lt;&gt;"call")),"Wrong option leg",IF(OR(AND(OR($F475="sell_put",$F475="sell_call"),OR($H475&lt;=0,$I475&lt;=0,$J475&lt;0)),AND(OR($F475="buy_to_close",$F475="expire",$F475="assignment",$F475="called_away"),OR($H475&lt;=0,$J475&lt;0)),AND($F475="roll",OR($H475&lt;=0,$I475&lt;=0,$J475&lt;0,$K475&lt;0)),AND(OR($F475="buy_shares",$F475="sell_shares"),OR($L475&lt;=0,$M475&lt;0)),AND(OR($F475="dividend",$F475="fee"),$N475&lt;0)),"Invalid value",IF(AND(OR($F475="sell_shares",$F475="called_away"),$AL475&lt;IF($F475="called_away",$AE475*$D475,$L475)),"Insufficient shares (capped)",IF(AND(OR($F475="buy_to_close",$F475="expire",$F475="roll",$F475="assignment",$F475="called_away"),$AF475&gt;0,$H475&gt;IF($AF475&gt;0,MAX(0,INDEX($AI$9:$AI$474,$AF475)-SUMIFS($AE$9:$AE$474,$G$9:$G$474,$G475,$B$9:$B$474,$B475)),0)),"Close quantity capped","OK")))))))))</f>
        <v/>
      </c>
      <c r="W475" s="48" t="str">
        <f t="shared" si="122"/>
        <v/>
      </c>
      <c r="X475" s="49" t="str">
        <f t="shared" si="123"/>
        <v/>
      </c>
      <c r="Y475" s="50" t="str">
        <f t="shared" si="124"/>
        <v/>
      </c>
      <c r="Z475" s="50" t="str">
        <f t="shared" si="125"/>
        <v/>
      </c>
      <c r="AA475" s="50" t="str">
        <f t="shared" si="126"/>
        <v/>
      </c>
      <c r="AB475" s="50" t="str">
        <f t="shared" si="127"/>
        <v/>
      </c>
      <c r="AC475" s="50" t="str">
        <f>IF($A475="","",IF($F475="assignment",IF($AF475&gt;0,INDEX($AH$9:$AH$474,$AF475),0)*$AE475*$D475,IF($F475="buy_shares",$M475*$AL475,0)))</f>
        <v/>
      </c>
      <c r="AD475" s="50" t="str">
        <f>IF($A475="","",IF($F475="called_away",IF($AF475&gt;0,INDEX($AH$9:$AH$474,$AF475),0)*$AL475,IF($F475="sell_shares",$M475*$AL475,0)))</f>
        <v/>
      </c>
      <c r="AE475" s="51" t="str">
        <f>IF($A475="","",IF(OR($F475="sell_put",$F475="sell_call"),IF(AND($H475&gt;0,$I475&gt;0,$J475&gt;=0),$H475,0),IF(OR($F475="buy_to_close",$F475="expire",$F475="roll",$F475="assignment",$F475="called_away"),IF(AND($AF475&gt;0,$H475&gt;0,IF($F475="assignment",IF($AF475&gt;0,INDEX($AG$9:$AG$474,$AF475),"")="put",TRUE),IF($F475="called_away",IF($AF475&gt;0,INDEX($AG$9:$AG$474,$AF475),"")="call",TRUE)),MIN($H475,IF($AF475&gt;0,MAX(0,INDEX($AI$9:$AI$474,$AF475)-SUMIFS($AE$9:$AE$474,$G$9:$G$474,$G475,$B$9:$B$474,$B475)),0)),0),0)))</f>
        <v/>
      </c>
      <c r="AF475" t="str">
        <f>IF($A475="","",IFERROR(MATCH(LEN($B475)&amp;":"&amp;$B475&amp;$G475,$AY$9:$AY$474,0),0))</f>
        <v/>
      </c>
      <c r="AG475" t="str">
        <f>IF($A475="","",IF($F475="sell_put","put",IF($F475="sell_call","call",IF($F475="roll",IF($AF475&gt;0,IF($AF475&gt;0,INDEX($AG$9:$AG$474,$AF475),""),""),IF($AF475&gt;0,IF($AF475&gt;0,INDEX($AG$9:$AG$474,$AF475),""),"")))))</f>
        <v/>
      </c>
      <c r="AH475" t="str">
        <f>IF($A475="","",IF(OR($F475="sell_put",$F475="sell_call",$F475="roll"),$I475,IF($AF475&gt;0,IF($AF475&gt;0,INDEX($AH$9:$AH$474,$AF475),0),0)))</f>
        <v/>
      </c>
      <c r="AI475" s="51" t="str">
        <f t="shared" si="128"/>
        <v/>
      </c>
      <c r="AJ475" s="51" t="str">
        <f>IF($A475="","",IFERROR(LOOKUP(2,1/($B$9:$B$474=$B475),$AM$9:$AM474),0))</f>
        <v/>
      </c>
      <c r="AK475" t="str">
        <f>IF($A475="","",IFERROR(LOOKUP(2,1/($B$9:$B$474=$B475),$AN$9:$AN474),0))</f>
        <v/>
      </c>
      <c r="AL475" s="51" t="str">
        <f t="shared" si="129"/>
        <v/>
      </c>
      <c r="AM475" s="51" t="str">
        <f t="shared" si="130"/>
        <v/>
      </c>
      <c r="AN475" t="str">
        <f t="shared" si="131"/>
        <v/>
      </c>
      <c r="AO475" s="50" t="str">
        <f>IF($A475="","",IFERROR(LOOKUP(2,1/($B$9:$B$474=$B475),$AO$9:$AO474),0)+IF($F475="sell_put",$I475*$AE475*$D475,IF($F475="roll",IF($AG475="put",($I475-IF($AF475&gt;0,INDEX($AH$9:$AH$474,$AF475),0))*$AE475*$D475,0),IF(AND(OR($F475="buy_to_close",$F475="expire",$F475="roll",$F475="assignment",$F475="called_away"),$F475&lt;&gt;"roll",$AG475="put"),-IF($AF475&gt;0,INDEX($AH$9:$AH$474,$AF475),0)*$AE475*$D475,0))))</f>
        <v/>
      </c>
      <c r="AP475" s="51" t="str">
        <f>IF($A475="","",IFERROR(LOOKUP(2,1/($B$9:$B$474=$B475),$AP$9:$AP474),0)+IF($F475="sell_put",$AE475*$D475,IF(AND(OR($F475="buy_to_close",$F475="expire",$F475="roll",$F475="assignment",$F475="called_away"),$F475&lt;&gt;"roll",$AG475="put"),-$AE475*$D475,0)))</f>
        <v/>
      </c>
      <c r="AQ475" s="51" t="str">
        <f>IF($A475="","",IFERROR(LOOKUP(2,1/($B$9:$B$474=$B475),$AQ$9:$AQ474),0)+IF(OR($F475="sell_put",$F475="sell_call"),$AE475,0)-IF(AND(OR($F475="buy_to_close",$F475="expire",$F475="roll",$F475="assignment",$F475="called_away"),$F475&lt;&gt;"roll"),$AE475,0))</f>
        <v/>
      </c>
      <c r="AR475" t="str">
        <f t="shared" si="132"/>
        <v/>
      </c>
      <c r="AS475" s="50" t="str">
        <f t="shared" si="133"/>
        <v/>
      </c>
      <c r="AT475" s="50" t="str">
        <f>IF($A475="","",MAX(IF($T475=IFERROR(LOOKUP(2,1/($B$9:$B$474=$B475),$T$9:$T474),0),IFERROR(LOOKUP(2,1/($B$9:$B$474=$B475),$AT$9:$AT474),0),0),$AS475))</f>
        <v/>
      </c>
      <c r="AU475" t="str">
        <f t="shared" si="134"/>
        <v/>
      </c>
      <c r="AV475" s="51">
        <f>IF($AU475="",0,IF(AND(IFERROR(LOOKUP(2,1/($B$9:$B$474=$B475),$AR$9:$AR474),1),NOT(AND(OR($F475="dividend",$F475="fee"),IFERROR(LOOKUP(2,1/($B$9:$B$474=$B475),$T$9:$T474),0)&gt;0))),ROW(),0))</f>
        <v>0</v>
      </c>
      <c r="AW475">
        <f>IF($A475="",0,IF($AV475&gt;0,MAX($AW$9:$AW$474)+1,MAX($AW$9:$AW$474)))</f>
        <v>0</v>
      </c>
      <c r="AX475">
        <f>IF($AU475="",0,IF(AND($AR475,OR(NOT(IFERROR(LOOKUP(2,1/($B$9:$B$474=$B475),$AR$9:$AR474),1)),IFERROR(LOOKUP(2,1/($B$9:$B$474=$B475),$T$9:$T474),0)=0)),ROW(),0))</f>
        <v>0</v>
      </c>
      <c r="AY475" t="str">
        <f t="shared" si="135"/>
        <v/>
      </c>
    </row>
    <row r="476" spans="1:51" ht="15" x14ac:dyDescent="0.25">
      <c r="A476" s="52" t="str">
        <f>IF(Trades!$A476="","",Trades!O476)</f>
        <v/>
      </c>
      <c r="B476" s="52" t="str">
        <f>IF(Trades!$A476="","",Trades!B476)</f>
        <v/>
      </c>
      <c r="C476" s="52" t="str">
        <f>IF(Trades!$A476="","",Trades!C476)</f>
        <v/>
      </c>
      <c r="D476" s="53" t="str">
        <f>IF(Trades!$A476="","",IF(Trades!$L476&gt;0,Trades!$L476,Trades!$C$6))</f>
        <v/>
      </c>
      <c r="E476" s="54" t="str">
        <f>IF(Trades!$A476="","",Trades!A476)</f>
        <v/>
      </c>
      <c r="F476" s="52" t="str">
        <f>IF(Trades!$A476="","",IFERROR(INDEX(Trades!$V$2:$V$14,MATCH(Trades!$E476,Trades!$U$2:$U$14,0)),""))</f>
        <v/>
      </c>
      <c r="G476" s="52" t="str">
        <f>IF(Trades!$A476="","",Trades!N476)</f>
        <v/>
      </c>
      <c r="H476" s="53" t="str">
        <f>IF(Trades!$A476="","",Trades!F476)</f>
        <v/>
      </c>
      <c r="I476" s="55" t="str">
        <f>IF(Trades!$A476="","",Trades!G476)</f>
        <v/>
      </c>
      <c r="J476" s="55" t="str">
        <f>IF(Trades!$A476="","",Trades!I476)</f>
        <v/>
      </c>
      <c r="K476" s="55" t="str">
        <f>IF(Trades!$A476="","",Trades!Q476)</f>
        <v/>
      </c>
      <c r="L476" s="53" t="str">
        <f>IF(Trades!$A476="","",Trades!F476)</f>
        <v/>
      </c>
      <c r="M476" s="55" t="str">
        <f>IF(Trades!$A476="","",Trades!M476)</f>
        <v/>
      </c>
      <c r="N476" s="55" t="str">
        <f>IF(Trades!$A476="","",Trades!R476)</f>
        <v/>
      </c>
      <c r="O476" s="55" t="str">
        <f>IF(Trades!$A476="","",Trades!J476)</f>
        <v/>
      </c>
      <c r="P476" s="54" t="str">
        <f>IF(Trades!$A476="","",Trades!H476)</f>
        <v/>
      </c>
      <c r="Q476" s="52" t="str">
        <f>IF(Trades!$A476="","",Trades!P476)</f>
        <v/>
      </c>
      <c r="R476" s="56" t="str">
        <f t="shared" si="119"/>
        <v/>
      </c>
      <c r="S476" s="56" t="str">
        <f t="shared" si="120"/>
        <v/>
      </c>
      <c r="T476" s="57" t="str">
        <f>IF(OR($A476="",$B476=""),"",IF(AND(IFERROR(LOOKUP(2,1/($B$9:$B$475=$B476),$AR$9:$AR475),1),NOT(AND(OR($F476="dividend",$F476="fee"),IFERROR(LOOKUP(2,1/($B$9:$B$475=$B476),$T$9:$T475),0)&gt;0))),IFERROR(LOOKUP(2,1/($B$9:$B$475=$B476),$T$9:$T475),0)+1,IFERROR(LOOKUP(2,1/($B$9:$B$475=$B476),$T$9:$T475),0)))</f>
        <v/>
      </c>
      <c r="U476" s="58" t="str">
        <f t="shared" si="121"/>
        <v/>
      </c>
      <c r="V476" s="58" t="str">
        <f>IF($A476="","",IF(OR($B476="",$C476="",$D476="",$E476="",$F476=""),"Missing required field",IF(COUNTIFS($A$9:$A476,$A476,$B$9:$B476,$B476)&gt;1,"Duplicate event ID",IF(AND($E476&lt;&gt;IFERROR(LOOKUP(2,1/($B$9:$B$475=$B476),$E$9:$E475),0),IFERROR(LOOKUP(2,1/($B$9:$B$475=$B476),$E$9:$E475),0)&gt;$E476),"Date out of order",IF(AND(OR($F476="buy_to_close",$F476="expire",$F476="roll",$F476="assignment",$F476="called_away"),$AF476=0),"Unknown lot",IF(OR(AND($F476="assignment",$AF476&gt;0,IF($AF476&gt;0,INDEX($AG$9:$AG$475,$AF476),"")&lt;&gt;"put"),AND($F476="called_away",$AF476&gt;0,IF($AF476&gt;0,INDEX($AG$9:$AG$475,$AF476),"")&lt;&gt;"call")),"Wrong option leg",IF(OR(AND(OR($F476="sell_put",$F476="sell_call"),OR($H476&lt;=0,$I476&lt;=0,$J476&lt;0)),AND(OR($F476="buy_to_close",$F476="expire",$F476="assignment",$F476="called_away"),OR($H476&lt;=0,$J476&lt;0)),AND($F476="roll",OR($H476&lt;=0,$I476&lt;=0,$J476&lt;0,$K476&lt;0)),AND(OR($F476="buy_shares",$F476="sell_shares"),OR($L476&lt;=0,$M476&lt;0)),AND(OR($F476="dividend",$F476="fee"),$N476&lt;0)),"Invalid value",IF(AND(OR($F476="sell_shares",$F476="called_away"),$AL476&lt;IF($F476="called_away",$AE476*$D476,$L476)),"Insufficient shares (capped)",IF(AND(OR($F476="buy_to_close",$F476="expire",$F476="roll",$F476="assignment",$F476="called_away"),$AF476&gt;0,$H476&gt;IF($AF476&gt;0,MAX(0,INDEX($AI$9:$AI$475,$AF476)-SUMIFS($AE$9:$AE$475,$G$9:$G$475,$G476,$B$9:$B$475,$B476)),0)),"Close quantity capped","OK")))))))))</f>
        <v/>
      </c>
      <c r="W476" s="59" t="str">
        <f t="shared" si="122"/>
        <v/>
      </c>
      <c r="X476" s="60" t="str">
        <f t="shared" si="123"/>
        <v/>
      </c>
      <c r="Y476" s="50" t="str">
        <f t="shared" si="124"/>
        <v/>
      </c>
      <c r="Z476" s="50" t="str">
        <f t="shared" si="125"/>
        <v/>
      </c>
      <c r="AA476" s="50" t="str">
        <f t="shared" si="126"/>
        <v/>
      </c>
      <c r="AB476" s="50" t="str">
        <f t="shared" si="127"/>
        <v/>
      </c>
      <c r="AC476" s="50" t="str">
        <f>IF($A476="","",IF($F476="assignment",IF($AF476&gt;0,INDEX($AH$9:$AH$475,$AF476),0)*$AE476*$D476,IF($F476="buy_shares",$M476*$AL476,0)))</f>
        <v/>
      </c>
      <c r="AD476" s="50" t="str">
        <f>IF($A476="","",IF($F476="called_away",IF($AF476&gt;0,INDEX($AH$9:$AH$475,$AF476),0)*$AL476,IF($F476="sell_shares",$M476*$AL476,0)))</f>
        <v/>
      </c>
      <c r="AE476" s="51" t="str">
        <f>IF($A476="","",IF(OR($F476="sell_put",$F476="sell_call"),IF(AND($H476&gt;0,$I476&gt;0,$J476&gt;=0),$H476,0),IF(OR($F476="buy_to_close",$F476="expire",$F476="roll",$F476="assignment",$F476="called_away"),IF(AND($AF476&gt;0,$H476&gt;0,IF($F476="assignment",IF($AF476&gt;0,INDEX($AG$9:$AG$475,$AF476),"")="put",TRUE),IF($F476="called_away",IF($AF476&gt;0,INDEX($AG$9:$AG$475,$AF476),"")="call",TRUE)),MIN($H476,IF($AF476&gt;0,MAX(0,INDEX($AI$9:$AI$475,$AF476)-SUMIFS($AE$9:$AE$475,$G$9:$G$475,$G476,$B$9:$B$475,$B476)),0)),0),0)))</f>
        <v/>
      </c>
      <c r="AF476" t="str">
        <f>IF($A476="","",IFERROR(MATCH(LEN($B476)&amp;":"&amp;$B476&amp;$G476,$AY$9:$AY$475,0),0))</f>
        <v/>
      </c>
      <c r="AG476" t="str">
        <f>IF($A476="","",IF($F476="sell_put","put",IF($F476="sell_call","call",IF($F476="roll",IF($AF476&gt;0,IF($AF476&gt;0,INDEX($AG$9:$AG$475,$AF476),""),""),IF($AF476&gt;0,IF($AF476&gt;0,INDEX($AG$9:$AG$475,$AF476),""),"")))))</f>
        <v/>
      </c>
      <c r="AH476" t="str">
        <f>IF($A476="","",IF(OR($F476="sell_put",$F476="sell_call",$F476="roll"),$I476,IF($AF476&gt;0,IF($AF476&gt;0,INDEX($AH$9:$AH$475,$AF476),0),0)))</f>
        <v/>
      </c>
      <c r="AI476" s="51" t="str">
        <f t="shared" si="128"/>
        <v/>
      </c>
      <c r="AJ476" s="51" t="str">
        <f>IF($A476="","",IFERROR(LOOKUP(2,1/($B$9:$B$475=$B476),$AM$9:$AM475),0))</f>
        <v/>
      </c>
      <c r="AK476" t="str">
        <f>IF($A476="","",IFERROR(LOOKUP(2,1/($B$9:$B$475=$B476),$AN$9:$AN475),0))</f>
        <v/>
      </c>
      <c r="AL476" s="51" t="str">
        <f t="shared" si="129"/>
        <v/>
      </c>
      <c r="AM476" s="51" t="str">
        <f t="shared" si="130"/>
        <v/>
      </c>
      <c r="AN476" t="str">
        <f t="shared" si="131"/>
        <v/>
      </c>
      <c r="AO476" s="50" t="str">
        <f>IF($A476="","",IFERROR(LOOKUP(2,1/($B$9:$B$475=$B476),$AO$9:$AO475),0)+IF($F476="sell_put",$I476*$AE476*$D476,IF($F476="roll",IF($AG476="put",($I476-IF($AF476&gt;0,INDEX($AH$9:$AH$475,$AF476),0))*$AE476*$D476,0),IF(AND(OR($F476="buy_to_close",$F476="expire",$F476="roll",$F476="assignment",$F476="called_away"),$F476&lt;&gt;"roll",$AG476="put"),-IF($AF476&gt;0,INDEX($AH$9:$AH$475,$AF476),0)*$AE476*$D476,0))))</f>
        <v/>
      </c>
      <c r="AP476" s="51" t="str">
        <f>IF($A476="","",IFERROR(LOOKUP(2,1/($B$9:$B$475=$B476),$AP$9:$AP475),0)+IF($F476="sell_put",$AE476*$D476,IF(AND(OR($F476="buy_to_close",$F476="expire",$F476="roll",$F476="assignment",$F476="called_away"),$F476&lt;&gt;"roll",$AG476="put"),-$AE476*$D476,0)))</f>
        <v/>
      </c>
      <c r="AQ476" s="51" t="str">
        <f>IF($A476="","",IFERROR(LOOKUP(2,1/($B$9:$B$475=$B476),$AQ$9:$AQ475),0)+IF(OR($F476="sell_put",$F476="sell_call"),$AE476,0)-IF(AND(OR($F476="buy_to_close",$F476="expire",$F476="roll",$F476="assignment",$F476="called_away"),$F476&lt;&gt;"roll"),$AE476,0))</f>
        <v/>
      </c>
      <c r="AR476" t="str">
        <f t="shared" si="132"/>
        <v/>
      </c>
      <c r="AS476" s="50" t="str">
        <f t="shared" si="133"/>
        <v/>
      </c>
      <c r="AT476" s="50" t="str">
        <f>IF($A476="","",MAX(IF($T476=IFERROR(LOOKUP(2,1/($B$9:$B$475=$B476),$T$9:$T475),0),IFERROR(LOOKUP(2,1/($B$9:$B$475=$B476),$AT$9:$AT475),0),0),$AS476))</f>
        <v/>
      </c>
      <c r="AU476" t="str">
        <f t="shared" si="134"/>
        <v/>
      </c>
      <c r="AV476" s="51">
        <f>IF($AU476="",0,IF(AND(IFERROR(LOOKUP(2,1/($B$9:$B$475=$B476),$AR$9:$AR475),1),NOT(AND(OR($F476="dividend",$F476="fee"),IFERROR(LOOKUP(2,1/($B$9:$B$475=$B476),$T$9:$T475),0)&gt;0))),ROW(),0))</f>
        <v>0</v>
      </c>
      <c r="AW476">
        <f>IF($A476="",0,IF($AV476&gt;0,MAX($AW$9:$AW$475)+1,MAX($AW$9:$AW$475)))</f>
        <v>0</v>
      </c>
      <c r="AX476">
        <f>IF($AU476="",0,IF(AND($AR476,OR(NOT(IFERROR(LOOKUP(2,1/($B$9:$B$475=$B476),$AR$9:$AR475),1)),IFERROR(LOOKUP(2,1/($B$9:$B$475=$B476),$T$9:$T475),0)=0)),ROW(),0))</f>
        <v>0</v>
      </c>
      <c r="AY476" t="str">
        <f t="shared" si="135"/>
        <v/>
      </c>
    </row>
    <row r="477" spans="1:51" ht="15" x14ac:dyDescent="0.25">
      <c r="A477" s="41" t="str">
        <f>IF(Trades!$A477="","",Trades!O477)</f>
        <v/>
      </c>
      <c r="B477" s="41" t="str">
        <f>IF(Trades!$A477="","",Trades!B477)</f>
        <v/>
      </c>
      <c r="C477" s="41" t="str">
        <f>IF(Trades!$A477="","",Trades!C477)</f>
        <v/>
      </c>
      <c r="D477" s="42" t="str">
        <f>IF(Trades!$A477="","",IF(Trades!$L477&gt;0,Trades!$L477,Trades!$C$6))</f>
        <v/>
      </c>
      <c r="E477" s="43" t="str">
        <f>IF(Trades!$A477="","",Trades!A477)</f>
        <v/>
      </c>
      <c r="F477" s="41" t="str">
        <f>IF(Trades!$A477="","",IFERROR(INDEX(Trades!$V$2:$V$14,MATCH(Trades!$E477,Trades!$U$2:$U$14,0)),""))</f>
        <v/>
      </c>
      <c r="G477" s="41" t="str">
        <f>IF(Trades!$A477="","",Trades!N477)</f>
        <v/>
      </c>
      <c r="H477" s="42" t="str">
        <f>IF(Trades!$A477="","",Trades!F477)</f>
        <v/>
      </c>
      <c r="I477" s="44" t="str">
        <f>IF(Trades!$A477="","",Trades!G477)</f>
        <v/>
      </c>
      <c r="J477" s="44" t="str">
        <f>IF(Trades!$A477="","",Trades!I477)</f>
        <v/>
      </c>
      <c r="K477" s="44" t="str">
        <f>IF(Trades!$A477="","",Trades!Q477)</f>
        <v/>
      </c>
      <c r="L477" s="42" t="str">
        <f>IF(Trades!$A477="","",Trades!F477)</f>
        <v/>
      </c>
      <c r="M477" s="44" t="str">
        <f>IF(Trades!$A477="","",Trades!M477)</f>
        <v/>
      </c>
      <c r="N477" s="44" t="str">
        <f>IF(Trades!$A477="","",Trades!R477)</f>
        <v/>
      </c>
      <c r="O477" s="44" t="str">
        <f>IF(Trades!$A477="","",Trades!J477)</f>
        <v/>
      </c>
      <c r="P477" s="43" t="str">
        <f>IF(Trades!$A477="","",Trades!H477)</f>
        <v/>
      </c>
      <c r="Q477" s="41" t="str">
        <f>IF(Trades!$A477="","",Trades!P477)</f>
        <v/>
      </c>
      <c r="R477" s="45" t="str">
        <f t="shared" si="119"/>
        <v/>
      </c>
      <c r="S477" s="45" t="str">
        <f t="shared" si="120"/>
        <v/>
      </c>
      <c r="T477" s="46" t="str">
        <f>IF(OR($A477="",$B477=""),"",IF(AND(IFERROR(LOOKUP(2,1/($B$9:$B$476=$B477),$AR$9:$AR476),1),NOT(AND(OR($F477="dividend",$F477="fee"),IFERROR(LOOKUP(2,1/($B$9:$B$476=$B477),$T$9:$T476),0)&gt;0))),IFERROR(LOOKUP(2,1/($B$9:$B$476=$B477),$T$9:$T476),0)+1,IFERROR(LOOKUP(2,1/($B$9:$B$476=$B477),$T$9:$T476),0)))</f>
        <v/>
      </c>
      <c r="U477" s="47" t="str">
        <f t="shared" si="121"/>
        <v/>
      </c>
      <c r="V477" s="47" t="str">
        <f>IF($A477="","",IF(OR($B477="",$C477="",$D477="",$E477="",$F477=""),"Missing required field",IF(COUNTIFS($A$9:$A477,$A477,$B$9:$B477,$B477)&gt;1,"Duplicate event ID",IF(AND($E477&lt;&gt;IFERROR(LOOKUP(2,1/($B$9:$B$476=$B477),$E$9:$E476),0),IFERROR(LOOKUP(2,1/($B$9:$B$476=$B477),$E$9:$E476),0)&gt;$E477),"Date out of order",IF(AND(OR($F477="buy_to_close",$F477="expire",$F477="roll",$F477="assignment",$F477="called_away"),$AF477=0),"Unknown lot",IF(OR(AND($F477="assignment",$AF477&gt;0,IF($AF477&gt;0,INDEX($AG$9:$AG$476,$AF477),"")&lt;&gt;"put"),AND($F477="called_away",$AF477&gt;0,IF($AF477&gt;0,INDEX($AG$9:$AG$476,$AF477),"")&lt;&gt;"call")),"Wrong option leg",IF(OR(AND(OR($F477="sell_put",$F477="sell_call"),OR($H477&lt;=0,$I477&lt;=0,$J477&lt;0)),AND(OR($F477="buy_to_close",$F477="expire",$F477="assignment",$F477="called_away"),OR($H477&lt;=0,$J477&lt;0)),AND($F477="roll",OR($H477&lt;=0,$I477&lt;=0,$J477&lt;0,$K477&lt;0)),AND(OR($F477="buy_shares",$F477="sell_shares"),OR($L477&lt;=0,$M477&lt;0)),AND(OR($F477="dividend",$F477="fee"),$N477&lt;0)),"Invalid value",IF(AND(OR($F477="sell_shares",$F477="called_away"),$AL477&lt;IF($F477="called_away",$AE477*$D477,$L477)),"Insufficient shares (capped)",IF(AND(OR($F477="buy_to_close",$F477="expire",$F477="roll",$F477="assignment",$F477="called_away"),$AF477&gt;0,$H477&gt;IF($AF477&gt;0,MAX(0,INDEX($AI$9:$AI$476,$AF477)-SUMIFS($AE$9:$AE$476,$G$9:$G$476,$G477,$B$9:$B$476,$B477)),0)),"Close quantity capped","OK")))))))))</f>
        <v/>
      </c>
      <c r="W477" s="48" t="str">
        <f t="shared" si="122"/>
        <v/>
      </c>
      <c r="X477" s="49" t="str">
        <f t="shared" si="123"/>
        <v/>
      </c>
      <c r="Y477" s="50" t="str">
        <f t="shared" si="124"/>
        <v/>
      </c>
      <c r="Z477" s="50" t="str">
        <f t="shared" si="125"/>
        <v/>
      </c>
      <c r="AA477" s="50" t="str">
        <f t="shared" si="126"/>
        <v/>
      </c>
      <c r="AB477" s="50" t="str">
        <f t="shared" si="127"/>
        <v/>
      </c>
      <c r="AC477" s="50" t="str">
        <f>IF($A477="","",IF($F477="assignment",IF($AF477&gt;0,INDEX($AH$9:$AH$476,$AF477),0)*$AE477*$D477,IF($F477="buy_shares",$M477*$AL477,0)))</f>
        <v/>
      </c>
      <c r="AD477" s="50" t="str">
        <f>IF($A477="","",IF($F477="called_away",IF($AF477&gt;0,INDEX($AH$9:$AH$476,$AF477),0)*$AL477,IF($F477="sell_shares",$M477*$AL477,0)))</f>
        <v/>
      </c>
      <c r="AE477" s="51" t="str">
        <f>IF($A477="","",IF(OR($F477="sell_put",$F477="sell_call"),IF(AND($H477&gt;0,$I477&gt;0,$J477&gt;=0),$H477,0),IF(OR($F477="buy_to_close",$F477="expire",$F477="roll",$F477="assignment",$F477="called_away"),IF(AND($AF477&gt;0,$H477&gt;0,IF($F477="assignment",IF($AF477&gt;0,INDEX($AG$9:$AG$476,$AF477),"")="put",TRUE),IF($F477="called_away",IF($AF477&gt;0,INDEX($AG$9:$AG$476,$AF477),"")="call",TRUE)),MIN($H477,IF($AF477&gt;0,MAX(0,INDEX($AI$9:$AI$476,$AF477)-SUMIFS($AE$9:$AE$476,$G$9:$G$476,$G477,$B$9:$B$476,$B477)),0)),0),0)))</f>
        <v/>
      </c>
      <c r="AF477" t="str">
        <f>IF($A477="","",IFERROR(MATCH(LEN($B477)&amp;":"&amp;$B477&amp;$G477,$AY$9:$AY$476,0),0))</f>
        <v/>
      </c>
      <c r="AG477" t="str">
        <f>IF($A477="","",IF($F477="sell_put","put",IF($F477="sell_call","call",IF($F477="roll",IF($AF477&gt;0,IF($AF477&gt;0,INDEX($AG$9:$AG$476,$AF477),""),""),IF($AF477&gt;0,IF($AF477&gt;0,INDEX($AG$9:$AG$476,$AF477),""),"")))))</f>
        <v/>
      </c>
      <c r="AH477" t="str">
        <f>IF($A477="","",IF(OR($F477="sell_put",$F477="sell_call",$F477="roll"),$I477,IF($AF477&gt;0,IF($AF477&gt;0,INDEX($AH$9:$AH$476,$AF477),0),0)))</f>
        <v/>
      </c>
      <c r="AI477" s="51" t="str">
        <f t="shared" si="128"/>
        <v/>
      </c>
      <c r="AJ477" s="51" t="str">
        <f>IF($A477="","",IFERROR(LOOKUP(2,1/($B$9:$B$476=$B477),$AM$9:$AM476),0))</f>
        <v/>
      </c>
      <c r="AK477" t="str">
        <f>IF($A477="","",IFERROR(LOOKUP(2,1/($B$9:$B$476=$B477),$AN$9:$AN476),0))</f>
        <v/>
      </c>
      <c r="AL477" s="51" t="str">
        <f t="shared" si="129"/>
        <v/>
      </c>
      <c r="AM477" s="51" t="str">
        <f t="shared" si="130"/>
        <v/>
      </c>
      <c r="AN477" t="str">
        <f t="shared" si="131"/>
        <v/>
      </c>
      <c r="AO477" s="50" t="str">
        <f>IF($A477="","",IFERROR(LOOKUP(2,1/($B$9:$B$476=$B477),$AO$9:$AO476),0)+IF($F477="sell_put",$I477*$AE477*$D477,IF($F477="roll",IF($AG477="put",($I477-IF($AF477&gt;0,INDEX($AH$9:$AH$476,$AF477),0))*$AE477*$D477,0),IF(AND(OR($F477="buy_to_close",$F477="expire",$F477="roll",$F477="assignment",$F477="called_away"),$F477&lt;&gt;"roll",$AG477="put"),-IF($AF477&gt;0,INDEX($AH$9:$AH$476,$AF477),0)*$AE477*$D477,0))))</f>
        <v/>
      </c>
      <c r="AP477" s="51" t="str">
        <f>IF($A477="","",IFERROR(LOOKUP(2,1/($B$9:$B$476=$B477),$AP$9:$AP476),0)+IF($F477="sell_put",$AE477*$D477,IF(AND(OR($F477="buy_to_close",$F477="expire",$F477="roll",$F477="assignment",$F477="called_away"),$F477&lt;&gt;"roll",$AG477="put"),-$AE477*$D477,0)))</f>
        <v/>
      </c>
      <c r="AQ477" s="51" t="str">
        <f>IF($A477="","",IFERROR(LOOKUP(2,1/($B$9:$B$476=$B477),$AQ$9:$AQ476),0)+IF(OR($F477="sell_put",$F477="sell_call"),$AE477,0)-IF(AND(OR($F477="buy_to_close",$F477="expire",$F477="roll",$F477="assignment",$F477="called_away"),$F477&lt;&gt;"roll"),$AE477,0))</f>
        <v/>
      </c>
      <c r="AR477" t="str">
        <f t="shared" si="132"/>
        <v/>
      </c>
      <c r="AS477" s="50" t="str">
        <f t="shared" si="133"/>
        <v/>
      </c>
      <c r="AT477" s="50" t="str">
        <f>IF($A477="","",MAX(IF($T477=IFERROR(LOOKUP(2,1/($B$9:$B$476=$B477),$T$9:$T476),0),IFERROR(LOOKUP(2,1/($B$9:$B$476=$B477),$AT$9:$AT476),0),0),$AS477))</f>
        <v/>
      </c>
      <c r="AU477" t="str">
        <f t="shared" si="134"/>
        <v/>
      </c>
      <c r="AV477" s="51">
        <f>IF($AU477="",0,IF(AND(IFERROR(LOOKUP(2,1/($B$9:$B$476=$B477),$AR$9:$AR476),1),NOT(AND(OR($F477="dividend",$F477="fee"),IFERROR(LOOKUP(2,1/($B$9:$B$476=$B477),$T$9:$T476),0)&gt;0))),ROW(),0))</f>
        <v>0</v>
      </c>
      <c r="AW477">
        <f>IF($A477="",0,IF($AV477&gt;0,MAX($AW$9:$AW$476)+1,MAX($AW$9:$AW$476)))</f>
        <v>0</v>
      </c>
      <c r="AX477">
        <f>IF($AU477="",0,IF(AND($AR477,OR(NOT(IFERROR(LOOKUP(2,1/($B$9:$B$476=$B477),$AR$9:$AR476),1)),IFERROR(LOOKUP(2,1/($B$9:$B$476=$B477),$T$9:$T476),0)=0)),ROW(),0))</f>
        <v>0</v>
      </c>
      <c r="AY477" t="str">
        <f t="shared" si="135"/>
        <v/>
      </c>
    </row>
    <row r="478" spans="1:51" ht="15" x14ac:dyDescent="0.25">
      <c r="A478" s="52" t="str">
        <f>IF(Trades!$A478="","",Trades!O478)</f>
        <v/>
      </c>
      <c r="B478" s="52" t="str">
        <f>IF(Trades!$A478="","",Trades!B478)</f>
        <v/>
      </c>
      <c r="C478" s="52" t="str">
        <f>IF(Trades!$A478="","",Trades!C478)</f>
        <v/>
      </c>
      <c r="D478" s="53" t="str">
        <f>IF(Trades!$A478="","",IF(Trades!$L478&gt;0,Trades!$L478,Trades!$C$6))</f>
        <v/>
      </c>
      <c r="E478" s="54" t="str">
        <f>IF(Trades!$A478="","",Trades!A478)</f>
        <v/>
      </c>
      <c r="F478" s="52" t="str">
        <f>IF(Trades!$A478="","",IFERROR(INDEX(Trades!$V$2:$V$14,MATCH(Trades!$E478,Trades!$U$2:$U$14,0)),""))</f>
        <v/>
      </c>
      <c r="G478" s="52" t="str">
        <f>IF(Trades!$A478="","",Trades!N478)</f>
        <v/>
      </c>
      <c r="H478" s="53" t="str">
        <f>IF(Trades!$A478="","",Trades!F478)</f>
        <v/>
      </c>
      <c r="I478" s="55" t="str">
        <f>IF(Trades!$A478="","",Trades!G478)</f>
        <v/>
      </c>
      <c r="J478" s="55" t="str">
        <f>IF(Trades!$A478="","",Trades!I478)</f>
        <v/>
      </c>
      <c r="K478" s="55" t="str">
        <f>IF(Trades!$A478="","",Trades!Q478)</f>
        <v/>
      </c>
      <c r="L478" s="53" t="str">
        <f>IF(Trades!$A478="","",Trades!F478)</f>
        <v/>
      </c>
      <c r="M478" s="55" t="str">
        <f>IF(Trades!$A478="","",Trades!M478)</f>
        <v/>
      </c>
      <c r="N478" s="55" t="str">
        <f>IF(Trades!$A478="","",Trades!R478)</f>
        <v/>
      </c>
      <c r="O478" s="55" t="str">
        <f>IF(Trades!$A478="","",Trades!J478)</f>
        <v/>
      </c>
      <c r="P478" s="54" t="str">
        <f>IF(Trades!$A478="","",Trades!H478)</f>
        <v/>
      </c>
      <c r="Q478" s="52" t="str">
        <f>IF(Trades!$A478="","",Trades!P478)</f>
        <v/>
      </c>
      <c r="R478" s="56" t="str">
        <f t="shared" si="119"/>
        <v/>
      </c>
      <c r="S478" s="56" t="str">
        <f t="shared" si="120"/>
        <v/>
      </c>
      <c r="T478" s="57" t="str">
        <f>IF(OR($A478="",$B478=""),"",IF(AND(IFERROR(LOOKUP(2,1/($B$9:$B$477=$B478),$AR$9:$AR477),1),NOT(AND(OR($F478="dividend",$F478="fee"),IFERROR(LOOKUP(2,1/($B$9:$B$477=$B478),$T$9:$T477),0)&gt;0))),IFERROR(LOOKUP(2,1/($B$9:$B$477=$B478),$T$9:$T477),0)+1,IFERROR(LOOKUP(2,1/($B$9:$B$477=$B478),$T$9:$T477),0)))</f>
        <v/>
      </c>
      <c r="U478" s="58" t="str">
        <f t="shared" si="121"/>
        <v/>
      </c>
      <c r="V478" s="58" t="str">
        <f>IF($A478="","",IF(OR($B478="",$C478="",$D478="",$E478="",$F478=""),"Missing required field",IF(COUNTIFS($A$9:$A478,$A478,$B$9:$B478,$B478)&gt;1,"Duplicate event ID",IF(AND($E478&lt;&gt;IFERROR(LOOKUP(2,1/($B$9:$B$477=$B478),$E$9:$E477),0),IFERROR(LOOKUP(2,1/($B$9:$B$477=$B478),$E$9:$E477),0)&gt;$E478),"Date out of order",IF(AND(OR($F478="buy_to_close",$F478="expire",$F478="roll",$F478="assignment",$F478="called_away"),$AF478=0),"Unknown lot",IF(OR(AND($F478="assignment",$AF478&gt;0,IF($AF478&gt;0,INDEX($AG$9:$AG$477,$AF478),"")&lt;&gt;"put"),AND($F478="called_away",$AF478&gt;0,IF($AF478&gt;0,INDEX($AG$9:$AG$477,$AF478),"")&lt;&gt;"call")),"Wrong option leg",IF(OR(AND(OR($F478="sell_put",$F478="sell_call"),OR($H478&lt;=0,$I478&lt;=0,$J478&lt;0)),AND(OR($F478="buy_to_close",$F478="expire",$F478="assignment",$F478="called_away"),OR($H478&lt;=0,$J478&lt;0)),AND($F478="roll",OR($H478&lt;=0,$I478&lt;=0,$J478&lt;0,$K478&lt;0)),AND(OR($F478="buy_shares",$F478="sell_shares"),OR($L478&lt;=0,$M478&lt;0)),AND(OR($F478="dividend",$F478="fee"),$N478&lt;0)),"Invalid value",IF(AND(OR($F478="sell_shares",$F478="called_away"),$AL478&lt;IF($F478="called_away",$AE478*$D478,$L478)),"Insufficient shares (capped)",IF(AND(OR($F478="buy_to_close",$F478="expire",$F478="roll",$F478="assignment",$F478="called_away"),$AF478&gt;0,$H478&gt;IF($AF478&gt;0,MAX(0,INDEX($AI$9:$AI$477,$AF478)-SUMIFS($AE$9:$AE$477,$G$9:$G$477,$G478,$B$9:$B$477,$B478)),0)),"Close quantity capped","OK")))))))))</f>
        <v/>
      </c>
      <c r="W478" s="59" t="str">
        <f t="shared" si="122"/>
        <v/>
      </c>
      <c r="X478" s="60" t="str">
        <f t="shared" si="123"/>
        <v/>
      </c>
      <c r="Y478" s="50" t="str">
        <f t="shared" si="124"/>
        <v/>
      </c>
      <c r="Z478" s="50" t="str">
        <f t="shared" si="125"/>
        <v/>
      </c>
      <c r="AA478" s="50" t="str">
        <f t="shared" si="126"/>
        <v/>
      </c>
      <c r="AB478" s="50" t="str">
        <f t="shared" si="127"/>
        <v/>
      </c>
      <c r="AC478" s="50" t="str">
        <f>IF($A478="","",IF($F478="assignment",IF($AF478&gt;0,INDEX($AH$9:$AH$477,$AF478),0)*$AE478*$D478,IF($F478="buy_shares",$M478*$AL478,0)))</f>
        <v/>
      </c>
      <c r="AD478" s="50" t="str">
        <f>IF($A478="","",IF($F478="called_away",IF($AF478&gt;0,INDEX($AH$9:$AH$477,$AF478),0)*$AL478,IF($F478="sell_shares",$M478*$AL478,0)))</f>
        <v/>
      </c>
      <c r="AE478" s="51" t="str">
        <f>IF($A478="","",IF(OR($F478="sell_put",$F478="sell_call"),IF(AND($H478&gt;0,$I478&gt;0,$J478&gt;=0),$H478,0),IF(OR($F478="buy_to_close",$F478="expire",$F478="roll",$F478="assignment",$F478="called_away"),IF(AND($AF478&gt;0,$H478&gt;0,IF($F478="assignment",IF($AF478&gt;0,INDEX($AG$9:$AG$477,$AF478),"")="put",TRUE),IF($F478="called_away",IF($AF478&gt;0,INDEX($AG$9:$AG$477,$AF478),"")="call",TRUE)),MIN($H478,IF($AF478&gt;0,MAX(0,INDEX($AI$9:$AI$477,$AF478)-SUMIFS($AE$9:$AE$477,$G$9:$G$477,$G478,$B$9:$B$477,$B478)),0)),0),0)))</f>
        <v/>
      </c>
      <c r="AF478" t="str">
        <f>IF($A478="","",IFERROR(MATCH(LEN($B478)&amp;":"&amp;$B478&amp;$G478,$AY$9:$AY$477,0),0))</f>
        <v/>
      </c>
      <c r="AG478" t="str">
        <f>IF($A478="","",IF($F478="sell_put","put",IF($F478="sell_call","call",IF($F478="roll",IF($AF478&gt;0,IF($AF478&gt;0,INDEX($AG$9:$AG$477,$AF478),""),""),IF($AF478&gt;0,IF($AF478&gt;0,INDEX($AG$9:$AG$477,$AF478),""),"")))))</f>
        <v/>
      </c>
      <c r="AH478" t="str">
        <f>IF($A478="","",IF(OR($F478="sell_put",$F478="sell_call",$F478="roll"),$I478,IF($AF478&gt;0,IF($AF478&gt;0,INDEX($AH$9:$AH$477,$AF478),0),0)))</f>
        <v/>
      </c>
      <c r="AI478" s="51" t="str">
        <f t="shared" si="128"/>
        <v/>
      </c>
      <c r="AJ478" s="51" t="str">
        <f>IF($A478="","",IFERROR(LOOKUP(2,1/($B$9:$B$477=$B478),$AM$9:$AM477),0))</f>
        <v/>
      </c>
      <c r="AK478" t="str">
        <f>IF($A478="","",IFERROR(LOOKUP(2,1/($B$9:$B$477=$B478),$AN$9:$AN477),0))</f>
        <v/>
      </c>
      <c r="AL478" s="51" t="str">
        <f t="shared" si="129"/>
        <v/>
      </c>
      <c r="AM478" s="51" t="str">
        <f t="shared" si="130"/>
        <v/>
      </c>
      <c r="AN478" t="str">
        <f t="shared" si="131"/>
        <v/>
      </c>
      <c r="AO478" s="50" t="str">
        <f>IF($A478="","",IFERROR(LOOKUP(2,1/($B$9:$B$477=$B478),$AO$9:$AO477),0)+IF($F478="sell_put",$I478*$AE478*$D478,IF($F478="roll",IF($AG478="put",($I478-IF($AF478&gt;0,INDEX($AH$9:$AH$477,$AF478),0))*$AE478*$D478,0),IF(AND(OR($F478="buy_to_close",$F478="expire",$F478="roll",$F478="assignment",$F478="called_away"),$F478&lt;&gt;"roll",$AG478="put"),-IF($AF478&gt;0,INDEX($AH$9:$AH$477,$AF478),0)*$AE478*$D478,0))))</f>
        <v/>
      </c>
      <c r="AP478" s="51" t="str">
        <f>IF($A478="","",IFERROR(LOOKUP(2,1/($B$9:$B$477=$B478),$AP$9:$AP477),0)+IF($F478="sell_put",$AE478*$D478,IF(AND(OR($F478="buy_to_close",$F478="expire",$F478="roll",$F478="assignment",$F478="called_away"),$F478&lt;&gt;"roll",$AG478="put"),-$AE478*$D478,0)))</f>
        <v/>
      </c>
      <c r="AQ478" s="51" t="str">
        <f>IF($A478="","",IFERROR(LOOKUP(2,1/($B$9:$B$477=$B478),$AQ$9:$AQ477),0)+IF(OR($F478="sell_put",$F478="sell_call"),$AE478,0)-IF(AND(OR($F478="buy_to_close",$F478="expire",$F478="roll",$F478="assignment",$F478="called_away"),$F478&lt;&gt;"roll"),$AE478,0))</f>
        <v/>
      </c>
      <c r="AR478" t="str">
        <f t="shared" si="132"/>
        <v/>
      </c>
      <c r="AS478" s="50" t="str">
        <f t="shared" si="133"/>
        <v/>
      </c>
      <c r="AT478" s="50" t="str">
        <f>IF($A478="","",MAX(IF($T478=IFERROR(LOOKUP(2,1/($B$9:$B$477=$B478),$T$9:$T477),0),IFERROR(LOOKUP(2,1/($B$9:$B$477=$B478),$AT$9:$AT477),0),0),$AS478))</f>
        <v/>
      </c>
      <c r="AU478" t="str">
        <f t="shared" si="134"/>
        <v/>
      </c>
      <c r="AV478" s="51">
        <f>IF($AU478="",0,IF(AND(IFERROR(LOOKUP(2,1/($B$9:$B$477=$B478),$AR$9:$AR477),1),NOT(AND(OR($F478="dividend",$F478="fee"),IFERROR(LOOKUP(2,1/($B$9:$B$477=$B478),$T$9:$T477),0)&gt;0))),ROW(),0))</f>
        <v>0</v>
      </c>
      <c r="AW478">
        <f>IF($A478="",0,IF($AV478&gt;0,MAX($AW$9:$AW$477)+1,MAX($AW$9:$AW$477)))</f>
        <v>0</v>
      </c>
      <c r="AX478">
        <f>IF($AU478="",0,IF(AND($AR478,OR(NOT(IFERROR(LOOKUP(2,1/($B$9:$B$477=$B478),$AR$9:$AR477),1)),IFERROR(LOOKUP(2,1/($B$9:$B$477=$B478),$T$9:$T477),0)=0)),ROW(),0))</f>
        <v>0</v>
      </c>
      <c r="AY478" t="str">
        <f t="shared" si="135"/>
        <v/>
      </c>
    </row>
    <row r="479" spans="1:51" ht="15" x14ac:dyDescent="0.25">
      <c r="A479" s="41" t="str">
        <f>IF(Trades!$A479="","",Trades!O479)</f>
        <v/>
      </c>
      <c r="B479" s="41" t="str">
        <f>IF(Trades!$A479="","",Trades!B479)</f>
        <v/>
      </c>
      <c r="C479" s="41" t="str">
        <f>IF(Trades!$A479="","",Trades!C479)</f>
        <v/>
      </c>
      <c r="D479" s="42" t="str">
        <f>IF(Trades!$A479="","",IF(Trades!$L479&gt;0,Trades!$L479,Trades!$C$6))</f>
        <v/>
      </c>
      <c r="E479" s="43" t="str">
        <f>IF(Trades!$A479="","",Trades!A479)</f>
        <v/>
      </c>
      <c r="F479" s="41" t="str">
        <f>IF(Trades!$A479="","",IFERROR(INDEX(Trades!$V$2:$V$14,MATCH(Trades!$E479,Trades!$U$2:$U$14,0)),""))</f>
        <v/>
      </c>
      <c r="G479" s="41" t="str">
        <f>IF(Trades!$A479="","",Trades!N479)</f>
        <v/>
      </c>
      <c r="H479" s="42" t="str">
        <f>IF(Trades!$A479="","",Trades!F479)</f>
        <v/>
      </c>
      <c r="I479" s="44" t="str">
        <f>IF(Trades!$A479="","",Trades!G479)</f>
        <v/>
      </c>
      <c r="J479" s="44" t="str">
        <f>IF(Trades!$A479="","",Trades!I479)</f>
        <v/>
      </c>
      <c r="K479" s="44" t="str">
        <f>IF(Trades!$A479="","",Trades!Q479)</f>
        <v/>
      </c>
      <c r="L479" s="42" t="str">
        <f>IF(Trades!$A479="","",Trades!F479)</f>
        <v/>
      </c>
      <c r="M479" s="44" t="str">
        <f>IF(Trades!$A479="","",Trades!M479)</f>
        <v/>
      </c>
      <c r="N479" s="44" t="str">
        <f>IF(Trades!$A479="","",Trades!R479)</f>
        <v/>
      </c>
      <c r="O479" s="44" t="str">
        <f>IF(Trades!$A479="","",Trades!J479)</f>
        <v/>
      </c>
      <c r="P479" s="43" t="str">
        <f>IF(Trades!$A479="","",Trades!H479)</f>
        <v/>
      </c>
      <c r="Q479" s="41" t="str">
        <f>IF(Trades!$A479="","",Trades!P479)</f>
        <v/>
      </c>
      <c r="R479" s="45" t="str">
        <f t="shared" si="119"/>
        <v/>
      </c>
      <c r="S479" s="45" t="str">
        <f t="shared" si="120"/>
        <v/>
      </c>
      <c r="T479" s="46" t="str">
        <f>IF(OR($A479="",$B479=""),"",IF(AND(IFERROR(LOOKUP(2,1/($B$9:$B$478=$B479),$AR$9:$AR478),1),NOT(AND(OR($F479="dividend",$F479="fee"),IFERROR(LOOKUP(2,1/($B$9:$B$478=$B479),$T$9:$T478),0)&gt;0))),IFERROR(LOOKUP(2,1/($B$9:$B$478=$B479),$T$9:$T478),0)+1,IFERROR(LOOKUP(2,1/($B$9:$B$478=$B479),$T$9:$T478),0)))</f>
        <v/>
      </c>
      <c r="U479" s="47" t="str">
        <f t="shared" si="121"/>
        <v/>
      </c>
      <c r="V479" s="47" t="str">
        <f>IF($A479="","",IF(OR($B479="",$C479="",$D479="",$E479="",$F479=""),"Missing required field",IF(COUNTIFS($A$9:$A479,$A479,$B$9:$B479,$B479)&gt;1,"Duplicate event ID",IF(AND($E479&lt;&gt;IFERROR(LOOKUP(2,1/($B$9:$B$478=$B479),$E$9:$E478),0),IFERROR(LOOKUP(2,1/($B$9:$B$478=$B479),$E$9:$E478),0)&gt;$E479),"Date out of order",IF(AND(OR($F479="buy_to_close",$F479="expire",$F479="roll",$F479="assignment",$F479="called_away"),$AF479=0),"Unknown lot",IF(OR(AND($F479="assignment",$AF479&gt;0,IF($AF479&gt;0,INDEX($AG$9:$AG$478,$AF479),"")&lt;&gt;"put"),AND($F479="called_away",$AF479&gt;0,IF($AF479&gt;0,INDEX($AG$9:$AG$478,$AF479),"")&lt;&gt;"call")),"Wrong option leg",IF(OR(AND(OR($F479="sell_put",$F479="sell_call"),OR($H479&lt;=0,$I479&lt;=0,$J479&lt;0)),AND(OR($F479="buy_to_close",$F479="expire",$F479="assignment",$F479="called_away"),OR($H479&lt;=0,$J479&lt;0)),AND($F479="roll",OR($H479&lt;=0,$I479&lt;=0,$J479&lt;0,$K479&lt;0)),AND(OR($F479="buy_shares",$F479="sell_shares"),OR($L479&lt;=0,$M479&lt;0)),AND(OR($F479="dividend",$F479="fee"),$N479&lt;0)),"Invalid value",IF(AND(OR($F479="sell_shares",$F479="called_away"),$AL479&lt;IF($F479="called_away",$AE479*$D479,$L479)),"Insufficient shares (capped)",IF(AND(OR($F479="buy_to_close",$F479="expire",$F479="roll",$F479="assignment",$F479="called_away"),$AF479&gt;0,$H479&gt;IF($AF479&gt;0,MAX(0,INDEX($AI$9:$AI$478,$AF479)-SUMIFS($AE$9:$AE$478,$G$9:$G$478,$G479,$B$9:$B$478,$B479)),0)),"Close quantity capped","OK")))))))))</f>
        <v/>
      </c>
      <c r="W479" s="48" t="str">
        <f t="shared" si="122"/>
        <v/>
      </c>
      <c r="X479" s="49" t="str">
        <f t="shared" si="123"/>
        <v/>
      </c>
      <c r="Y479" s="50" t="str">
        <f t="shared" si="124"/>
        <v/>
      </c>
      <c r="Z479" s="50" t="str">
        <f t="shared" si="125"/>
        <v/>
      </c>
      <c r="AA479" s="50" t="str">
        <f t="shared" si="126"/>
        <v/>
      </c>
      <c r="AB479" s="50" t="str">
        <f t="shared" si="127"/>
        <v/>
      </c>
      <c r="AC479" s="50" t="str">
        <f>IF($A479="","",IF($F479="assignment",IF($AF479&gt;0,INDEX($AH$9:$AH$478,$AF479),0)*$AE479*$D479,IF($F479="buy_shares",$M479*$AL479,0)))</f>
        <v/>
      </c>
      <c r="AD479" s="50" t="str">
        <f>IF($A479="","",IF($F479="called_away",IF($AF479&gt;0,INDEX($AH$9:$AH$478,$AF479),0)*$AL479,IF($F479="sell_shares",$M479*$AL479,0)))</f>
        <v/>
      </c>
      <c r="AE479" s="51" t="str">
        <f>IF($A479="","",IF(OR($F479="sell_put",$F479="sell_call"),IF(AND($H479&gt;0,$I479&gt;0,$J479&gt;=0),$H479,0),IF(OR($F479="buy_to_close",$F479="expire",$F479="roll",$F479="assignment",$F479="called_away"),IF(AND($AF479&gt;0,$H479&gt;0,IF($F479="assignment",IF($AF479&gt;0,INDEX($AG$9:$AG$478,$AF479),"")="put",TRUE),IF($F479="called_away",IF($AF479&gt;0,INDEX($AG$9:$AG$478,$AF479),"")="call",TRUE)),MIN($H479,IF($AF479&gt;0,MAX(0,INDEX($AI$9:$AI$478,$AF479)-SUMIFS($AE$9:$AE$478,$G$9:$G$478,$G479,$B$9:$B$478,$B479)),0)),0),0)))</f>
        <v/>
      </c>
      <c r="AF479" t="str">
        <f>IF($A479="","",IFERROR(MATCH(LEN($B479)&amp;":"&amp;$B479&amp;$G479,$AY$9:$AY$478,0),0))</f>
        <v/>
      </c>
      <c r="AG479" t="str">
        <f>IF($A479="","",IF($F479="sell_put","put",IF($F479="sell_call","call",IF($F479="roll",IF($AF479&gt;0,IF($AF479&gt;0,INDEX($AG$9:$AG$478,$AF479),""),""),IF($AF479&gt;0,IF($AF479&gt;0,INDEX($AG$9:$AG$478,$AF479),""),"")))))</f>
        <v/>
      </c>
      <c r="AH479" t="str">
        <f>IF($A479="","",IF(OR($F479="sell_put",$F479="sell_call",$F479="roll"),$I479,IF($AF479&gt;0,IF($AF479&gt;0,INDEX($AH$9:$AH$478,$AF479),0),0)))</f>
        <v/>
      </c>
      <c r="AI479" s="51" t="str">
        <f t="shared" si="128"/>
        <v/>
      </c>
      <c r="AJ479" s="51" t="str">
        <f>IF($A479="","",IFERROR(LOOKUP(2,1/($B$9:$B$478=$B479),$AM$9:$AM478),0))</f>
        <v/>
      </c>
      <c r="AK479" t="str">
        <f>IF($A479="","",IFERROR(LOOKUP(2,1/($B$9:$B$478=$B479),$AN$9:$AN478),0))</f>
        <v/>
      </c>
      <c r="AL479" s="51" t="str">
        <f t="shared" si="129"/>
        <v/>
      </c>
      <c r="AM479" s="51" t="str">
        <f t="shared" si="130"/>
        <v/>
      </c>
      <c r="AN479" t="str">
        <f t="shared" si="131"/>
        <v/>
      </c>
      <c r="AO479" s="50" t="str">
        <f>IF($A479="","",IFERROR(LOOKUP(2,1/($B$9:$B$478=$B479),$AO$9:$AO478),0)+IF($F479="sell_put",$I479*$AE479*$D479,IF($F479="roll",IF($AG479="put",($I479-IF($AF479&gt;0,INDEX($AH$9:$AH$478,$AF479),0))*$AE479*$D479,0),IF(AND(OR($F479="buy_to_close",$F479="expire",$F479="roll",$F479="assignment",$F479="called_away"),$F479&lt;&gt;"roll",$AG479="put"),-IF($AF479&gt;0,INDEX($AH$9:$AH$478,$AF479),0)*$AE479*$D479,0))))</f>
        <v/>
      </c>
      <c r="AP479" s="51" t="str">
        <f>IF($A479="","",IFERROR(LOOKUP(2,1/($B$9:$B$478=$B479),$AP$9:$AP478),0)+IF($F479="sell_put",$AE479*$D479,IF(AND(OR($F479="buy_to_close",$F479="expire",$F479="roll",$F479="assignment",$F479="called_away"),$F479&lt;&gt;"roll",$AG479="put"),-$AE479*$D479,0)))</f>
        <v/>
      </c>
      <c r="AQ479" s="51" t="str">
        <f>IF($A479="","",IFERROR(LOOKUP(2,1/($B$9:$B$478=$B479),$AQ$9:$AQ478),0)+IF(OR($F479="sell_put",$F479="sell_call"),$AE479,0)-IF(AND(OR($F479="buy_to_close",$F479="expire",$F479="roll",$F479="assignment",$F479="called_away"),$F479&lt;&gt;"roll"),$AE479,0))</f>
        <v/>
      </c>
      <c r="AR479" t="str">
        <f t="shared" si="132"/>
        <v/>
      </c>
      <c r="AS479" s="50" t="str">
        <f t="shared" si="133"/>
        <v/>
      </c>
      <c r="AT479" s="50" t="str">
        <f>IF($A479="","",MAX(IF($T479=IFERROR(LOOKUP(2,1/($B$9:$B$478=$B479),$T$9:$T478),0),IFERROR(LOOKUP(2,1/($B$9:$B$478=$B479),$AT$9:$AT478),0),0),$AS479))</f>
        <v/>
      </c>
      <c r="AU479" t="str">
        <f t="shared" si="134"/>
        <v/>
      </c>
      <c r="AV479" s="51">
        <f>IF($AU479="",0,IF(AND(IFERROR(LOOKUP(2,1/($B$9:$B$478=$B479),$AR$9:$AR478),1),NOT(AND(OR($F479="dividend",$F479="fee"),IFERROR(LOOKUP(2,1/($B$9:$B$478=$B479),$T$9:$T478),0)&gt;0))),ROW(),0))</f>
        <v>0</v>
      </c>
      <c r="AW479">
        <f>IF($A479="",0,IF($AV479&gt;0,MAX($AW$9:$AW$478)+1,MAX($AW$9:$AW$478)))</f>
        <v>0</v>
      </c>
      <c r="AX479">
        <f>IF($AU479="",0,IF(AND($AR479,OR(NOT(IFERROR(LOOKUP(2,1/($B$9:$B$478=$B479),$AR$9:$AR478),1)),IFERROR(LOOKUP(2,1/($B$9:$B$478=$B479),$T$9:$T478),0)=0)),ROW(),0))</f>
        <v>0</v>
      </c>
      <c r="AY479" t="str">
        <f t="shared" si="135"/>
        <v/>
      </c>
    </row>
    <row r="480" spans="1:51" ht="15" x14ac:dyDescent="0.25">
      <c r="A480" s="52" t="str">
        <f>IF(Trades!$A480="","",Trades!O480)</f>
        <v/>
      </c>
      <c r="B480" s="52" t="str">
        <f>IF(Trades!$A480="","",Trades!B480)</f>
        <v/>
      </c>
      <c r="C480" s="52" t="str">
        <f>IF(Trades!$A480="","",Trades!C480)</f>
        <v/>
      </c>
      <c r="D480" s="53" t="str">
        <f>IF(Trades!$A480="","",IF(Trades!$L480&gt;0,Trades!$L480,Trades!$C$6))</f>
        <v/>
      </c>
      <c r="E480" s="54" t="str">
        <f>IF(Trades!$A480="","",Trades!A480)</f>
        <v/>
      </c>
      <c r="F480" s="52" t="str">
        <f>IF(Trades!$A480="","",IFERROR(INDEX(Trades!$V$2:$V$14,MATCH(Trades!$E480,Trades!$U$2:$U$14,0)),""))</f>
        <v/>
      </c>
      <c r="G480" s="52" t="str">
        <f>IF(Trades!$A480="","",Trades!N480)</f>
        <v/>
      </c>
      <c r="H480" s="53" t="str">
        <f>IF(Trades!$A480="","",Trades!F480)</f>
        <v/>
      </c>
      <c r="I480" s="55" t="str">
        <f>IF(Trades!$A480="","",Trades!G480)</f>
        <v/>
      </c>
      <c r="J480" s="55" t="str">
        <f>IF(Trades!$A480="","",Trades!I480)</f>
        <v/>
      </c>
      <c r="K480" s="55" t="str">
        <f>IF(Trades!$A480="","",Trades!Q480)</f>
        <v/>
      </c>
      <c r="L480" s="53" t="str">
        <f>IF(Trades!$A480="","",Trades!F480)</f>
        <v/>
      </c>
      <c r="M480" s="55" t="str">
        <f>IF(Trades!$A480="","",Trades!M480)</f>
        <v/>
      </c>
      <c r="N480" s="55" t="str">
        <f>IF(Trades!$A480="","",Trades!R480)</f>
        <v/>
      </c>
      <c r="O480" s="55" t="str">
        <f>IF(Trades!$A480="","",Trades!J480)</f>
        <v/>
      </c>
      <c r="P480" s="54" t="str">
        <f>IF(Trades!$A480="","",Trades!H480)</f>
        <v/>
      </c>
      <c r="Q480" s="52" t="str">
        <f>IF(Trades!$A480="","",Trades!P480)</f>
        <v/>
      </c>
      <c r="R480" s="56" t="str">
        <f t="shared" si="119"/>
        <v/>
      </c>
      <c r="S480" s="56" t="str">
        <f t="shared" si="120"/>
        <v/>
      </c>
      <c r="T480" s="57" t="str">
        <f>IF(OR($A480="",$B480=""),"",IF(AND(IFERROR(LOOKUP(2,1/($B$9:$B$479=$B480),$AR$9:$AR479),1),NOT(AND(OR($F480="dividend",$F480="fee"),IFERROR(LOOKUP(2,1/($B$9:$B$479=$B480),$T$9:$T479),0)&gt;0))),IFERROR(LOOKUP(2,1/($B$9:$B$479=$B480),$T$9:$T479),0)+1,IFERROR(LOOKUP(2,1/($B$9:$B$479=$B480),$T$9:$T479),0)))</f>
        <v/>
      </c>
      <c r="U480" s="58" t="str">
        <f t="shared" si="121"/>
        <v/>
      </c>
      <c r="V480" s="58" t="str">
        <f>IF($A480="","",IF(OR($B480="",$C480="",$D480="",$E480="",$F480=""),"Missing required field",IF(COUNTIFS($A$9:$A480,$A480,$B$9:$B480,$B480)&gt;1,"Duplicate event ID",IF(AND($E480&lt;&gt;IFERROR(LOOKUP(2,1/($B$9:$B$479=$B480),$E$9:$E479),0),IFERROR(LOOKUP(2,1/($B$9:$B$479=$B480),$E$9:$E479),0)&gt;$E480),"Date out of order",IF(AND(OR($F480="buy_to_close",$F480="expire",$F480="roll",$F480="assignment",$F480="called_away"),$AF480=0),"Unknown lot",IF(OR(AND($F480="assignment",$AF480&gt;0,IF($AF480&gt;0,INDEX($AG$9:$AG$479,$AF480),"")&lt;&gt;"put"),AND($F480="called_away",$AF480&gt;0,IF($AF480&gt;0,INDEX($AG$9:$AG$479,$AF480),"")&lt;&gt;"call")),"Wrong option leg",IF(OR(AND(OR($F480="sell_put",$F480="sell_call"),OR($H480&lt;=0,$I480&lt;=0,$J480&lt;0)),AND(OR($F480="buy_to_close",$F480="expire",$F480="assignment",$F480="called_away"),OR($H480&lt;=0,$J480&lt;0)),AND($F480="roll",OR($H480&lt;=0,$I480&lt;=0,$J480&lt;0,$K480&lt;0)),AND(OR($F480="buy_shares",$F480="sell_shares"),OR($L480&lt;=0,$M480&lt;0)),AND(OR($F480="dividend",$F480="fee"),$N480&lt;0)),"Invalid value",IF(AND(OR($F480="sell_shares",$F480="called_away"),$AL480&lt;IF($F480="called_away",$AE480*$D480,$L480)),"Insufficient shares (capped)",IF(AND(OR($F480="buy_to_close",$F480="expire",$F480="roll",$F480="assignment",$F480="called_away"),$AF480&gt;0,$H480&gt;IF($AF480&gt;0,MAX(0,INDEX($AI$9:$AI$479,$AF480)-SUMIFS($AE$9:$AE$479,$G$9:$G$479,$G480,$B$9:$B$479,$B480)),0)),"Close quantity capped","OK")))))))))</f>
        <v/>
      </c>
      <c r="W480" s="59" t="str">
        <f t="shared" si="122"/>
        <v/>
      </c>
      <c r="X480" s="60" t="str">
        <f t="shared" si="123"/>
        <v/>
      </c>
      <c r="Y480" s="50" t="str">
        <f t="shared" si="124"/>
        <v/>
      </c>
      <c r="Z480" s="50" t="str">
        <f t="shared" si="125"/>
        <v/>
      </c>
      <c r="AA480" s="50" t="str">
        <f t="shared" si="126"/>
        <v/>
      </c>
      <c r="AB480" s="50" t="str">
        <f t="shared" si="127"/>
        <v/>
      </c>
      <c r="AC480" s="50" t="str">
        <f>IF($A480="","",IF($F480="assignment",IF($AF480&gt;0,INDEX($AH$9:$AH$479,$AF480),0)*$AE480*$D480,IF($F480="buy_shares",$M480*$AL480,0)))</f>
        <v/>
      </c>
      <c r="AD480" s="50" t="str">
        <f>IF($A480="","",IF($F480="called_away",IF($AF480&gt;0,INDEX($AH$9:$AH$479,$AF480),0)*$AL480,IF($F480="sell_shares",$M480*$AL480,0)))</f>
        <v/>
      </c>
      <c r="AE480" s="51" t="str">
        <f>IF($A480="","",IF(OR($F480="sell_put",$F480="sell_call"),IF(AND($H480&gt;0,$I480&gt;0,$J480&gt;=0),$H480,0),IF(OR($F480="buy_to_close",$F480="expire",$F480="roll",$F480="assignment",$F480="called_away"),IF(AND($AF480&gt;0,$H480&gt;0,IF($F480="assignment",IF($AF480&gt;0,INDEX($AG$9:$AG$479,$AF480),"")="put",TRUE),IF($F480="called_away",IF($AF480&gt;0,INDEX($AG$9:$AG$479,$AF480),"")="call",TRUE)),MIN($H480,IF($AF480&gt;0,MAX(0,INDEX($AI$9:$AI$479,$AF480)-SUMIFS($AE$9:$AE$479,$G$9:$G$479,$G480,$B$9:$B$479,$B480)),0)),0),0)))</f>
        <v/>
      </c>
      <c r="AF480" t="str">
        <f>IF($A480="","",IFERROR(MATCH(LEN($B480)&amp;":"&amp;$B480&amp;$G480,$AY$9:$AY$479,0),0))</f>
        <v/>
      </c>
      <c r="AG480" t="str">
        <f>IF($A480="","",IF($F480="sell_put","put",IF($F480="sell_call","call",IF($F480="roll",IF($AF480&gt;0,IF($AF480&gt;0,INDEX($AG$9:$AG$479,$AF480),""),""),IF($AF480&gt;0,IF($AF480&gt;0,INDEX($AG$9:$AG$479,$AF480),""),"")))))</f>
        <v/>
      </c>
      <c r="AH480" t="str">
        <f>IF($A480="","",IF(OR($F480="sell_put",$F480="sell_call",$F480="roll"),$I480,IF($AF480&gt;0,IF($AF480&gt;0,INDEX($AH$9:$AH$479,$AF480),0),0)))</f>
        <v/>
      </c>
      <c r="AI480" s="51" t="str">
        <f t="shared" si="128"/>
        <v/>
      </c>
      <c r="AJ480" s="51" t="str">
        <f>IF($A480="","",IFERROR(LOOKUP(2,1/($B$9:$B$479=$B480),$AM$9:$AM479),0))</f>
        <v/>
      </c>
      <c r="AK480" t="str">
        <f>IF($A480="","",IFERROR(LOOKUP(2,1/($B$9:$B$479=$B480),$AN$9:$AN479),0))</f>
        <v/>
      </c>
      <c r="AL480" s="51" t="str">
        <f t="shared" si="129"/>
        <v/>
      </c>
      <c r="AM480" s="51" t="str">
        <f t="shared" si="130"/>
        <v/>
      </c>
      <c r="AN480" t="str">
        <f t="shared" si="131"/>
        <v/>
      </c>
      <c r="AO480" s="50" t="str">
        <f>IF($A480="","",IFERROR(LOOKUP(2,1/($B$9:$B$479=$B480),$AO$9:$AO479),0)+IF($F480="sell_put",$I480*$AE480*$D480,IF($F480="roll",IF($AG480="put",($I480-IF($AF480&gt;0,INDEX($AH$9:$AH$479,$AF480),0))*$AE480*$D480,0),IF(AND(OR($F480="buy_to_close",$F480="expire",$F480="roll",$F480="assignment",$F480="called_away"),$F480&lt;&gt;"roll",$AG480="put"),-IF($AF480&gt;0,INDEX($AH$9:$AH$479,$AF480),0)*$AE480*$D480,0))))</f>
        <v/>
      </c>
      <c r="AP480" s="51" t="str">
        <f>IF($A480="","",IFERROR(LOOKUP(2,1/($B$9:$B$479=$B480),$AP$9:$AP479),0)+IF($F480="sell_put",$AE480*$D480,IF(AND(OR($F480="buy_to_close",$F480="expire",$F480="roll",$F480="assignment",$F480="called_away"),$F480&lt;&gt;"roll",$AG480="put"),-$AE480*$D480,0)))</f>
        <v/>
      </c>
      <c r="AQ480" s="51" t="str">
        <f>IF($A480="","",IFERROR(LOOKUP(2,1/($B$9:$B$479=$B480),$AQ$9:$AQ479),0)+IF(OR($F480="sell_put",$F480="sell_call"),$AE480,0)-IF(AND(OR($F480="buy_to_close",$F480="expire",$F480="roll",$F480="assignment",$F480="called_away"),$F480&lt;&gt;"roll"),$AE480,0))</f>
        <v/>
      </c>
      <c r="AR480" t="str">
        <f t="shared" si="132"/>
        <v/>
      </c>
      <c r="AS480" s="50" t="str">
        <f t="shared" si="133"/>
        <v/>
      </c>
      <c r="AT480" s="50" t="str">
        <f>IF($A480="","",MAX(IF($T480=IFERROR(LOOKUP(2,1/($B$9:$B$479=$B480),$T$9:$T479),0),IFERROR(LOOKUP(2,1/($B$9:$B$479=$B480),$AT$9:$AT479),0),0),$AS480))</f>
        <v/>
      </c>
      <c r="AU480" t="str">
        <f t="shared" si="134"/>
        <v/>
      </c>
      <c r="AV480" s="51">
        <f>IF($AU480="",0,IF(AND(IFERROR(LOOKUP(2,1/($B$9:$B$479=$B480),$AR$9:$AR479),1),NOT(AND(OR($F480="dividend",$F480="fee"),IFERROR(LOOKUP(2,1/($B$9:$B$479=$B480),$T$9:$T479),0)&gt;0))),ROW(),0))</f>
        <v>0</v>
      </c>
      <c r="AW480">
        <f>IF($A480="",0,IF($AV480&gt;0,MAX($AW$9:$AW$479)+1,MAX($AW$9:$AW$479)))</f>
        <v>0</v>
      </c>
      <c r="AX480">
        <f>IF($AU480="",0,IF(AND($AR480,OR(NOT(IFERROR(LOOKUP(2,1/($B$9:$B$479=$B480),$AR$9:$AR479),1)),IFERROR(LOOKUP(2,1/($B$9:$B$479=$B480),$T$9:$T479),0)=0)),ROW(),0))</f>
        <v>0</v>
      </c>
      <c r="AY480" t="str">
        <f t="shared" si="135"/>
        <v/>
      </c>
    </row>
    <row r="481" spans="1:51" ht="15" x14ac:dyDescent="0.25">
      <c r="A481" s="41" t="str">
        <f>IF(Trades!$A481="","",Trades!O481)</f>
        <v/>
      </c>
      <c r="B481" s="41" t="str">
        <f>IF(Trades!$A481="","",Trades!B481)</f>
        <v/>
      </c>
      <c r="C481" s="41" t="str">
        <f>IF(Trades!$A481="","",Trades!C481)</f>
        <v/>
      </c>
      <c r="D481" s="42" t="str">
        <f>IF(Trades!$A481="","",IF(Trades!$L481&gt;0,Trades!$L481,Trades!$C$6))</f>
        <v/>
      </c>
      <c r="E481" s="43" t="str">
        <f>IF(Trades!$A481="","",Trades!A481)</f>
        <v/>
      </c>
      <c r="F481" s="41" t="str">
        <f>IF(Trades!$A481="","",IFERROR(INDEX(Trades!$V$2:$V$14,MATCH(Trades!$E481,Trades!$U$2:$U$14,0)),""))</f>
        <v/>
      </c>
      <c r="G481" s="41" t="str">
        <f>IF(Trades!$A481="","",Trades!N481)</f>
        <v/>
      </c>
      <c r="H481" s="42" t="str">
        <f>IF(Trades!$A481="","",Trades!F481)</f>
        <v/>
      </c>
      <c r="I481" s="44" t="str">
        <f>IF(Trades!$A481="","",Trades!G481)</f>
        <v/>
      </c>
      <c r="J481" s="44" t="str">
        <f>IF(Trades!$A481="","",Trades!I481)</f>
        <v/>
      </c>
      <c r="K481" s="44" t="str">
        <f>IF(Trades!$A481="","",Trades!Q481)</f>
        <v/>
      </c>
      <c r="L481" s="42" t="str">
        <f>IF(Trades!$A481="","",Trades!F481)</f>
        <v/>
      </c>
      <c r="M481" s="44" t="str">
        <f>IF(Trades!$A481="","",Trades!M481)</f>
        <v/>
      </c>
      <c r="N481" s="44" t="str">
        <f>IF(Trades!$A481="","",Trades!R481)</f>
        <v/>
      </c>
      <c r="O481" s="44" t="str">
        <f>IF(Trades!$A481="","",Trades!J481)</f>
        <v/>
      </c>
      <c r="P481" s="43" t="str">
        <f>IF(Trades!$A481="","",Trades!H481)</f>
        <v/>
      </c>
      <c r="Q481" s="41" t="str">
        <f>IF(Trades!$A481="","",Trades!P481)</f>
        <v/>
      </c>
      <c r="R481" s="45" t="str">
        <f t="shared" si="119"/>
        <v/>
      </c>
      <c r="S481" s="45" t="str">
        <f t="shared" si="120"/>
        <v/>
      </c>
      <c r="T481" s="46" t="str">
        <f>IF(OR($A481="",$B481=""),"",IF(AND(IFERROR(LOOKUP(2,1/($B$9:$B$480=$B481),$AR$9:$AR480),1),NOT(AND(OR($F481="dividend",$F481="fee"),IFERROR(LOOKUP(2,1/($B$9:$B$480=$B481),$T$9:$T480),0)&gt;0))),IFERROR(LOOKUP(2,1/($B$9:$B$480=$B481),$T$9:$T480),0)+1,IFERROR(LOOKUP(2,1/($B$9:$B$480=$B481),$T$9:$T480),0)))</f>
        <v/>
      </c>
      <c r="U481" s="47" t="str">
        <f t="shared" si="121"/>
        <v/>
      </c>
      <c r="V481" s="47" t="str">
        <f>IF($A481="","",IF(OR($B481="",$C481="",$D481="",$E481="",$F481=""),"Missing required field",IF(COUNTIFS($A$9:$A481,$A481,$B$9:$B481,$B481)&gt;1,"Duplicate event ID",IF(AND($E481&lt;&gt;IFERROR(LOOKUP(2,1/($B$9:$B$480=$B481),$E$9:$E480),0),IFERROR(LOOKUP(2,1/($B$9:$B$480=$B481),$E$9:$E480),0)&gt;$E481),"Date out of order",IF(AND(OR($F481="buy_to_close",$F481="expire",$F481="roll",$F481="assignment",$F481="called_away"),$AF481=0),"Unknown lot",IF(OR(AND($F481="assignment",$AF481&gt;0,IF($AF481&gt;0,INDEX($AG$9:$AG$480,$AF481),"")&lt;&gt;"put"),AND($F481="called_away",$AF481&gt;0,IF($AF481&gt;0,INDEX($AG$9:$AG$480,$AF481),"")&lt;&gt;"call")),"Wrong option leg",IF(OR(AND(OR($F481="sell_put",$F481="sell_call"),OR($H481&lt;=0,$I481&lt;=0,$J481&lt;0)),AND(OR($F481="buy_to_close",$F481="expire",$F481="assignment",$F481="called_away"),OR($H481&lt;=0,$J481&lt;0)),AND($F481="roll",OR($H481&lt;=0,$I481&lt;=0,$J481&lt;0,$K481&lt;0)),AND(OR($F481="buy_shares",$F481="sell_shares"),OR($L481&lt;=0,$M481&lt;0)),AND(OR($F481="dividend",$F481="fee"),$N481&lt;0)),"Invalid value",IF(AND(OR($F481="sell_shares",$F481="called_away"),$AL481&lt;IF($F481="called_away",$AE481*$D481,$L481)),"Insufficient shares (capped)",IF(AND(OR($F481="buy_to_close",$F481="expire",$F481="roll",$F481="assignment",$F481="called_away"),$AF481&gt;0,$H481&gt;IF($AF481&gt;0,MAX(0,INDEX($AI$9:$AI$480,$AF481)-SUMIFS($AE$9:$AE$480,$G$9:$G$480,$G481,$B$9:$B$480,$B481)),0)),"Close quantity capped","OK")))))))))</f>
        <v/>
      </c>
      <c r="W481" s="48" t="str">
        <f t="shared" si="122"/>
        <v/>
      </c>
      <c r="X481" s="49" t="str">
        <f t="shared" si="123"/>
        <v/>
      </c>
      <c r="Y481" s="50" t="str">
        <f t="shared" si="124"/>
        <v/>
      </c>
      <c r="Z481" s="50" t="str">
        <f t="shared" si="125"/>
        <v/>
      </c>
      <c r="AA481" s="50" t="str">
        <f t="shared" si="126"/>
        <v/>
      </c>
      <c r="AB481" s="50" t="str">
        <f t="shared" si="127"/>
        <v/>
      </c>
      <c r="AC481" s="50" t="str">
        <f>IF($A481="","",IF($F481="assignment",IF($AF481&gt;0,INDEX($AH$9:$AH$480,$AF481),0)*$AE481*$D481,IF($F481="buy_shares",$M481*$AL481,0)))</f>
        <v/>
      </c>
      <c r="AD481" s="50" t="str">
        <f>IF($A481="","",IF($F481="called_away",IF($AF481&gt;0,INDEX($AH$9:$AH$480,$AF481),0)*$AL481,IF($F481="sell_shares",$M481*$AL481,0)))</f>
        <v/>
      </c>
      <c r="AE481" s="51" t="str">
        <f>IF($A481="","",IF(OR($F481="sell_put",$F481="sell_call"),IF(AND($H481&gt;0,$I481&gt;0,$J481&gt;=0),$H481,0),IF(OR($F481="buy_to_close",$F481="expire",$F481="roll",$F481="assignment",$F481="called_away"),IF(AND($AF481&gt;0,$H481&gt;0,IF($F481="assignment",IF($AF481&gt;0,INDEX($AG$9:$AG$480,$AF481),"")="put",TRUE),IF($F481="called_away",IF($AF481&gt;0,INDEX($AG$9:$AG$480,$AF481),"")="call",TRUE)),MIN($H481,IF($AF481&gt;0,MAX(0,INDEX($AI$9:$AI$480,$AF481)-SUMIFS($AE$9:$AE$480,$G$9:$G$480,$G481,$B$9:$B$480,$B481)),0)),0),0)))</f>
        <v/>
      </c>
      <c r="AF481" t="str">
        <f>IF($A481="","",IFERROR(MATCH(LEN($B481)&amp;":"&amp;$B481&amp;$G481,$AY$9:$AY$480,0),0))</f>
        <v/>
      </c>
      <c r="AG481" t="str">
        <f>IF($A481="","",IF($F481="sell_put","put",IF($F481="sell_call","call",IF($F481="roll",IF($AF481&gt;0,IF($AF481&gt;0,INDEX($AG$9:$AG$480,$AF481),""),""),IF($AF481&gt;0,IF($AF481&gt;0,INDEX($AG$9:$AG$480,$AF481),""),"")))))</f>
        <v/>
      </c>
      <c r="AH481" t="str">
        <f>IF($A481="","",IF(OR($F481="sell_put",$F481="sell_call",$F481="roll"),$I481,IF($AF481&gt;0,IF($AF481&gt;0,INDEX($AH$9:$AH$480,$AF481),0),0)))</f>
        <v/>
      </c>
      <c r="AI481" s="51" t="str">
        <f t="shared" si="128"/>
        <v/>
      </c>
      <c r="AJ481" s="51" t="str">
        <f>IF($A481="","",IFERROR(LOOKUP(2,1/($B$9:$B$480=$B481),$AM$9:$AM480),0))</f>
        <v/>
      </c>
      <c r="AK481" t="str">
        <f>IF($A481="","",IFERROR(LOOKUP(2,1/($B$9:$B$480=$B481),$AN$9:$AN480),0))</f>
        <v/>
      </c>
      <c r="AL481" s="51" t="str">
        <f t="shared" si="129"/>
        <v/>
      </c>
      <c r="AM481" s="51" t="str">
        <f t="shared" si="130"/>
        <v/>
      </c>
      <c r="AN481" t="str">
        <f t="shared" si="131"/>
        <v/>
      </c>
      <c r="AO481" s="50" t="str">
        <f>IF($A481="","",IFERROR(LOOKUP(2,1/($B$9:$B$480=$B481),$AO$9:$AO480),0)+IF($F481="sell_put",$I481*$AE481*$D481,IF($F481="roll",IF($AG481="put",($I481-IF($AF481&gt;0,INDEX($AH$9:$AH$480,$AF481),0))*$AE481*$D481,0),IF(AND(OR($F481="buy_to_close",$F481="expire",$F481="roll",$F481="assignment",$F481="called_away"),$F481&lt;&gt;"roll",$AG481="put"),-IF($AF481&gt;0,INDEX($AH$9:$AH$480,$AF481),0)*$AE481*$D481,0))))</f>
        <v/>
      </c>
      <c r="AP481" s="51" t="str">
        <f>IF($A481="","",IFERROR(LOOKUP(2,1/($B$9:$B$480=$B481),$AP$9:$AP480),0)+IF($F481="sell_put",$AE481*$D481,IF(AND(OR($F481="buy_to_close",$F481="expire",$F481="roll",$F481="assignment",$F481="called_away"),$F481&lt;&gt;"roll",$AG481="put"),-$AE481*$D481,0)))</f>
        <v/>
      </c>
      <c r="AQ481" s="51" t="str">
        <f>IF($A481="","",IFERROR(LOOKUP(2,1/($B$9:$B$480=$B481),$AQ$9:$AQ480),0)+IF(OR($F481="sell_put",$F481="sell_call"),$AE481,0)-IF(AND(OR($F481="buy_to_close",$F481="expire",$F481="roll",$F481="assignment",$F481="called_away"),$F481&lt;&gt;"roll"),$AE481,0))</f>
        <v/>
      </c>
      <c r="AR481" t="str">
        <f t="shared" si="132"/>
        <v/>
      </c>
      <c r="AS481" s="50" t="str">
        <f t="shared" si="133"/>
        <v/>
      </c>
      <c r="AT481" s="50" t="str">
        <f>IF($A481="","",MAX(IF($T481=IFERROR(LOOKUP(2,1/($B$9:$B$480=$B481),$T$9:$T480),0),IFERROR(LOOKUP(2,1/($B$9:$B$480=$B481),$AT$9:$AT480),0),0),$AS481))</f>
        <v/>
      </c>
      <c r="AU481" t="str">
        <f t="shared" si="134"/>
        <v/>
      </c>
      <c r="AV481" s="51">
        <f>IF($AU481="",0,IF(AND(IFERROR(LOOKUP(2,1/($B$9:$B$480=$B481),$AR$9:$AR480),1),NOT(AND(OR($F481="dividend",$F481="fee"),IFERROR(LOOKUP(2,1/($B$9:$B$480=$B481),$T$9:$T480),0)&gt;0))),ROW(),0))</f>
        <v>0</v>
      </c>
      <c r="AW481">
        <f>IF($A481="",0,IF($AV481&gt;0,MAX($AW$9:$AW$480)+1,MAX($AW$9:$AW$480)))</f>
        <v>0</v>
      </c>
      <c r="AX481">
        <f>IF($AU481="",0,IF(AND($AR481,OR(NOT(IFERROR(LOOKUP(2,1/($B$9:$B$480=$B481),$AR$9:$AR480),1)),IFERROR(LOOKUP(2,1/($B$9:$B$480=$B481),$T$9:$T480),0)=0)),ROW(),0))</f>
        <v>0</v>
      </c>
      <c r="AY481" t="str">
        <f t="shared" si="135"/>
        <v/>
      </c>
    </row>
    <row r="482" spans="1:51" ht="15" x14ac:dyDescent="0.25">
      <c r="A482" s="52" t="str">
        <f>IF(Trades!$A482="","",Trades!O482)</f>
        <v/>
      </c>
      <c r="B482" s="52" t="str">
        <f>IF(Trades!$A482="","",Trades!B482)</f>
        <v/>
      </c>
      <c r="C482" s="52" t="str">
        <f>IF(Trades!$A482="","",Trades!C482)</f>
        <v/>
      </c>
      <c r="D482" s="53" t="str">
        <f>IF(Trades!$A482="","",IF(Trades!$L482&gt;0,Trades!$L482,Trades!$C$6))</f>
        <v/>
      </c>
      <c r="E482" s="54" t="str">
        <f>IF(Trades!$A482="","",Trades!A482)</f>
        <v/>
      </c>
      <c r="F482" s="52" t="str">
        <f>IF(Trades!$A482="","",IFERROR(INDEX(Trades!$V$2:$V$14,MATCH(Trades!$E482,Trades!$U$2:$U$14,0)),""))</f>
        <v/>
      </c>
      <c r="G482" s="52" t="str">
        <f>IF(Trades!$A482="","",Trades!N482)</f>
        <v/>
      </c>
      <c r="H482" s="53" t="str">
        <f>IF(Trades!$A482="","",Trades!F482)</f>
        <v/>
      </c>
      <c r="I482" s="55" t="str">
        <f>IF(Trades!$A482="","",Trades!G482)</f>
        <v/>
      </c>
      <c r="J482" s="55" t="str">
        <f>IF(Trades!$A482="","",Trades!I482)</f>
        <v/>
      </c>
      <c r="K482" s="55" t="str">
        <f>IF(Trades!$A482="","",Trades!Q482)</f>
        <v/>
      </c>
      <c r="L482" s="53" t="str">
        <f>IF(Trades!$A482="","",Trades!F482)</f>
        <v/>
      </c>
      <c r="M482" s="55" t="str">
        <f>IF(Trades!$A482="","",Trades!M482)</f>
        <v/>
      </c>
      <c r="N482" s="55" t="str">
        <f>IF(Trades!$A482="","",Trades!R482)</f>
        <v/>
      </c>
      <c r="O482" s="55" t="str">
        <f>IF(Trades!$A482="","",Trades!J482)</f>
        <v/>
      </c>
      <c r="P482" s="54" t="str">
        <f>IF(Trades!$A482="","",Trades!H482)</f>
        <v/>
      </c>
      <c r="Q482" s="52" t="str">
        <f>IF(Trades!$A482="","",Trades!P482)</f>
        <v/>
      </c>
      <c r="R482" s="56" t="str">
        <f t="shared" si="119"/>
        <v/>
      </c>
      <c r="S482" s="56" t="str">
        <f t="shared" si="120"/>
        <v/>
      </c>
      <c r="T482" s="57" t="str">
        <f>IF(OR($A482="",$B482=""),"",IF(AND(IFERROR(LOOKUP(2,1/($B$9:$B$481=$B482),$AR$9:$AR481),1),NOT(AND(OR($F482="dividend",$F482="fee"),IFERROR(LOOKUP(2,1/($B$9:$B$481=$B482),$T$9:$T481),0)&gt;0))),IFERROR(LOOKUP(2,1/($B$9:$B$481=$B482),$T$9:$T481),0)+1,IFERROR(LOOKUP(2,1/($B$9:$B$481=$B482),$T$9:$T481),0)))</f>
        <v/>
      </c>
      <c r="U482" s="58" t="str">
        <f t="shared" si="121"/>
        <v/>
      </c>
      <c r="V482" s="58" t="str">
        <f>IF($A482="","",IF(OR($B482="",$C482="",$D482="",$E482="",$F482=""),"Missing required field",IF(COUNTIFS($A$9:$A482,$A482,$B$9:$B482,$B482)&gt;1,"Duplicate event ID",IF(AND($E482&lt;&gt;IFERROR(LOOKUP(2,1/($B$9:$B$481=$B482),$E$9:$E481),0),IFERROR(LOOKUP(2,1/($B$9:$B$481=$B482),$E$9:$E481),0)&gt;$E482),"Date out of order",IF(AND(OR($F482="buy_to_close",$F482="expire",$F482="roll",$F482="assignment",$F482="called_away"),$AF482=0),"Unknown lot",IF(OR(AND($F482="assignment",$AF482&gt;0,IF($AF482&gt;0,INDEX($AG$9:$AG$481,$AF482),"")&lt;&gt;"put"),AND($F482="called_away",$AF482&gt;0,IF($AF482&gt;0,INDEX($AG$9:$AG$481,$AF482),"")&lt;&gt;"call")),"Wrong option leg",IF(OR(AND(OR($F482="sell_put",$F482="sell_call"),OR($H482&lt;=0,$I482&lt;=0,$J482&lt;0)),AND(OR($F482="buy_to_close",$F482="expire",$F482="assignment",$F482="called_away"),OR($H482&lt;=0,$J482&lt;0)),AND($F482="roll",OR($H482&lt;=0,$I482&lt;=0,$J482&lt;0,$K482&lt;0)),AND(OR($F482="buy_shares",$F482="sell_shares"),OR($L482&lt;=0,$M482&lt;0)),AND(OR($F482="dividend",$F482="fee"),$N482&lt;0)),"Invalid value",IF(AND(OR($F482="sell_shares",$F482="called_away"),$AL482&lt;IF($F482="called_away",$AE482*$D482,$L482)),"Insufficient shares (capped)",IF(AND(OR($F482="buy_to_close",$F482="expire",$F482="roll",$F482="assignment",$F482="called_away"),$AF482&gt;0,$H482&gt;IF($AF482&gt;0,MAX(0,INDEX($AI$9:$AI$481,$AF482)-SUMIFS($AE$9:$AE$481,$G$9:$G$481,$G482,$B$9:$B$481,$B482)),0)),"Close quantity capped","OK")))))))))</f>
        <v/>
      </c>
      <c r="W482" s="59" t="str">
        <f t="shared" si="122"/>
        <v/>
      </c>
      <c r="X482" s="60" t="str">
        <f t="shared" si="123"/>
        <v/>
      </c>
      <c r="Y482" s="50" t="str">
        <f t="shared" si="124"/>
        <v/>
      </c>
      <c r="Z482" s="50" t="str">
        <f t="shared" si="125"/>
        <v/>
      </c>
      <c r="AA482" s="50" t="str">
        <f t="shared" si="126"/>
        <v/>
      </c>
      <c r="AB482" s="50" t="str">
        <f t="shared" si="127"/>
        <v/>
      </c>
      <c r="AC482" s="50" t="str">
        <f>IF($A482="","",IF($F482="assignment",IF($AF482&gt;0,INDEX($AH$9:$AH$481,$AF482),0)*$AE482*$D482,IF($F482="buy_shares",$M482*$AL482,0)))</f>
        <v/>
      </c>
      <c r="AD482" s="50" t="str">
        <f>IF($A482="","",IF($F482="called_away",IF($AF482&gt;0,INDEX($AH$9:$AH$481,$AF482),0)*$AL482,IF($F482="sell_shares",$M482*$AL482,0)))</f>
        <v/>
      </c>
      <c r="AE482" s="51" t="str">
        <f>IF($A482="","",IF(OR($F482="sell_put",$F482="sell_call"),IF(AND($H482&gt;0,$I482&gt;0,$J482&gt;=0),$H482,0),IF(OR($F482="buy_to_close",$F482="expire",$F482="roll",$F482="assignment",$F482="called_away"),IF(AND($AF482&gt;0,$H482&gt;0,IF($F482="assignment",IF($AF482&gt;0,INDEX($AG$9:$AG$481,$AF482),"")="put",TRUE),IF($F482="called_away",IF($AF482&gt;0,INDEX($AG$9:$AG$481,$AF482),"")="call",TRUE)),MIN($H482,IF($AF482&gt;0,MAX(0,INDEX($AI$9:$AI$481,$AF482)-SUMIFS($AE$9:$AE$481,$G$9:$G$481,$G482,$B$9:$B$481,$B482)),0)),0),0)))</f>
        <v/>
      </c>
      <c r="AF482" t="str">
        <f>IF($A482="","",IFERROR(MATCH(LEN($B482)&amp;":"&amp;$B482&amp;$G482,$AY$9:$AY$481,0),0))</f>
        <v/>
      </c>
      <c r="AG482" t="str">
        <f>IF($A482="","",IF($F482="sell_put","put",IF($F482="sell_call","call",IF($F482="roll",IF($AF482&gt;0,IF($AF482&gt;0,INDEX($AG$9:$AG$481,$AF482),""),""),IF($AF482&gt;0,IF($AF482&gt;0,INDEX($AG$9:$AG$481,$AF482),""),"")))))</f>
        <v/>
      </c>
      <c r="AH482" t="str">
        <f>IF($A482="","",IF(OR($F482="sell_put",$F482="sell_call",$F482="roll"),$I482,IF($AF482&gt;0,IF($AF482&gt;0,INDEX($AH$9:$AH$481,$AF482),0),0)))</f>
        <v/>
      </c>
      <c r="AI482" s="51" t="str">
        <f t="shared" si="128"/>
        <v/>
      </c>
      <c r="AJ482" s="51" t="str">
        <f>IF($A482="","",IFERROR(LOOKUP(2,1/($B$9:$B$481=$B482),$AM$9:$AM481),0))</f>
        <v/>
      </c>
      <c r="AK482" t="str">
        <f>IF($A482="","",IFERROR(LOOKUP(2,1/($B$9:$B$481=$B482),$AN$9:$AN481),0))</f>
        <v/>
      </c>
      <c r="AL482" s="51" t="str">
        <f t="shared" si="129"/>
        <v/>
      </c>
      <c r="AM482" s="51" t="str">
        <f t="shared" si="130"/>
        <v/>
      </c>
      <c r="AN482" t="str">
        <f t="shared" si="131"/>
        <v/>
      </c>
      <c r="AO482" s="50" t="str">
        <f>IF($A482="","",IFERROR(LOOKUP(2,1/($B$9:$B$481=$B482),$AO$9:$AO481),0)+IF($F482="sell_put",$I482*$AE482*$D482,IF($F482="roll",IF($AG482="put",($I482-IF($AF482&gt;0,INDEX($AH$9:$AH$481,$AF482),0))*$AE482*$D482,0),IF(AND(OR($F482="buy_to_close",$F482="expire",$F482="roll",$F482="assignment",$F482="called_away"),$F482&lt;&gt;"roll",$AG482="put"),-IF($AF482&gt;0,INDEX($AH$9:$AH$481,$AF482),0)*$AE482*$D482,0))))</f>
        <v/>
      </c>
      <c r="AP482" s="51" t="str">
        <f>IF($A482="","",IFERROR(LOOKUP(2,1/($B$9:$B$481=$B482),$AP$9:$AP481),0)+IF($F482="sell_put",$AE482*$D482,IF(AND(OR($F482="buy_to_close",$F482="expire",$F482="roll",$F482="assignment",$F482="called_away"),$F482&lt;&gt;"roll",$AG482="put"),-$AE482*$D482,0)))</f>
        <v/>
      </c>
      <c r="AQ482" s="51" t="str">
        <f>IF($A482="","",IFERROR(LOOKUP(2,1/($B$9:$B$481=$B482),$AQ$9:$AQ481),0)+IF(OR($F482="sell_put",$F482="sell_call"),$AE482,0)-IF(AND(OR($F482="buy_to_close",$F482="expire",$F482="roll",$F482="assignment",$F482="called_away"),$F482&lt;&gt;"roll"),$AE482,0))</f>
        <v/>
      </c>
      <c r="AR482" t="str">
        <f t="shared" si="132"/>
        <v/>
      </c>
      <c r="AS482" s="50" t="str">
        <f t="shared" si="133"/>
        <v/>
      </c>
      <c r="AT482" s="50" t="str">
        <f>IF($A482="","",MAX(IF($T482=IFERROR(LOOKUP(2,1/($B$9:$B$481=$B482),$T$9:$T481),0),IFERROR(LOOKUP(2,1/($B$9:$B$481=$B482),$AT$9:$AT481),0),0),$AS482))</f>
        <v/>
      </c>
      <c r="AU482" t="str">
        <f t="shared" si="134"/>
        <v/>
      </c>
      <c r="AV482" s="51">
        <f>IF($AU482="",0,IF(AND(IFERROR(LOOKUP(2,1/($B$9:$B$481=$B482),$AR$9:$AR481),1),NOT(AND(OR($F482="dividend",$F482="fee"),IFERROR(LOOKUP(2,1/($B$9:$B$481=$B482),$T$9:$T481),0)&gt;0))),ROW(),0))</f>
        <v>0</v>
      </c>
      <c r="AW482">
        <f>IF($A482="",0,IF($AV482&gt;0,MAX($AW$9:$AW$481)+1,MAX($AW$9:$AW$481)))</f>
        <v>0</v>
      </c>
      <c r="AX482">
        <f>IF($AU482="",0,IF(AND($AR482,OR(NOT(IFERROR(LOOKUP(2,1/($B$9:$B$481=$B482),$AR$9:$AR481),1)),IFERROR(LOOKUP(2,1/($B$9:$B$481=$B482),$T$9:$T481),0)=0)),ROW(),0))</f>
        <v>0</v>
      </c>
      <c r="AY482" t="str">
        <f t="shared" si="135"/>
        <v/>
      </c>
    </row>
    <row r="483" spans="1:51" ht="15" x14ac:dyDescent="0.25">
      <c r="A483" s="41" t="str">
        <f>IF(Trades!$A483="","",Trades!O483)</f>
        <v/>
      </c>
      <c r="B483" s="41" t="str">
        <f>IF(Trades!$A483="","",Trades!B483)</f>
        <v/>
      </c>
      <c r="C483" s="41" t="str">
        <f>IF(Trades!$A483="","",Trades!C483)</f>
        <v/>
      </c>
      <c r="D483" s="42" t="str">
        <f>IF(Trades!$A483="","",IF(Trades!$L483&gt;0,Trades!$L483,Trades!$C$6))</f>
        <v/>
      </c>
      <c r="E483" s="43" t="str">
        <f>IF(Trades!$A483="","",Trades!A483)</f>
        <v/>
      </c>
      <c r="F483" s="41" t="str">
        <f>IF(Trades!$A483="","",IFERROR(INDEX(Trades!$V$2:$V$14,MATCH(Trades!$E483,Trades!$U$2:$U$14,0)),""))</f>
        <v/>
      </c>
      <c r="G483" s="41" t="str">
        <f>IF(Trades!$A483="","",Trades!N483)</f>
        <v/>
      </c>
      <c r="H483" s="42" t="str">
        <f>IF(Trades!$A483="","",Trades!F483)</f>
        <v/>
      </c>
      <c r="I483" s="44" t="str">
        <f>IF(Trades!$A483="","",Trades!G483)</f>
        <v/>
      </c>
      <c r="J483" s="44" t="str">
        <f>IF(Trades!$A483="","",Trades!I483)</f>
        <v/>
      </c>
      <c r="K483" s="44" t="str">
        <f>IF(Trades!$A483="","",Trades!Q483)</f>
        <v/>
      </c>
      <c r="L483" s="42" t="str">
        <f>IF(Trades!$A483="","",Trades!F483)</f>
        <v/>
      </c>
      <c r="M483" s="44" t="str">
        <f>IF(Trades!$A483="","",Trades!M483)</f>
        <v/>
      </c>
      <c r="N483" s="44" t="str">
        <f>IF(Trades!$A483="","",Trades!R483)</f>
        <v/>
      </c>
      <c r="O483" s="44" t="str">
        <f>IF(Trades!$A483="","",Trades!J483)</f>
        <v/>
      </c>
      <c r="P483" s="43" t="str">
        <f>IF(Trades!$A483="","",Trades!H483)</f>
        <v/>
      </c>
      <c r="Q483" s="41" t="str">
        <f>IF(Trades!$A483="","",Trades!P483)</f>
        <v/>
      </c>
      <c r="R483" s="45" t="str">
        <f t="shared" si="119"/>
        <v/>
      </c>
      <c r="S483" s="45" t="str">
        <f t="shared" si="120"/>
        <v/>
      </c>
      <c r="T483" s="46" t="str">
        <f>IF(OR($A483="",$B483=""),"",IF(AND(IFERROR(LOOKUP(2,1/($B$9:$B$482=$B483),$AR$9:$AR482),1),NOT(AND(OR($F483="dividend",$F483="fee"),IFERROR(LOOKUP(2,1/($B$9:$B$482=$B483),$T$9:$T482),0)&gt;0))),IFERROR(LOOKUP(2,1/($B$9:$B$482=$B483),$T$9:$T482),0)+1,IFERROR(LOOKUP(2,1/($B$9:$B$482=$B483),$T$9:$T482),0)))</f>
        <v/>
      </c>
      <c r="U483" s="47" t="str">
        <f t="shared" si="121"/>
        <v/>
      </c>
      <c r="V483" s="47" t="str">
        <f>IF($A483="","",IF(OR($B483="",$C483="",$D483="",$E483="",$F483=""),"Missing required field",IF(COUNTIFS($A$9:$A483,$A483,$B$9:$B483,$B483)&gt;1,"Duplicate event ID",IF(AND($E483&lt;&gt;IFERROR(LOOKUP(2,1/($B$9:$B$482=$B483),$E$9:$E482),0),IFERROR(LOOKUP(2,1/($B$9:$B$482=$B483),$E$9:$E482),0)&gt;$E483),"Date out of order",IF(AND(OR($F483="buy_to_close",$F483="expire",$F483="roll",$F483="assignment",$F483="called_away"),$AF483=0),"Unknown lot",IF(OR(AND($F483="assignment",$AF483&gt;0,IF($AF483&gt;0,INDEX($AG$9:$AG$482,$AF483),"")&lt;&gt;"put"),AND($F483="called_away",$AF483&gt;0,IF($AF483&gt;0,INDEX($AG$9:$AG$482,$AF483),"")&lt;&gt;"call")),"Wrong option leg",IF(OR(AND(OR($F483="sell_put",$F483="sell_call"),OR($H483&lt;=0,$I483&lt;=0,$J483&lt;0)),AND(OR($F483="buy_to_close",$F483="expire",$F483="assignment",$F483="called_away"),OR($H483&lt;=0,$J483&lt;0)),AND($F483="roll",OR($H483&lt;=0,$I483&lt;=0,$J483&lt;0,$K483&lt;0)),AND(OR($F483="buy_shares",$F483="sell_shares"),OR($L483&lt;=0,$M483&lt;0)),AND(OR($F483="dividend",$F483="fee"),$N483&lt;0)),"Invalid value",IF(AND(OR($F483="sell_shares",$F483="called_away"),$AL483&lt;IF($F483="called_away",$AE483*$D483,$L483)),"Insufficient shares (capped)",IF(AND(OR($F483="buy_to_close",$F483="expire",$F483="roll",$F483="assignment",$F483="called_away"),$AF483&gt;0,$H483&gt;IF($AF483&gt;0,MAX(0,INDEX($AI$9:$AI$482,$AF483)-SUMIFS($AE$9:$AE$482,$G$9:$G$482,$G483,$B$9:$B$482,$B483)),0)),"Close quantity capped","OK")))))))))</f>
        <v/>
      </c>
      <c r="W483" s="48" t="str">
        <f t="shared" si="122"/>
        <v/>
      </c>
      <c r="X483" s="49" t="str">
        <f t="shared" si="123"/>
        <v/>
      </c>
      <c r="Y483" s="50" t="str">
        <f t="shared" si="124"/>
        <v/>
      </c>
      <c r="Z483" s="50" t="str">
        <f t="shared" si="125"/>
        <v/>
      </c>
      <c r="AA483" s="50" t="str">
        <f t="shared" si="126"/>
        <v/>
      </c>
      <c r="AB483" s="50" t="str">
        <f t="shared" si="127"/>
        <v/>
      </c>
      <c r="AC483" s="50" t="str">
        <f>IF($A483="","",IF($F483="assignment",IF($AF483&gt;0,INDEX($AH$9:$AH$482,$AF483),0)*$AE483*$D483,IF($F483="buy_shares",$M483*$AL483,0)))</f>
        <v/>
      </c>
      <c r="AD483" s="50" t="str">
        <f>IF($A483="","",IF($F483="called_away",IF($AF483&gt;0,INDEX($AH$9:$AH$482,$AF483),0)*$AL483,IF($F483="sell_shares",$M483*$AL483,0)))</f>
        <v/>
      </c>
      <c r="AE483" s="51" t="str">
        <f>IF($A483="","",IF(OR($F483="sell_put",$F483="sell_call"),IF(AND($H483&gt;0,$I483&gt;0,$J483&gt;=0),$H483,0),IF(OR($F483="buy_to_close",$F483="expire",$F483="roll",$F483="assignment",$F483="called_away"),IF(AND($AF483&gt;0,$H483&gt;0,IF($F483="assignment",IF($AF483&gt;0,INDEX($AG$9:$AG$482,$AF483),"")="put",TRUE),IF($F483="called_away",IF($AF483&gt;0,INDEX($AG$9:$AG$482,$AF483),"")="call",TRUE)),MIN($H483,IF($AF483&gt;0,MAX(0,INDEX($AI$9:$AI$482,$AF483)-SUMIFS($AE$9:$AE$482,$G$9:$G$482,$G483,$B$9:$B$482,$B483)),0)),0),0)))</f>
        <v/>
      </c>
      <c r="AF483" t="str">
        <f>IF($A483="","",IFERROR(MATCH(LEN($B483)&amp;":"&amp;$B483&amp;$G483,$AY$9:$AY$482,0),0))</f>
        <v/>
      </c>
      <c r="AG483" t="str">
        <f>IF($A483="","",IF($F483="sell_put","put",IF($F483="sell_call","call",IF($F483="roll",IF($AF483&gt;0,IF($AF483&gt;0,INDEX($AG$9:$AG$482,$AF483),""),""),IF($AF483&gt;0,IF($AF483&gt;0,INDEX($AG$9:$AG$482,$AF483),""),"")))))</f>
        <v/>
      </c>
      <c r="AH483" t="str">
        <f>IF($A483="","",IF(OR($F483="sell_put",$F483="sell_call",$F483="roll"),$I483,IF($AF483&gt;0,IF($AF483&gt;0,INDEX($AH$9:$AH$482,$AF483),0),0)))</f>
        <v/>
      </c>
      <c r="AI483" s="51" t="str">
        <f t="shared" si="128"/>
        <v/>
      </c>
      <c r="AJ483" s="51" t="str">
        <f>IF($A483="","",IFERROR(LOOKUP(2,1/($B$9:$B$482=$B483),$AM$9:$AM482),0))</f>
        <v/>
      </c>
      <c r="AK483" t="str">
        <f>IF($A483="","",IFERROR(LOOKUP(2,1/($B$9:$B$482=$B483),$AN$9:$AN482),0))</f>
        <v/>
      </c>
      <c r="AL483" s="51" t="str">
        <f t="shared" si="129"/>
        <v/>
      </c>
      <c r="AM483" s="51" t="str">
        <f t="shared" si="130"/>
        <v/>
      </c>
      <c r="AN483" t="str">
        <f t="shared" si="131"/>
        <v/>
      </c>
      <c r="AO483" s="50" t="str">
        <f>IF($A483="","",IFERROR(LOOKUP(2,1/($B$9:$B$482=$B483),$AO$9:$AO482),0)+IF($F483="sell_put",$I483*$AE483*$D483,IF($F483="roll",IF($AG483="put",($I483-IF($AF483&gt;0,INDEX($AH$9:$AH$482,$AF483),0))*$AE483*$D483,0),IF(AND(OR($F483="buy_to_close",$F483="expire",$F483="roll",$F483="assignment",$F483="called_away"),$F483&lt;&gt;"roll",$AG483="put"),-IF($AF483&gt;0,INDEX($AH$9:$AH$482,$AF483),0)*$AE483*$D483,0))))</f>
        <v/>
      </c>
      <c r="AP483" s="51" t="str">
        <f>IF($A483="","",IFERROR(LOOKUP(2,1/($B$9:$B$482=$B483),$AP$9:$AP482),0)+IF($F483="sell_put",$AE483*$D483,IF(AND(OR($F483="buy_to_close",$F483="expire",$F483="roll",$F483="assignment",$F483="called_away"),$F483&lt;&gt;"roll",$AG483="put"),-$AE483*$D483,0)))</f>
        <v/>
      </c>
      <c r="AQ483" s="51" t="str">
        <f>IF($A483="","",IFERROR(LOOKUP(2,1/($B$9:$B$482=$B483),$AQ$9:$AQ482),0)+IF(OR($F483="sell_put",$F483="sell_call"),$AE483,0)-IF(AND(OR($F483="buy_to_close",$F483="expire",$F483="roll",$F483="assignment",$F483="called_away"),$F483&lt;&gt;"roll"),$AE483,0))</f>
        <v/>
      </c>
      <c r="AR483" t="str">
        <f t="shared" si="132"/>
        <v/>
      </c>
      <c r="AS483" s="50" t="str">
        <f t="shared" si="133"/>
        <v/>
      </c>
      <c r="AT483" s="50" t="str">
        <f>IF($A483="","",MAX(IF($T483=IFERROR(LOOKUP(2,1/($B$9:$B$482=$B483),$T$9:$T482),0),IFERROR(LOOKUP(2,1/($B$9:$B$482=$B483),$AT$9:$AT482),0),0),$AS483))</f>
        <v/>
      </c>
      <c r="AU483" t="str">
        <f t="shared" si="134"/>
        <v/>
      </c>
      <c r="AV483" s="51">
        <f>IF($AU483="",0,IF(AND(IFERROR(LOOKUP(2,1/($B$9:$B$482=$B483),$AR$9:$AR482),1),NOT(AND(OR($F483="dividend",$F483="fee"),IFERROR(LOOKUP(2,1/($B$9:$B$482=$B483),$T$9:$T482),0)&gt;0))),ROW(),0))</f>
        <v>0</v>
      </c>
      <c r="AW483">
        <f>IF($A483="",0,IF($AV483&gt;0,MAX($AW$9:$AW$482)+1,MAX($AW$9:$AW$482)))</f>
        <v>0</v>
      </c>
      <c r="AX483">
        <f>IF($AU483="",0,IF(AND($AR483,OR(NOT(IFERROR(LOOKUP(2,1/($B$9:$B$482=$B483),$AR$9:$AR482),1)),IFERROR(LOOKUP(2,1/($B$9:$B$482=$B483),$T$9:$T482),0)=0)),ROW(),0))</f>
        <v>0</v>
      </c>
      <c r="AY483" t="str">
        <f t="shared" si="135"/>
        <v/>
      </c>
    </row>
    <row r="484" spans="1:51" ht="15" x14ac:dyDescent="0.25">
      <c r="A484" s="52" t="str">
        <f>IF(Trades!$A484="","",Trades!O484)</f>
        <v/>
      </c>
      <c r="B484" s="52" t="str">
        <f>IF(Trades!$A484="","",Trades!B484)</f>
        <v/>
      </c>
      <c r="C484" s="52" t="str">
        <f>IF(Trades!$A484="","",Trades!C484)</f>
        <v/>
      </c>
      <c r="D484" s="53" t="str">
        <f>IF(Trades!$A484="","",IF(Trades!$L484&gt;0,Trades!$L484,Trades!$C$6))</f>
        <v/>
      </c>
      <c r="E484" s="54" t="str">
        <f>IF(Trades!$A484="","",Trades!A484)</f>
        <v/>
      </c>
      <c r="F484" s="52" t="str">
        <f>IF(Trades!$A484="","",IFERROR(INDEX(Trades!$V$2:$V$14,MATCH(Trades!$E484,Trades!$U$2:$U$14,0)),""))</f>
        <v/>
      </c>
      <c r="G484" s="52" t="str">
        <f>IF(Trades!$A484="","",Trades!N484)</f>
        <v/>
      </c>
      <c r="H484" s="53" t="str">
        <f>IF(Trades!$A484="","",Trades!F484)</f>
        <v/>
      </c>
      <c r="I484" s="55" t="str">
        <f>IF(Trades!$A484="","",Trades!G484)</f>
        <v/>
      </c>
      <c r="J484" s="55" t="str">
        <f>IF(Trades!$A484="","",Trades!I484)</f>
        <v/>
      </c>
      <c r="K484" s="55" t="str">
        <f>IF(Trades!$A484="","",Trades!Q484)</f>
        <v/>
      </c>
      <c r="L484" s="53" t="str">
        <f>IF(Trades!$A484="","",Trades!F484)</f>
        <v/>
      </c>
      <c r="M484" s="55" t="str">
        <f>IF(Trades!$A484="","",Trades!M484)</f>
        <v/>
      </c>
      <c r="N484" s="55" t="str">
        <f>IF(Trades!$A484="","",Trades!R484)</f>
        <v/>
      </c>
      <c r="O484" s="55" t="str">
        <f>IF(Trades!$A484="","",Trades!J484)</f>
        <v/>
      </c>
      <c r="P484" s="54" t="str">
        <f>IF(Trades!$A484="","",Trades!H484)</f>
        <v/>
      </c>
      <c r="Q484" s="52" t="str">
        <f>IF(Trades!$A484="","",Trades!P484)</f>
        <v/>
      </c>
      <c r="R484" s="56" t="str">
        <f t="shared" si="119"/>
        <v/>
      </c>
      <c r="S484" s="56" t="str">
        <f t="shared" si="120"/>
        <v/>
      </c>
      <c r="T484" s="57" t="str">
        <f>IF(OR($A484="",$B484=""),"",IF(AND(IFERROR(LOOKUP(2,1/($B$9:$B$483=$B484),$AR$9:$AR483),1),NOT(AND(OR($F484="dividend",$F484="fee"),IFERROR(LOOKUP(2,1/($B$9:$B$483=$B484),$T$9:$T483),0)&gt;0))),IFERROR(LOOKUP(2,1/($B$9:$B$483=$B484),$T$9:$T483),0)+1,IFERROR(LOOKUP(2,1/($B$9:$B$483=$B484),$T$9:$T483),0)))</f>
        <v/>
      </c>
      <c r="U484" s="58" t="str">
        <f t="shared" si="121"/>
        <v/>
      </c>
      <c r="V484" s="58" t="str">
        <f>IF($A484="","",IF(OR($B484="",$C484="",$D484="",$E484="",$F484=""),"Missing required field",IF(COUNTIFS($A$9:$A484,$A484,$B$9:$B484,$B484)&gt;1,"Duplicate event ID",IF(AND($E484&lt;&gt;IFERROR(LOOKUP(2,1/($B$9:$B$483=$B484),$E$9:$E483),0),IFERROR(LOOKUP(2,1/($B$9:$B$483=$B484),$E$9:$E483),0)&gt;$E484),"Date out of order",IF(AND(OR($F484="buy_to_close",$F484="expire",$F484="roll",$F484="assignment",$F484="called_away"),$AF484=0),"Unknown lot",IF(OR(AND($F484="assignment",$AF484&gt;0,IF($AF484&gt;0,INDEX($AG$9:$AG$483,$AF484),"")&lt;&gt;"put"),AND($F484="called_away",$AF484&gt;0,IF($AF484&gt;0,INDEX($AG$9:$AG$483,$AF484),"")&lt;&gt;"call")),"Wrong option leg",IF(OR(AND(OR($F484="sell_put",$F484="sell_call"),OR($H484&lt;=0,$I484&lt;=0,$J484&lt;0)),AND(OR($F484="buy_to_close",$F484="expire",$F484="assignment",$F484="called_away"),OR($H484&lt;=0,$J484&lt;0)),AND($F484="roll",OR($H484&lt;=0,$I484&lt;=0,$J484&lt;0,$K484&lt;0)),AND(OR($F484="buy_shares",$F484="sell_shares"),OR($L484&lt;=0,$M484&lt;0)),AND(OR($F484="dividend",$F484="fee"),$N484&lt;0)),"Invalid value",IF(AND(OR($F484="sell_shares",$F484="called_away"),$AL484&lt;IF($F484="called_away",$AE484*$D484,$L484)),"Insufficient shares (capped)",IF(AND(OR($F484="buy_to_close",$F484="expire",$F484="roll",$F484="assignment",$F484="called_away"),$AF484&gt;0,$H484&gt;IF($AF484&gt;0,MAX(0,INDEX($AI$9:$AI$483,$AF484)-SUMIFS($AE$9:$AE$483,$G$9:$G$483,$G484,$B$9:$B$483,$B484)),0)),"Close quantity capped","OK")))))))))</f>
        <v/>
      </c>
      <c r="W484" s="59" t="str">
        <f t="shared" si="122"/>
        <v/>
      </c>
      <c r="X484" s="60" t="str">
        <f t="shared" si="123"/>
        <v/>
      </c>
      <c r="Y484" s="50" t="str">
        <f t="shared" si="124"/>
        <v/>
      </c>
      <c r="Z484" s="50" t="str">
        <f t="shared" si="125"/>
        <v/>
      </c>
      <c r="AA484" s="50" t="str">
        <f t="shared" si="126"/>
        <v/>
      </c>
      <c r="AB484" s="50" t="str">
        <f t="shared" si="127"/>
        <v/>
      </c>
      <c r="AC484" s="50" t="str">
        <f>IF($A484="","",IF($F484="assignment",IF($AF484&gt;0,INDEX($AH$9:$AH$483,$AF484),0)*$AE484*$D484,IF($F484="buy_shares",$M484*$AL484,0)))</f>
        <v/>
      </c>
      <c r="AD484" s="50" t="str">
        <f>IF($A484="","",IF($F484="called_away",IF($AF484&gt;0,INDEX($AH$9:$AH$483,$AF484),0)*$AL484,IF($F484="sell_shares",$M484*$AL484,0)))</f>
        <v/>
      </c>
      <c r="AE484" s="51" t="str">
        <f>IF($A484="","",IF(OR($F484="sell_put",$F484="sell_call"),IF(AND($H484&gt;0,$I484&gt;0,$J484&gt;=0),$H484,0),IF(OR($F484="buy_to_close",$F484="expire",$F484="roll",$F484="assignment",$F484="called_away"),IF(AND($AF484&gt;0,$H484&gt;0,IF($F484="assignment",IF($AF484&gt;0,INDEX($AG$9:$AG$483,$AF484),"")="put",TRUE),IF($F484="called_away",IF($AF484&gt;0,INDEX($AG$9:$AG$483,$AF484),"")="call",TRUE)),MIN($H484,IF($AF484&gt;0,MAX(0,INDEX($AI$9:$AI$483,$AF484)-SUMIFS($AE$9:$AE$483,$G$9:$G$483,$G484,$B$9:$B$483,$B484)),0)),0),0)))</f>
        <v/>
      </c>
      <c r="AF484" t="str">
        <f>IF($A484="","",IFERROR(MATCH(LEN($B484)&amp;":"&amp;$B484&amp;$G484,$AY$9:$AY$483,0),0))</f>
        <v/>
      </c>
      <c r="AG484" t="str">
        <f>IF($A484="","",IF($F484="sell_put","put",IF($F484="sell_call","call",IF($F484="roll",IF($AF484&gt;0,IF($AF484&gt;0,INDEX($AG$9:$AG$483,$AF484),""),""),IF($AF484&gt;0,IF($AF484&gt;0,INDEX($AG$9:$AG$483,$AF484),""),"")))))</f>
        <v/>
      </c>
      <c r="AH484" t="str">
        <f>IF($A484="","",IF(OR($F484="sell_put",$F484="sell_call",$F484="roll"),$I484,IF($AF484&gt;0,IF($AF484&gt;0,INDEX($AH$9:$AH$483,$AF484),0),0)))</f>
        <v/>
      </c>
      <c r="AI484" s="51" t="str">
        <f t="shared" si="128"/>
        <v/>
      </c>
      <c r="AJ484" s="51" t="str">
        <f>IF($A484="","",IFERROR(LOOKUP(2,1/($B$9:$B$483=$B484),$AM$9:$AM483),0))</f>
        <v/>
      </c>
      <c r="AK484" t="str">
        <f>IF($A484="","",IFERROR(LOOKUP(2,1/($B$9:$B$483=$B484),$AN$9:$AN483),0))</f>
        <v/>
      </c>
      <c r="AL484" s="51" t="str">
        <f t="shared" si="129"/>
        <v/>
      </c>
      <c r="AM484" s="51" t="str">
        <f t="shared" si="130"/>
        <v/>
      </c>
      <c r="AN484" t="str">
        <f t="shared" si="131"/>
        <v/>
      </c>
      <c r="AO484" s="50" t="str">
        <f>IF($A484="","",IFERROR(LOOKUP(2,1/($B$9:$B$483=$B484),$AO$9:$AO483),0)+IF($F484="sell_put",$I484*$AE484*$D484,IF($F484="roll",IF($AG484="put",($I484-IF($AF484&gt;0,INDEX($AH$9:$AH$483,$AF484),0))*$AE484*$D484,0),IF(AND(OR($F484="buy_to_close",$F484="expire",$F484="roll",$F484="assignment",$F484="called_away"),$F484&lt;&gt;"roll",$AG484="put"),-IF($AF484&gt;0,INDEX($AH$9:$AH$483,$AF484),0)*$AE484*$D484,0))))</f>
        <v/>
      </c>
      <c r="AP484" s="51" t="str">
        <f>IF($A484="","",IFERROR(LOOKUP(2,1/($B$9:$B$483=$B484),$AP$9:$AP483),0)+IF($F484="sell_put",$AE484*$D484,IF(AND(OR($F484="buy_to_close",$F484="expire",$F484="roll",$F484="assignment",$F484="called_away"),$F484&lt;&gt;"roll",$AG484="put"),-$AE484*$D484,0)))</f>
        <v/>
      </c>
      <c r="AQ484" s="51" t="str">
        <f>IF($A484="","",IFERROR(LOOKUP(2,1/($B$9:$B$483=$B484),$AQ$9:$AQ483),0)+IF(OR($F484="sell_put",$F484="sell_call"),$AE484,0)-IF(AND(OR($F484="buy_to_close",$F484="expire",$F484="roll",$F484="assignment",$F484="called_away"),$F484&lt;&gt;"roll"),$AE484,0))</f>
        <v/>
      </c>
      <c r="AR484" t="str">
        <f t="shared" si="132"/>
        <v/>
      </c>
      <c r="AS484" s="50" t="str">
        <f t="shared" si="133"/>
        <v/>
      </c>
      <c r="AT484" s="50" t="str">
        <f>IF($A484="","",MAX(IF($T484=IFERROR(LOOKUP(2,1/($B$9:$B$483=$B484),$T$9:$T483),0),IFERROR(LOOKUP(2,1/($B$9:$B$483=$B484),$AT$9:$AT483),0),0),$AS484))</f>
        <v/>
      </c>
      <c r="AU484" t="str">
        <f t="shared" si="134"/>
        <v/>
      </c>
      <c r="AV484" s="51">
        <f>IF($AU484="",0,IF(AND(IFERROR(LOOKUP(2,1/($B$9:$B$483=$B484),$AR$9:$AR483),1),NOT(AND(OR($F484="dividend",$F484="fee"),IFERROR(LOOKUP(2,1/($B$9:$B$483=$B484),$T$9:$T483),0)&gt;0))),ROW(),0))</f>
        <v>0</v>
      </c>
      <c r="AW484">
        <f>IF($A484="",0,IF($AV484&gt;0,MAX($AW$9:$AW$483)+1,MAX($AW$9:$AW$483)))</f>
        <v>0</v>
      </c>
      <c r="AX484">
        <f>IF($AU484="",0,IF(AND($AR484,OR(NOT(IFERROR(LOOKUP(2,1/($B$9:$B$483=$B484),$AR$9:$AR483),1)),IFERROR(LOOKUP(2,1/($B$9:$B$483=$B484),$T$9:$T483),0)=0)),ROW(),0))</f>
        <v>0</v>
      </c>
      <c r="AY484" t="str">
        <f t="shared" si="135"/>
        <v/>
      </c>
    </row>
    <row r="485" spans="1:51" ht="15" x14ac:dyDescent="0.25">
      <c r="A485" s="41" t="str">
        <f>IF(Trades!$A485="","",Trades!O485)</f>
        <v/>
      </c>
      <c r="B485" s="41" t="str">
        <f>IF(Trades!$A485="","",Trades!B485)</f>
        <v/>
      </c>
      <c r="C485" s="41" t="str">
        <f>IF(Trades!$A485="","",Trades!C485)</f>
        <v/>
      </c>
      <c r="D485" s="42" t="str">
        <f>IF(Trades!$A485="","",IF(Trades!$L485&gt;0,Trades!$L485,Trades!$C$6))</f>
        <v/>
      </c>
      <c r="E485" s="43" t="str">
        <f>IF(Trades!$A485="","",Trades!A485)</f>
        <v/>
      </c>
      <c r="F485" s="41" t="str">
        <f>IF(Trades!$A485="","",IFERROR(INDEX(Trades!$V$2:$V$14,MATCH(Trades!$E485,Trades!$U$2:$U$14,0)),""))</f>
        <v/>
      </c>
      <c r="G485" s="41" t="str">
        <f>IF(Trades!$A485="","",Trades!N485)</f>
        <v/>
      </c>
      <c r="H485" s="42" t="str">
        <f>IF(Trades!$A485="","",Trades!F485)</f>
        <v/>
      </c>
      <c r="I485" s="44" t="str">
        <f>IF(Trades!$A485="","",Trades!G485)</f>
        <v/>
      </c>
      <c r="J485" s="44" t="str">
        <f>IF(Trades!$A485="","",Trades!I485)</f>
        <v/>
      </c>
      <c r="K485" s="44" t="str">
        <f>IF(Trades!$A485="","",Trades!Q485)</f>
        <v/>
      </c>
      <c r="L485" s="42" t="str">
        <f>IF(Trades!$A485="","",Trades!F485)</f>
        <v/>
      </c>
      <c r="M485" s="44" t="str">
        <f>IF(Trades!$A485="","",Trades!M485)</f>
        <v/>
      </c>
      <c r="N485" s="44" t="str">
        <f>IF(Trades!$A485="","",Trades!R485)</f>
        <v/>
      </c>
      <c r="O485" s="44" t="str">
        <f>IF(Trades!$A485="","",Trades!J485)</f>
        <v/>
      </c>
      <c r="P485" s="43" t="str">
        <f>IF(Trades!$A485="","",Trades!H485)</f>
        <v/>
      </c>
      <c r="Q485" s="41" t="str">
        <f>IF(Trades!$A485="","",Trades!P485)</f>
        <v/>
      </c>
      <c r="R485" s="45" t="str">
        <f t="shared" si="119"/>
        <v/>
      </c>
      <c r="S485" s="45" t="str">
        <f t="shared" si="120"/>
        <v/>
      </c>
      <c r="T485" s="46" t="str">
        <f>IF(OR($A485="",$B485=""),"",IF(AND(IFERROR(LOOKUP(2,1/($B$9:$B$484=$B485),$AR$9:$AR484),1),NOT(AND(OR($F485="dividend",$F485="fee"),IFERROR(LOOKUP(2,1/($B$9:$B$484=$B485),$T$9:$T484),0)&gt;0))),IFERROR(LOOKUP(2,1/($B$9:$B$484=$B485),$T$9:$T484),0)+1,IFERROR(LOOKUP(2,1/($B$9:$B$484=$B485),$T$9:$T484),0)))</f>
        <v/>
      </c>
      <c r="U485" s="47" t="str">
        <f t="shared" si="121"/>
        <v/>
      </c>
      <c r="V485" s="47" t="str">
        <f>IF($A485="","",IF(OR($B485="",$C485="",$D485="",$E485="",$F485=""),"Missing required field",IF(COUNTIFS($A$9:$A485,$A485,$B$9:$B485,$B485)&gt;1,"Duplicate event ID",IF(AND($E485&lt;&gt;IFERROR(LOOKUP(2,1/($B$9:$B$484=$B485),$E$9:$E484),0),IFERROR(LOOKUP(2,1/($B$9:$B$484=$B485),$E$9:$E484),0)&gt;$E485),"Date out of order",IF(AND(OR($F485="buy_to_close",$F485="expire",$F485="roll",$F485="assignment",$F485="called_away"),$AF485=0),"Unknown lot",IF(OR(AND($F485="assignment",$AF485&gt;0,IF($AF485&gt;0,INDEX($AG$9:$AG$484,$AF485),"")&lt;&gt;"put"),AND($F485="called_away",$AF485&gt;0,IF($AF485&gt;0,INDEX($AG$9:$AG$484,$AF485),"")&lt;&gt;"call")),"Wrong option leg",IF(OR(AND(OR($F485="sell_put",$F485="sell_call"),OR($H485&lt;=0,$I485&lt;=0,$J485&lt;0)),AND(OR($F485="buy_to_close",$F485="expire",$F485="assignment",$F485="called_away"),OR($H485&lt;=0,$J485&lt;0)),AND($F485="roll",OR($H485&lt;=0,$I485&lt;=0,$J485&lt;0,$K485&lt;0)),AND(OR($F485="buy_shares",$F485="sell_shares"),OR($L485&lt;=0,$M485&lt;0)),AND(OR($F485="dividend",$F485="fee"),$N485&lt;0)),"Invalid value",IF(AND(OR($F485="sell_shares",$F485="called_away"),$AL485&lt;IF($F485="called_away",$AE485*$D485,$L485)),"Insufficient shares (capped)",IF(AND(OR($F485="buy_to_close",$F485="expire",$F485="roll",$F485="assignment",$F485="called_away"),$AF485&gt;0,$H485&gt;IF($AF485&gt;0,MAX(0,INDEX($AI$9:$AI$484,$AF485)-SUMIFS($AE$9:$AE$484,$G$9:$G$484,$G485,$B$9:$B$484,$B485)),0)),"Close quantity capped","OK")))))))))</f>
        <v/>
      </c>
      <c r="W485" s="48" t="str">
        <f t="shared" si="122"/>
        <v/>
      </c>
      <c r="X485" s="49" t="str">
        <f t="shared" si="123"/>
        <v/>
      </c>
      <c r="Y485" s="50" t="str">
        <f t="shared" si="124"/>
        <v/>
      </c>
      <c r="Z485" s="50" t="str">
        <f t="shared" si="125"/>
        <v/>
      </c>
      <c r="AA485" s="50" t="str">
        <f t="shared" si="126"/>
        <v/>
      </c>
      <c r="AB485" s="50" t="str">
        <f t="shared" si="127"/>
        <v/>
      </c>
      <c r="AC485" s="50" t="str">
        <f>IF($A485="","",IF($F485="assignment",IF($AF485&gt;0,INDEX($AH$9:$AH$484,$AF485),0)*$AE485*$D485,IF($F485="buy_shares",$M485*$AL485,0)))</f>
        <v/>
      </c>
      <c r="AD485" s="50" t="str">
        <f>IF($A485="","",IF($F485="called_away",IF($AF485&gt;0,INDEX($AH$9:$AH$484,$AF485),0)*$AL485,IF($F485="sell_shares",$M485*$AL485,0)))</f>
        <v/>
      </c>
      <c r="AE485" s="51" t="str">
        <f>IF($A485="","",IF(OR($F485="sell_put",$F485="sell_call"),IF(AND($H485&gt;0,$I485&gt;0,$J485&gt;=0),$H485,0),IF(OR($F485="buy_to_close",$F485="expire",$F485="roll",$F485="assignment",$F485="called_away"),IF(AND($AF485&gt;0,$H485&gt;0,IF($F485="assignment",IF($AF485&gt;0,INDEX($AG$9:$AG$484,$AF485),"")="put",TRUE),IF($F485="called_away",IF($AF485&gt;0,INDEX($AG$9:$AG$484,$AF485),"")="call",TRUE)),MIN($H485,IF($AF485&gt;0,MAX(0,INDEX($AI$9:$AI$484,$AF485)-SUMIFS($AE$9:$AE$484,$G$9:$G$484,$G485,$B$9:$B$484,$B485)),0)),0),0)))</f>
        <v/>
      </c>
      <c r="AF485" t="str">
        <f>IF($A485="","",IFERROR(MATCH(LEN($B485)&amp;":"&amp;$B485&amp;$G485,$AY$9:$AY$484,0),0))</f>
        <v/>
      </c>
      <c r="AG485" t="str">
        <f>IF($A485="","",IF($F485="sell_put","put",IF($F485="sell_call","call",IF($F485="roll",IF($AF485&gt;0,IF($AF485&gt;0,INDEX($AG$9:$AG$484,$AF485),""),""),IF($AF485&gt;0,IF($AF485&gt;0,INDEX($AG$9:$AG$484,$AF485),""),"")))))</f>
        <v/>
      </c>
      <c r="AH485" t="str">
        <f>IF($A485="","",IF(OR($F485="sell_put",$F485="sell_call",$F485="roll"),$I485,IF($AF485&gt;0,IF($AF485&gt;0,INDEX($AH$9:$AH$484,$AF485),0),0)))</f>
        <v/>
      </c>
      <c r="AI485" s="51" t="str">
        <f t="shared" si="128"/>
        <v/>
      </c>
      <c r="AJ485" s="51" t="str">
        <f>IF($A485="","",IFERROR(LOOKUP(2,1/($B$9:$B$484=$B485),$AM$9:$AM484),0))</f>
        <v/>
      </c>
      <c r="AK485" t="str">
        <f>IF($A485="","",IFERROR(LOOKUP(2,1/($B$9:$B$484=$B485),$AN$9:$AN484),0))</f>
        <v/>
      </c>
      <c r="AL485" s="51" t="str">
        <f t="shared" si="129"/>
        <v/>
      </c>
      <c r="AM485" s="51" t="str">
        <f t="shared" si="130"/>
        <v/>
      </c>
      <c r="AN485" t="str">
        <f t="shared" si="131"/>
        <v/>
      </c>
      <c r="AO485" s="50" t="str">
        <f>IF($A485="","",IFERROR(LOOKUP(2,1/($B$9:$B$484=$B485),$AO$9:$AO484),0)+IF($F485="sell_put",$I485*$AE485*$D485,IF($F485="roll",IF($AG485="put",($I485-IF($AF485&gt;0,INDEX($AH$9:$AH$484,$AF485),0))*$AE485*$D485,0),IF(AND(OR($F485="buy_to_close",$F485="expire",$F485="roll",$F485="assignment",$F485="called_away"),$F485&lt;&gt;"roll",$AG485="put"),-IF($AF485&gt;0,INDEX($AH$9:$AH$484,$AF485),0)*$AE485*$D485,0))))</f>
        <v/>
      </c>
      <c r="AP485" s="51" t="str">
        <f>IF($A485="","",IFERROR(LOOKUP(2,1/($B$9:$B$484=$B485),$AP$9:$AP484),0)+IF($F485="sell_put",$AE485*$D485,IF(AND(OR($F485="buy_to_close",$F485="expire",$F485="roll",$F485="assignment",$F485="called_away"),$F485&lt;&gt;"roll",$AG485="put"),-$AE485*$D485,0)))</f>
        <v/>
      </c>
      <c r="AQ485" s="51" t="str">
        <f>IF($A485="","",IFERROR(LOOKUP(2,1/($B$9:$B$484=$B485),$AQ$9:$AQ484),0)+IF(OR($F485="sell_put",$F485="sell_call"),$AE485,0)-IF(AND(OR($F485="buy_to_close",$F485="expire",$F485="roll",$F485="assignment",$F485="called_away"),$F485&lt;&gt;"roll"),$AE485,0))</f>
        <v/>
      </c>
      <c r="AR485" t="str">
        <f t="shared" si="132"/>
        <v/>
      </c>
      <c r="AS485" s="50" t="str">
        <f t="shared" si="133"/>
        <v/>
      </c>
      <c r="AT485" s="50" t="str">
        <f>IF($A485="","",MAX(IF($T485=IFERROR(LOOKUP(2,1/($B$9:$B$484=$B485),$T$9:$T484),0),IFERROR(LOOKUP(2,1/($B$9:$B$484=$B485),$AT$9:$AT484),0),0),$AS485))</f>
        <v/>
      </c>
      <c r="AU485" t="str">
        <f t="shared" si="134"/>
        <v/>
      </c>
      <c r="AV485" s="51">
        <f>IF($AU485="",0,IF(AND(IFERROR(LOOKUP(2,1/($B$9:$B$484=$B485),$AR$9:$AR484),1),NOT(AND(OR($F485="dividend",$F485="fee"),IFERROR(LOOKUP(2,1/($B$9:$B$484=$B485),$T$9:$T484),0)&gt;0))),ROW(),0))</f>
        <v>0</v>
      </c>
      <c r="AW485">
        <f>IF($A485="",0,IF($AV485&gt;0,MAX($AW$9:$AW$484)+1,MAX($AW$9:$AW$484)))</f>
        <v>0</v>
      </c>
      <c r="AX485">
        <f>IF($AU485="",0,IF(AND($AR485,OR(NOT(IFERROR(LOOKUP(2,1/($B$9:$B$484=$B485),$AR$9:$AR484),1)),IFERROR(LOOKUP(2,1/($B$9:$B$484=$B485),$T$9:$T484),0)=0)),ROW(),0))</f>
        <v>0</v>
      </c>
      <c r="AY485" t="str">
        <f t="shared" si="135"/>
        <v/>
      </c>
    </row>
    <row r="486" spans="1:51" ht="15" x14ac:dyDescent="0.25">
      <c r="A486" s="52" t="str">
        <f>IF(Trades!$A486="","",Trades!O486)</f>
        <v/>
      </c>
      <c r="B486" s="52" t="str">
        <f>IF(Trades!$A486="","",Trades!B486)</f>
        <v/>
      </c>
      <c r="C486" s="52" t="str">
        <f>IF(Trades!$A486="","",Trades!C486)</f>
        <v/>
      </c>
      <c r="D486" s="53" t="str">
        <f>IF(Trades!$A486="","",IF(Trades!$L486&gt;0,Trades!$L486,Trades!$C$6))</f>
        <v/>
      </c>
      <c r="E486" s="54" t="str">
        <f>IF(Trades!$A486="","",Trades!A486)</f>
        <v/>
      </c>
      <c r="F486" s="52" t="str">
        <f>IF(Trades!$A486="","",IFERROR(INDEX(Trades!$V$2:$V$14,MATCH(Trades!$E486,Trades!$U$2:$U$14,0)),""))</f>
        <v/>
      </c>
      <c r="G486" s="52" t="str">
        <f>IF(Trades!$A486="","",Trades!N486)</f>
        <v/>
      </c>
      <c r="H486" s="53" t="str">
        <f>IF(Trades!$A486="","",Trades!F486)</f>
        <v/>
      </c>
      <c r="I486" s="55" t="str">
        <f>IF(Trades!$A486="","",Trades!G486)</f>
        <v/>
      </c>
      <c r="J486" s="55" t="str">
        <f>IF(Trades!$A486="","",Trades!I486)</f>
        <v/>
      </c>
      <c r="K486" s="55" t="str">
        <f>IF(Trades!$A486="","",Trades!Q486)</f>
        <v/>
      </c>
      <c r="L486" s="53" t="str">
        <f>IF(Trades!$A486="","",Trades!F486)</f>
        <v/>
      </c>
      <c r="M486" s="55" t="str">
        <f>IF(Trades!$A486="","",Trades!M486)</f>
        <v/>
      </c>
      <c r="N486" s="55" t="str">
        <f>IF(Trades!$A486="","",Trades!R486)</f>
        <v/>
      </c>
      <c r="O486" s="55" t="str">
        <f>IF(Trades!$A486="","",Trades!J486)</f>
        <v/>
      </c>
      <c r="P486" s="54" t="str">
        <f>IF(Trades!$A486="","",Trades!H486)</f>
        <v/>
      </c>
      <c r="Q486" s="52" t="str">
        <f>IF(Trades!$A486="","",Trades!P486)</f>
        <v/>
      </c>
      <c r="R486" s="56" t="str">
        <f t="shared" si="119"/>
        <v/>
      </c>
      <c r="S486" s="56" t="str">
        <f t="shared" si="120"/>
        <v/>
      </c>
      <c r="T486" s="57" t="str">
        <f>IF(OR($A486="",$B486=""),"",IF(AND(IFERROR(LOOKUP(2,1/($B$9:$B$485=$B486),$AR$9:$AR485),1),NOT(AND(OR($F486="dividend",$F486="fee"),IFERROR(LOOKUP(2,1/($B$9:$B$485=$B486),$T$9:$T485),0)&gt;0))),IFERROR(LOOKUP(2,1/($B$9:$B$485=$B486),$T$9:$T485),0)+1,IFERROR(LOOKUP(2,1/($B$9:$B$485=$B486),$T$9:$T485),0)))</f>
        <v/>
      </c>
      <c r="U486" s="58" t="str">
        <f t="shared" si="121"/>
        <v/>
      </c>
      <c r="V486" s="58" t="str">
        <f>IF($A486="","",IF(OR($B486="",$C486="",$D486="",$E486="",$F486=""),"Missing required field",IF(COUNTIFS($A$9:$A486,$A486,$B$9:$B486,$B486)&gt;1,"Duplicate event ID",IF(AND($E486&lt;&gt;IFERROR(LOOKUP(2,1/($B$9:$B$485=$B486),$E$9:$E485),0),IFERROR(LOOKUP(2,1/($B$9:$B$485=$B486),$E$9:$E485),0)&gt;$E486),"Date out of order",IF(AND(OR($F486="buy_to_close",$F486="expire",$F486="roll",$F486="assignment",$F486="called_away"),$AF486=0),"Unknown lot",IF(OR(AND($F486="assignment",$AF486&gt;0,IF($AF486&gt;0,INDEX($AG$9:$AG$485,$AF486),"")&lt;&gt;"put"),AND($F486="called_away",$AF486&gt;0,IF($AF486&gt;0,INDEX($AG$9:$AG$485,$AF486),"")&lt;&gt;"call")),"Wrong option leg",IF(OR(AND(OR($F486="sell_put",$F486="sell_call"),OR($H486&lt;=0,$I486&lt;=0,$J486&lt;0)),AND(OR($F486="buy_to_close",$F486="expire",$F486="assignment",$F486="called_away"),OR($H486&lt;=0,$J486&lt;0)),AND($F486="roll",OR($H486&lt;=0,$I486&lt;=0,$J486&lt;0,$K486&lt;0)),AND(OR($F486="buy_shares",$F486="sell_shares"),OR($L486&lt;=0,$M486&lt;0)),AND(OR($F486="dividend",$F486="fee"),$N486&lt;0)),"Invalid value",IF(AND(OR($F486="sell_shares",$F486="called_away"),$AL486&lt;IF($F486="called_away",$AE486*$D486,$L486)),"Insufficient shares (capped)",IF(AND(OR($F486="buy_to_close",$F486="expire",$F486="roll",$F486="assignment",$F486="called_away"),$AF486&gt;0,$H486&gt;IF($AF486&gt;0,MAX(0,INDEX($AI$9:$AI$485,$AF486)-SUMIFS($AE$9:$AE$485,$G$9:$G$485,$G486,$B$9:$B$485,$B486)),0)),"Close quantity capped","OK")))))))))</f>
        <v/>
      </c>
      <c r="W486" s="59" t="str">
        <f t="shared" si="122"/>
        <v/>
      </c>
      <c r="X486" s="60" t="str">
        <f t="shared" si="123"/>
        <v/>
      </c>
      <c r="Y486" s="50" t="str">
        <f t="shared" si="124"/>
        <v/>
      </c>
      <c r="Z486" s="50" t="str">
        <f t="shared" si="125"/>
        <v/>
      </c>
      <c r="AA486" s="50" t="str">
        <f t="shared" si="126"/>
        <v/>
      </c>
      <c r="AB486" s="50" t="str">
        <f t="shared" si="127"/>
        <v/>
      </c>
      <c r="AC486" s="50" t="str">
        <f>IF($A486="","",IF($F486="assignment",IF($AF486&gt;0,INDEX($AH$9:$AH$485,$AF486),0)*$AE486*$D486,IF($F486="buy_shares",$M486*$AL486,0)))</f>
        <v/>
      </c>
      <c r="AD486" s="50" t="str">
        <f>IF($A486="","",IF($F486="called_away",IF($AF486&gt;0,INDEX($AH$9:$AH$485,$AF486),0)*$AL486,IF($F486="sell_shares",$M486*$AL486,0)))</f>
        <v/>
      </c>
      <c r="AE486" s="51" t="str">
        <f>IF($A486="","",IF(OR($F486="sell_put",$F486="sell_call"),IF(AND($H486&gt;0,$I486&gt;0,$J486&gt;=0),$H486,0),IF(OR($F486="buy_to_close",$F486="expire",$F486="roll",$F486="assignment",$F486="called_away"),IF(AND($AF486&gt;0,$H486&gt;0,IF($F486="assignment",IF($AF486&gt;0,INDEX($AG$9:$AG$485,$AF486),"")="put",TRUE),IF($F486="called_away",IF($AF486&gt;0,INDEX($AG$9:$AG$485,$AF486),"")="call",TRUE)),MIN($H486,IF($AF486&gt;0,MAX(0,INDEX($AI$9:$AI$485,$AF486)-SUMIFS($AE$9:$AE$485,$G$9:$G$485,$G486,$B$9:$B$485,$B486)),0)),0),0)))</f>
        <v/>
      </c>
      <c r="AF486" t="str">
        <f>IF($A486="","",IFERROR(MATCH(LEN($B486)&amp;":"&amp;$B486&amp;$G486,$AY$9:$AY$485,0),0))</f>
        <v/>
      </c>
      <c r="AG486" t="str">
        <f>IF($A486="","",IF($F486="sell_put","put",IF($F486="sell_call","call",IF($F486="roll",IF($AF486&gt;0,IF($AF486&gt;0,INDEX($AG$9:$AG$485,$AF486),""),""),IF($AF486&gt;0,IF($AF486&gt;0,INDEX($AG$9:$AG$485,$AF486),""),"")))))</f>
        <v/>
      </c>
      <c r="AH486" t="str">
        <f>IF($A486="","",IF(OR($F486="sell_put",$F486="sell_call",$F486="roll"),$I486,IF($AF486&gt;0,IF($AF486&gt;0,INDEX($AH$9:$AH$485,$AF486),0),0)))</f>
        <v/>
      </c>
      <c r="AI486" s="51" t="str">
        <f t="shared" si="128"/>
        <v/>
      </c>
      <c r="AJ486" s="51" t="str">
        <f>IF($A486="","",IFERROR(LOOKUP(2,1/($B$9:$B$485=$B486),$AM$9:$AM485),0))</f>
        <v/>
      </c>
      <c r="AK486" t="str">
        <f>IF($A486="","",IFERROR(LOOKUP(2,1/($B$9:$B$485=$B486),$AN$9:$AN485),0))</f>
        <v/>
      </c>
      <c r="AL486" s="51" t="str">
        <f t="shared" si="129"/>
        <v/>
      </c>
      <c r="AM486" s="51" t="str">
        <f t="shared" si="130"/>
        <v/>
      </c>
      <c r="AN486" t="str">
        <f t="shared" si="131"/>
        <v/>
      </c>
      <c r="AO486" s="50" t="str">
        <f>IF($A486="","",IFERROR(LOOKUP(2,1/($B$9:$B$485=$B486),$AO$9:$AO485),0)+IF($F486="sell_put",$I486*$AE486*$D486,IF($F486="roll",IF($AG486="put",($I486-IF($AF486&gt;0,INDEX($AH$9:$AH$485,$AF486),0))*$AE486*$D486,0),IF(AND(OR($F486="buy_to_close",$F486="expire",$F486="roll",$F486="assignment",$F486="called_away"),$F486&lt;&gt;"roll",$AG486="put"),-IF($AF486&gt;0,INDEX($AH$9:$AH$485,$AF486),0)*$AE486*$D486,0))))</f>
        <v/>
      </c>
      <c r="AP486" s="51" t="str">
        <f>IF($A486="","",IFERROR(LOOKUP(2,1/($B$9:$B$485=$B486),$AP$9:$AP485),0)+IF($F486="sell_put",$AE486*$D486,IF(AND(OR($F486="buy_to_close",$F486="expire",$F486="roll",$F486="assignment",$F486="called_away"),$F486&lt;&gt;"roll",$AG486="put"),-$AE486*$D486,0)))</f>
        <v/>
      </c>
      <c r="AQ486" s="51" t="str">
        <f>IF($A486="","",IFERROR(LOOKUP(2,1/($B$9:$B$485=$B486),$AQ$9:$AQ485),0)+IF(OR($F486="sell_put",$F486="sell_call"),$AE486,0)-IF(AND(OR($F486="buy_to_close",$F486="expire",$F486="roll",$F486="assignment",$F486="called_away"),$F486&lt;&gt;"roll"),$AE486,0))</f>
        <v/>
      </c>
      <c r="AR486" t="str">
        <f t="shared" si="132"/>
        <v/>
      </c>
      <c r="AS486" s="50" t="str">
        <f t="shared" si="133"/>
        <v/>
      </c>
      <c r="AT486" s="50" t="str">
        <f>IF($A486="","",MAX(IF($T486=IFERROR(LOOKUP(2,1/($B$9:$B$485=$B486),$T$9:$T485),0),IFERROR(LOOKUP(2,1/($B$9:$B$485=$B486),$AT$9:$AT485),0),0),$AS486))</f>
        <v/>
      </c>
      <c r="AU486" t="str">
        <f t="shared" si="134"/>
        <v/>
      </c>
      <c r="AV486" s="51">
        <f>IF($AU486="",0,IF(AND(IFERROR(LOOKUP(2,1/($B$9:$B$485=$B486),$AR$9:$AR485),1),NOT(AND(OR($F486="dividend",$F486="fee"),IFERROR(LOOKUP(2,1/($B$9:$B$485=$B486),$T$9:$T485),0)&gt;0))),ROW(),0))</f>
        <v>0</v>
      </c>
      <c r="AW486">
        <f>IF($A486="",0,IF($AV486&gt;0,MAX($AW$9:$AW$485)+1,MAX($AW$9:$AW$485)))</f>
        <v>0</v>
      </c>
      <c r="AX486">
        <f>IF($AU486="",0,IF(AND($AR486,OR(NOT(IFERROR(LOOKUP(2,1/($B$9:$B$485=$B486),$AR$9:$AR485),1)),IFERROR(LOOKUP(2,1/($B$9:$B$485=$B486),$T$9:$T485),0)=0)),ROW(),0))</f>
        <v>0</v>
      </c>
      <c r="AY486" t="str">
        <f t="shared" si="135"/>
        <v/>
      </c>
    </row>
    <row r="487" spans="1:51" ht="15" x14ac:dyDescent="0.25">
      <c r="A487" s="41" t="str">
        <f>IF(Trades!$A487="","",Trades!O487)</f>
        <v/>
      </c>
      <c r="B487" s="41" t="str">
        <f>IF(Trades!$A487="","",Trades!B487)</f>
        <v/>
      </c>
      <c r="C487" s="41" t="str">
        <f>IF(Trades!$A487="","",Trades!C487)</f>
        <v/>
      </c>
      <c r="D487" s="42" t="str">
        <f>IF(Trades!$A487="","",IF(Trades!$L487&gt;0,Trades!$L487,Trades!$C$6))</f>
        <v/>
      </c>
      <c r="E487" s="43" t="str">
        <f>IF(Trades!$A487="","",Trades!A487)</f>
        <v/>
      </c>
      <c r="F487" s="41" t="str">
        <f>IF(Trades!$A487="","",IFERROR(INDEX(Trades!$V$2:$V$14,MATCH(Trades!$E487,Trades!$U$2:$U$14,0)),""))</f>
        <v/>
      </c>
      <c r="G487" s="41" t="str">
        <f>IF(Trades!$A487="","",Trades!N487)</f>
        <v/>
      </c>
      <c r="H487" s="42" t="str">
        <f>IF(Trades!$A487="","",Trades!F487)</f>
        <v/>
      </c>
      <c r="I487" s="44" t="str">
        <f>IF(Trades!$A487="","",Trades!G487)</f>
        <v/>
      </c>
      <c r="J487" s="44" t="str">
        <f>IF(Trades!$A487="","",Trades!I487)</f>
        <v/>
      </c>
      <c r="K487" s="44" t="str">
        <f>IF(Trades!$A487="","",Trades!Q487)</f>
        <v/>
      </c>
      <c r="L487" s="42" t="str">
        <f>IF(Trades!$A487="","",Trades!F487)</f>
        <v/>
      </c>
      <c r="M487" s="44" t="str">
        <f>IF(Trades!$A487="","",Trades!M487)</f>
        <v/>
      </c>
      <c r="N487" s="44" t="str">
        <f>IF(Trades!$A487="","",Trades!R487)</f>
        <v/>
      </c>
      <c r="O487" s="44" t="str">
        <f>IF(Trades!$A487="","",Trades!J487)</f>
        <v/>
      </c>
      <c r="P487" s="43" t="str">
        <f>IF(Trades!$A487="","",Trades!H487)</f>
        <v/>
      </c>
      <c r="Q487" s="41" t="str">
        <f>IF(Trades!$A487="","",Trades!P487)</f>
        <v/>
      </c>
      <c r="R487" s="45" t="str">
        <f t="shared" si="119"/>
        <v/>
      </c>
      <c r="S487" s="45" t="str">
        <f t="shared" si="120"/>
        <v/>
      </c>
      <c r="T487" s="46" t="str">
        <f>IF(OR($A487="",$B487=""),"",IF(AND(IFERROR(LOOKUP(2,1/($B$9:$B$486=$B487),$AR$9:$AR486),1),NOT(AND(OR($F487="dividend",$F487="fee"),IFERROR(LOOKUP(2,1/($B$9:$B$486=$B487),$T$9:$T486),0)&gt;0))),IFERROR(LOOKUP(2,1/($B$9:$B$486=$B487),$T$9:$T486),0)+1,IFERROR(LOOKUP(2,1/($B$9:$B$486=$B487),$T$9:$T486),0)))</f>
        <v/>
      </c>
      <c r="U487" s="47" t="str">
        <f t="shared" si="121"/>
        <v/>
      </c>
      <c r="V487" s="47" t="str">
        <f>IF($A487="","",IF(OR($B487="",$C487="",$D487="",$E487="",$F487=""),"Missing required field",IF(COUNTIFS($A$9:$A487,$A487,$B$9:$B487,$B487)&gt;1,"Duplicate event ID",IF(AND($E487&lt;&gt;IFERROR(LOOKUP(2,1/($B$9:$B$486=$B487),$E$9:$E486),0),IFERROR(LOOKUP(2,1/($B$9:$B$486=$B487),$E$9:$E486),0)&gt;$E487),"Date out of order",IF(AND(OR($F487="buy_to_close",$F487="expire",$F487="roll",$F487="assignment",$F487="called_away"),$AF487=0),"Unknown lot",IF(OR(AND($F487="assignment",$AF487&gt;0,IF($AF487&gt;0,INDEX($AG$9:$AG$486,$AF487),"")&lt;&gt;"put"),AND($F487="called_away",$AF487&gt;0,IF($AF487&gt;0,INDEX($AG$9:$AG$486,$AF487),"")&lt;&gt;"call")),"Wrong option leg",IF(OR(AND(OR($F487="sell_put",$F487="sell_call"),OR($H487&lt;=0,$I487&lt;=0,$J487&lt;0)),AND(OR($F487="buy_to_close",$F487="expire",$F487="assignment",$F487="called_away"),OR($H487&lt;=0,$J487&lt;0)),AND($F487="roll",OR($H487&lt;=0,$I487&lt;=0,$J487&lt;0,$K487&lt;0)),AND(OR($F487="buy_shares",$F487="sell_shares"),OR($L487&lt;=0,$M487&lt;0)),AND(OR($F487="dividend",$F487="fee"),$N487&lt;0)),"Invalid value",IF(AND(OR($F487="sell_shares",$F487="called_away"),$AL487&lt;IF($F487="called_away",$AE487*$D487,$L487)),"Insufficient shares (capped)",IF(AND(OR($F487="buy_to_close",$F487="expire",$F487="roll",$F487="assignment",$F487="called_away"),$AF487&gt;0,$H487&gt;IF($AF487&gt;0,MAX(0,INDEX($AI$9:$AI$486,$AF487)-SUMIFS($AE$9:$AE$486,$G$9:$G$486,$G487,$B$9:$B$486,$B487)),0)),"Close quantity capped","OK")))))))))</f>
        <v/>
      </c>
      <c r="W487" s="48" t="str">
        <f t="shared" si="122"/>
        <v/>
      </c>
      <c r="X487" s="49" t="str">
        <f t="shared" si="123"/>
        <v/>
      </c>
      <c r="Y487" s="50" t="str">
        <f t="shared" si="124"/>
        <v/>
      </c>
      <c r="Z487" s="50" t="str">
        <f t="shared" si="125"/>
        <v/>
      </c>
      <c r="AA487" s="50" t="str">
        <f t="shared" si="126"/>
        <v/>
      </c>
      <c r="AB487" s="50" t="str">
        <f t="shared" si="127"/>
        <v/>
      </c>
      <c r="AC487" s="50" t="str">
        <f>IF($A487="","",IF($F487="assignment",IF($AF487&gt;0,INDEX($AH$9:$AH$486,$AF487),0)*$AE487*$D487,IF($F487="buy_shares",$M487*$AL487,0)))</f>
        <v/>
      </c>
      <c r="AD487" s="50" t="str">
        <f>IF($A487="","",IF($F487="called_away",IF($AF487&gt;0,INDEX($AH$9:$AH$486,$AF487),0)*$AL487,IF($F487="sell_shares",$M487*$AL487,0)))</f>
        <v/>
      </c>
      <c r="AE487" s="51" t="str">
        <f>IF($A487="","",IF(OR($F487="sell_put",$F487="sell_call"),IF(AND($H487&gt;0,$I487&gt;0,$J487&gt;=0),$H487,0),IF(OR($F487="buy_to_close",$F487="expire",$F487="roll",$F487="assignment",$F487="called_away"),IF(AND($AF487&gt;0,$H487&gt;0,IF($F487="assignment",IF($AF487&gt;0,INDEX($AG$9:$AG$486,$AF487),"")="put",TRUE),IF($F487="called_away",IF($AF487&gt;0,INDEX($AG$9:$AG$486,$AF487),"")="call",TRUE)),MIN($H487,IF($AF487&gt;0,MAX(0,INDEX($AI$9:$AI$486,$AF487)-SUMIFS($AE$9:$AE$486,$G$9:$G$486,$G487,$B$9:$B$486,$B487)),0)),0),0)))</f>
        <v/>
      </c>
      <c r="AF487" t="str">
        <f>IF($A487="","",IFERROR(MATCH(LEN($B487)&amp;":"&amp;$B487&amp;$G487,$AY$9:$AY$486,0),0))</f>
        <v/>
      </c>
      <c r="AG487" t="str">
        <f>IF($A487="","",IF($F487="sell_put","put",IF($F487="sell_call","call",IF($F487="roll",IF($AF487&gt;0,IF($AF487&gt;0,INDEX($AG$9:$AG$486,$AF487),""),""),IF($AF487&gt;0,IF($AF487&gt;0,INDEX($AG$9:$AG$486,$AF487),""),"")))))</f>
        <v/>
      </c>
      <c r="AH487" t="str">
        <f>IF($A487="","",IF(OR($F487="sell_put",$F487="sell_call",$F487="roll"),$I487,IF($AF487&gt;0,IF($AF487&gt;0,INDEX($AH$9:$AH$486,$AF487),0),0)))</f>
        <v/>
      </c>
      <c r="AI487" s="51" t="str">
        <f t="shared" si="128"/>
        <v/>
      </c>
      <c r="AJ487" s="51" t="str">
        <f>IF($A487="","",IFERROR(LOOKUP(2,1/($B$9:$B$486=$B487),$AM$9:$AM486),0))</f>
        <v/>
      </c>
      <c r="AK487" t="str">
        <f>IF($A487="","",IFERROR(LOOKUP(2,1/($B$9:$B$486=$B487),$AN$9:$AN486),0))</f>
        <v/>
      </c>
      <c r="AL487" s="51" t="str">
        <f t="shared" si="129"/>
        <v/>
      </c>
      <c r="AM487" s="51" t="str">
        <f t="shared" si="130"/>
        <v/>
      </c>
      <c r="AN487" t="str">
        <f t="shared" si="131"/>
        <v/>
      </c>
      <c r="AO487" s="50" t="str">
        <f>IF($A487="","",IFERROR(LOOKUP(2,1/($B$9:$B$486=$B487),$AO$9:$AO486),0)+IF($F487="sell_put",$I487*$AE487*$D487,IF($F487="roll",IF($AG487="put",($I487-IF($AF487&gt;0,INDEX($AH$9:$AH$486,$AF487),0))*$AE487*$D487,0),IF(AND(OR($F487="buy_to_close",$F487="expire",$F487="roll",$F487="assignment",$F487="called_away"),$F487&lt;&gt;"roll",$AG487="put"),-IF($AF487&gt;0,INDEX($AH$9:$AH$486,$AF487),0)*$AE487*$D487,0))))</f>
        <v/>
      </c>
      <c r="AP487" s="51" t="str">
        <f>IF($A487="","",IFERROR(LOOKUP(2,1/($B$9:$B$486=$B487),$AP$9:$AP486),0)+IF($F487="sell_put",$AE487*$D487,IF(AND(OR($F487="buy_to_close",$F487="expire",$F487="roll",$F487="assignment",$F487="called_away"),$F487&lt;&gt;"roll",$AG487="put"),-$AE487*$D487,0)))</f>
        <v/>
      </c>
      <c r="AQ487" s="51" t="str">
        <f>IF($A487="","",IFERROR(LOOKUP(2,1/($B$9:$B$486=$B487),$AQ$9:$AQ486),0)+IF(OR($F487="sell_put",$F487="sell_call"),$AE487,0)-IF(AND(OR($F487="buy_to_close",$F487="expire",$F487="roll",$F487="assignment",$F487="called_away"),$F487&lt;&gt;"roll"),$AE487,0))</f>
        <v/>
      </c>
      <c r="AR487" t="str">
        <f t="shared" si="132"/>
        <v/>
      </c>
      <c r="AS487" s="50" t="str">
        <f t="shared" si="133"/>
        <v/>
      </c>
      <c r="AT487" s="50" t="str">
        <f>IF($A487="","",MAX(IF($T487=IFERROR(LOOKUP(2,1/($B$9:$B$486=$B487),$T$9:$T486),0),IFERROR(LOOKUP(2,1/($B$9:$B$486=$B487),$AT$9:$AT486),0),0),$AS487))</f>
        <v/>
      </c>
      <c r="AU487" t="str">
        <f t="shared" si="134"/>
        <v/>
      </c>
      <c r="AV487" s="51">
        <f>IF($AU487="",0,IF(AND(IFERROR(LOOKUP(2,1/($B$9:$B$486=$B487),$AR$9:$AR486),1),NOT(AND(OR($F487="dividend",$F487="fee"),IFERROR(LOOKUP(2,1/($B$9:$B$486=$B487),$T$9:$T486),0)&gt;0))),ROW(),0))</f>
        <v>0</v>
      </c>
      <c r="AW487">
        <f>IF($A487="",0,IF($AV487&gt;0,MAX($AW$9:$AW$486)+1,MAX($AW$9:$AW$486)))</f>
        <v>0</v>
      </c>
      <c r="AX487">
        <f>IF($AU487="",0,IF(AND($AR487,OR(NOT(IFERROR(LOOKUP(2,1/($B$9:$B$486=$B487),$AR$9:$AR486),1)),IFERROR(LOOKUP(2,1/($B$9:$B$486=$B487),$T$9:$T486),0)=0)),ROW(),0))</f>
        <v>0</v>
      </c>
      <c r="AY487" t="str">
        <f t="shared" si="135"/>
        <v/>
      </c>
    </row>
    <row r="488" spans="1:51" ht="15" x14ac:dyDescent="0.25">
      <c r="A488" s="52" t="str">
        <f>IF(Trades!$A488="","",Trades!O488)</f>
        <v/>
      </c>
      <c r="B488" s="52" t="str">
        <f>IF(Trades!$A488="","",Trades!B488)</f>
        <v/>
      </c>
      <c r="C488" s="52" t="str">
        <f>IF(Trades!$A488="","",Trades!C488)</f>
        <v/>
      </c>
      <c r="D488" s="53" t="str">
        <f>IF(Trades!$A488="","",IF(Trades!$L488&gt;0,Trades!$L488,Trades!$C$6))</f>
        <v/>
      </c>
      <c r="E488" s="54" t="str">
        <f>IF(Trades!$A488="","",Trades!A488)</f>
        <v/>
      </c>
      <c r="F488" s="52" t="str">
        <f>IF(Trades!$A488="","",IFERROR(INDEX(Trades!$V$2:$V$14,MATCH(Trades!$E488,Trades!$U$2:$U$14,0)),""))</f>
        <v/>
      </c>
      <c r="G488" s="52" t="str">
        <f>IF(Trades!$A488="","",Trades!N488)</f>
        <v/>
      </c>
      <c r="H488" s="53" t="str">
        <f>IF(Trades!$A488="","",Trades!F488)</f>
        <v/>
      </c>
      <c r="I488" s="55" t="str">
        <f>IF(Trades!$A488="","",Trades!G488)</f>
        <v/>
      </c>
      <c r="J488" s="55" t="str">
        <f>IF(Trades!$A488="","",Trades!I488)</f>
        <v/>
      </c>
      <c r="K488" s="55" t="str">
        <f>IF(Trades!$A488="","",Trades!Q488)</f>
        <v/>
      </c>
      <c r="L488" s="53" t="str">
        <f>IF(Trades!$A488="","",Trades!F488)</f>
        <v/>
      </c>
      <c r="M488" s="55" t="str">
        <f>IF(Trades!$A488="","",Trades!M488)</f>
        <v/>
      </c>
      <c r="N488" s="55" t="str">
        <f>IF(Trades!$A488="","",Trades!R488)</f>
        <v/>
      </c>
      <c r="O488" s="55" t="str">
        <f>IF(Trades!$A488="","",Trades!J488)</f>
        <v/>
      </c>
      <c r="P488" s="54" t="str">
        <f>IF(Trades!$A488="","",Trades!H488)</f>
        <v/>
      </c>
      <c r="Q488" s="52" t="str">
        <f>IF(Trades!$A488="","",Trades!P488)</f>
        <v/>
      </c>
      <c r="R488" s="56" t="str">
        <f t="shared" si="119"/>
        <v/>
      </c>
      <c r="S488" s="56" t="str">
        <f t="shared" si="120"/>
        <v/>
      </c>
      <c r="T488" s="57" t="str">
        <f>IF(OR($A488="",$B488=""),"",IF(AND(IFERROR(LOOKUP(2,1/($B$9:$B$487=$B488),$AR$9:$AR487),1),NOT(AND(OR($F488="dividend",$F488="fee"),IFERROR(LOOKUP(2,1/($B$9:$B$487=$B488),$T$9:$T487),0)&gt;0))),IFERROR(LOOKUP(2,1/($B$9:$B$487=$B488),$T$9:$T487),0)+1,IFERROR(LOOKUP(2,1/($B$9:$B$487=$B488),$T$9:$T487),0)))</f>
        <v/>
      </c>
      <c r="U488" s="58" t="str">
        <f t="shared" si="121"/>
        <v/>
      </c>
      <c r="V488" s="58" t="str">
        <f>IF($A488="","",IF(OR($B488="",$C488="",$D488="",$E488="",$F488=""),"Missing required field",IF(COUNTIFS($A$9:$A488,$A488,$B$9:$B488,$B488)&gt;1,"Duplicate event ID",IF(AND($E488&lt;&gt;IFERROR(LOOKUP(2,1/($B$9:$B$487=$B488),$E$9:$E487),0),IFERROR(LOOKUP(2,1/($B$9:$B$487=$B488),$E$9:$E487),0)&gt;$E488),"Date out of order",IF(AND(OR($F488="buy_to_close",$F488="expire",$F488="roll",$F488="assignment",$F488="called_away"),$AF488=0),"Unknown lot",IF(OR(AND($F488="assignment",$AF488&gt;0,IF($AF488&gt;0,INDEX($AG$9:$AG$487,$AF488),"")&lt;&gt;"put"),AND($F488="called_away",$AF488&gt;0,IF($AF488&gt;0,INDEX($AG$9:$AG$487,$AF488),"")&lt;&gt;"call")),"Wrong option leg",IF(OR(AND(OR($F488="sell_put",$F488="sell_call"),OR($H488&lt;=0,$I488&lt;=0,$J488&lt;0)),AND(OR($F488="buy_to_close",$F488="expire",$F488="assignment",$F488="called_away"),OR($H488&lt;=0,$J488&lt;0)),AND($F488="roll",OR($H488&lt;=0,$I488&lt;=0,$J488&lt;0,$K488&lt;0)),AND(OR($F488="buy_shares",$F488="sell_shares"),OR($L488&lt;=0,$M488&lt;0)),AND(OR($F488="dividend",$F488="fee"),$N488&lt;0)),"Invalid value",IF(AND(OR($F488="sell_shares",$F488="called_away"),$AL488&lt;IF($F488="called_away",$AE488*$D488,$L488)),"Insufficient shares (capped)",IF(AND(OR($F488="buy_to_close",$F488="expire",$F488="roll",$F488="assignment",$F488="called_away"),$AF488&gt;0,$H488&gt;IF($AF488&gt;0,MAX(0,INDEX($AI$9:$AI$487,$AF488)-SUMIFS($AE$9:$AE$487,$G$9:$G$487,$G488,$B$9:$B$487,$B488)),0)),"Close quantity capped","OK")))))))))</f>
        <v/>
      </c>
      <c r="W488" s="59" t="str">
        <f t="shared" si="122"/>
        <v/>
      </c>
      <c r="X488" s="60" t="str">
        <f t="shared" si="123"/>
        <v/>
      </c>
      <c r="Y488" s="50" t="str">
        <f t="shared" si="124"/>
        <v/>
      </c>
      <c r="Z488" s="50" t="str">
        <f t="shared" si="125"/>
        <v/>
      </c>
      <c r="AA488" s="50" t="str">
        <f t="shared" si="126"/>
        <v/>
      </c>
      <c r="AB488" s="50" t="str">
        <f t="shared" si="127"/>
        <v/>
      </c>
      <c r="AC488" s="50" t="str">
        <f>IF($A488="","",IF($F488="assignment",IF($AF488&gt;0,INDEX($AH$9:$AH$487,$AF488),0)*$AE488*$D488,IF($F488="buy_shares",$M488*$AL488,0)))</f>
        <v/>
      </c>
      <c r="AD488" s="50" t="str">
        <f>IF($A488="","",IF($F488="called_away",IF($AF488&gt;0,INDEX($AH$9:$AH$487,$AF488),0)*$AL488,IF($F488="sell_shares",$M488*$AL488,0)))</f>
        <v/>
      </c>
      <c r="AE488" s="51" t="str">
        <f>IF($A488="","",IF(OR($F488="sell_put",$F488="sell_call"),IF(AND($H488&gt;0,$I488&gt;0,$J488&gt;=0),$H488,0),IF(OR($F488="buy_to_close",$F488="expire",$F488="roll",$F488="assignment",$F488="called_away"),IF(AND($AF488&gt;0,$H488&gt;0,IF($F488="assignment",IF($AF488&gt;0,INDEX($AG$9:$AG$487,$AF488),"")="put",TRUE),IF($F488="called_away",IF($AF488&gt;0,INDEX($AG$9:$AG$487,$AF488),"")="call",TRUE)),MIN($H488,IF($AF488&gt;0,MAX(0,INDEX($AI$9:$AI$487,$AF488)-SUMIFS($AE$9:$AE$487,$G$9:$G$487,$G488,$B$9:$B$487,$B488)),0)),0),0)))</f>
        <v/>
      </c>
      <c r="AF488" t="str">
        <f>IF($A488="","",IFERROR(MATCH(LEN($B488)&amp;":"&amp;$B488&amp;$G488,$AY$9:$AY$487,0),0))</f>
        <v/>
      </c>
      <c r="AG488" t="str">
        <f>IF($A488="","",IF($F488="sell_put","put",IF($F488="sell_call","call",IF($F488="roll",IF($AF488&gt;0,IF($AF488&gt;0,INDEX($AG$9:$AG$487,$AF488),""),""),IF($AF488&gt;0,IF($AF488&gt;0,INDEX($AG$9:$AG$487,$AF488),""),"")))))</f>
        <v/>
      </c>
      <c r="AH488" t="str">
        <f>IF($A488="","",IF(OR($F488="sell_put",$F488="sell_call",$F488="roll"),$I488,IF($AF488&gt;0,IF($AF488&gt;0,INDEX($AH$9:$AH$487,$AF488),0),0)))</f>
        <v/>
      </c>
      <c r="AI488" s="51" t="str">
        <f t="shared" si="128"/>
        <v/>
      </c>
      <c r="AJ488" s="51" t="str">
        <f>IF($A488="","",IFERROR(LOOKUP(2,1/($B$9:$B$487=$B488),$AM$9:$AM487),0))</f>
        <v/>
      </c>
      <c r="AK488" t="str">
        <f>IF($A488="","",IFERROR(LOOKUP(2,1/($B$9:$B$487=$B488),$AN$9:$AN487),0))</f>
        <v/>
      </c>
      <c r="AL488" s="51" t="str">
        <f t="shared" si="129"/>
        <v/>
      </c>
      <c r="AM488" s="51" t="str">
        <f t="shared" si="130"/>
        <v/>
      </c>
      <c r="AN488" t="str">
        <f t="shared" si="131"/>
        <v/>
      </c>
      <c r="AO488" s="50" t="str">
        <f>IF($A488="","",IFERROR(LOOKUP(2,1/($B$9:$B$487=$B488),$AO$9:$AO487),0)+IF($F488="sell_put",$I488*$AE488*$D488,IF($F488="roll",IF($AG488="put",($I488-IF($AF488&gt;0,INDEX($AH$9:$AH$487,$AF488),0))*$AE488*$D488,0),IF(AND(OR($F488="buy_to_close",$F488="expire",$F488="roll",$F488="assignment",$F488="called_away"),$F488&lt;&gt;"roll",$AG488="put"),-IF($AF488&gt;0,INDEX($AH$9:$AH$487,$AF488),0)*$AE488*$D488,0))))</f>
        <v/>
      </c>
      <c r="AP488" s="51" t="str">
        <f>IF($A488="","",IFERROR(LOOKUP(2,1/($B$9:$B$487=$B488),$AP$9:$AP487),0)+IF($F488="sell_put",$AE488*$D488,IF(AND(OR($F488="buy_to_close",$F488="expire",$F488="roll",$F488="assignment",$F488="called_away"),$F488&lt;&gt;"roll",$AG488="put"),-$AE488*$D488,0)))</f>
        <v/>
      </c>
      <c r="AQ488" s="51" t="str">
        <f>IF($A488="","",IFERROR(LOOKUP(2,1/($B$9:$B$487=$B488),$AQ$9:$AQ487),0)+IF(OR($F488="sell_put",$F488="sell_call"),$AE488,0)-IF(AND(OR($F488="buy_to_close",$F488="expire",$F488="roll",$F488="assignment",$F488="called_away"),$F488&lt;&gt;"roll"),$AE488,0))</f>
        <v/>
      </c>
      <c r="AR488" t="str">
        <f t="shared" si="132"/>
        <v/>
      </c>
      <c r="AS488" s="50" t="str">
        <f t="shared" si="133"/>
        <v/>
      </c>
      <c r="AT488" s="50" t="str">
        <f>IF($A488="","",MAX(IF($T488=IFERROR(LOOKUP(2,1/($B$9:$B$487=$B488),$T$9:$T487),0),IFERROR(LOOKUP(2,1/($B$9:$B$487=$B488),$AT$9:$AT487),0),0),$AS488))</f>
        <v/>
      </c>
      <c r="AU488" t="str">
        <f t="shared" si="134"/>
        <v/>
      </c>
      <c r="AV488" s="51">
        <f>IF($AU488="",0,IF(AND(IFERROR(LOOKUP(2,1/($B$9:$B$487=$B488),$AR$9:$AR487),1),NOT(AND(OR($F488="dividend",$F488="fee"),IFERROR(LOOKUP(2,1/($B$9:$B$487=$B488),$T$9:$T487),0)&gt;0))),ROW(),0))</f>
        <v>0</v>
      </c>
      <c r="AW488">
        <f>IF($A488="",0,IF($AV488&gt;0,MAX($AW$9:$AW$487)+1,MAX($AW$9:$AW$487)))</f>
        <v>0</v>
      </c>
      <c r="AX488">
        <f>IF($AU488="",0,IF(AND($AR488,OR(NOT(IFERROR(LOOKUP(2,1/($B$9:$B$487=$B488),$AR$9:$AR487),1)),IFERROR(LOOKUP(2,1/($B$9:$B$487=$B488),$T$9:$T487),0)=0)),ROW(),0))</f>
        <v>0</v>
      </c>
      <c r="AY488" t="str">
        <f t="shared" si="135"/>
        <v/>
      </c>
    </row>
    <row r="489" spans="1:51" ht="15" x14ac:dyDescent="0.25">
      <c r="A489" s="41" t="str">
        <f>IF(Trades!$A489="","",Trades!O489)</f>
        <v/>
      </c>
      <c r="B489" s="41" t="str">
        <f>IF(Trades!$A489="","",Trades!B489)</f>
        <v/>
      </c>
      <c r="C489" s="41" t="str">
        <f>IF(Trades!$A489="","",Trades!C489)</f>
        <v/>
      </c>
      <c r="D489" s="42" t="str">
        <f>IF(Trades!$A489="","",IF(Trades!$L489&gt;0,Trades!$L489,Trades!$C$6))</f>
        <v/>
      </c>
      <c r="E489" s="43" t="str">
        <f>IF(Trades!$A489="","",Trades!A489)</f>
        <v/>
      </c>
      <c r="F489" s="41" t="str">
        <f>IF(Trades!$A489="","",IFERROR(INDEX(Trades!$V$2:$V$14,MATCH(Trades!$E489,Trades!$U$2:$U$14,0)),""))</f>
        <v/>
      </c>
      <c r="G489" s="41" t="str">
        <f>IF(Trades!$A489="","",Trades!N489)</f>
        <v/>
      </c>
      <c r="H489" s="42" t="str">
        <f>IF(Trades!$A489="","",Trades!F489)</f>
        <v/>
      </c>
      <c r="I489" s="44" t="str">
        <f>IF(Trades!$A489="","",Trades!G489)</f>
        <v/>
      </c>
      <c r="J489" s="44" t="str">
        <f>IF(Trades!$A489="","",Trades!I489)</f>
        <v/>
      </c>
      <c r="K489" s="44" t="str">
        <f>IF(Trades!$A489="","",Trades!Q489)</f>
        <v/>
      </c>
      <c r="L489" s="42" t="str">
        <f>IF(Trades!$A489="","",Trades!F489)</f>
        <v/>
      </c>
      <c r="M489" s="44" t="str">
        <f>IF(Trades!$A489="","",Trades!M489)</f>
        <v/>
      </c>
      <c r="N489" s="44" t="str">
        <f>IF(Trades!$A489="","",Trades!R489)</f>
        <v/>
      </c>
      <c r="O489" s="44" t="str">
        <f>IF(Trades!$A489="","",Trades!J489)</f>
        <v/>
      </c>
      <c r="P489" s="43" t="str">
        <f>IF(Trades!$A489="","",Trades!H489)</f>
        <v/>
      </c>
      <c r="Q489" s="41" t="str">
        <f>IF(Trades!$A489="","",Trades!P489)</f>
        <v/>
      </c>
      <c r="R489" s="45" t="str">
        <f t="shared" si="119"/>
        <v/>
      </c>
      <c r="S489" s="45" t="str">
        <f t="shared" si="120"/>
        <v/>
      </c>
      <c r="T489" s="46" t="str">
        <f>IF(OR($A489="",$B489=""),"",IF(AND(IFERROR(LOOKUP(2,1/($B$9:$B$488=$B489),$AR$9:$AR488),1),NOT(AND(OR($F489="dividend",$F489="fee"),IFERROR(LOOKUP(2,1/($B$9:$B$488=$B489),$T$9:$T488),0)&gt;0))),IFERROR(LOOKUP(2,1/($B$9:$B$488=$B489),$T$9:$T488),0)+1,IFERROR(LOOKUP(2,1/($B$9:$B$488=$B489),$T$9:$T488),0)))</f>
        <v/>
      </c>
      <c r="U489" s="47" t="str">
        <f t="shared" si="121"/>
        <v/>
      </c>
      <c r="V489" s="47" t="str">
        <f>IF($A489="","",IF(OR($B489="",$C489="",$D489="",$E489="",$F489=""),"Missing required field",IF(COUNTIFS($A$9:$A489,$A489,$B$9:$B489,$B489)&gt;1,"Duplicate event ID",IF(AND($E489&lt;&gt;IFERROR(LOOKUP(2,1/($B$9:$B$488=$B489),$E$9:$E488),0),IFERROR(LOOKUP(2,1/($B$9:$B$488=$B489),$E$9:$E488),0)&gt;$E489),"Date out of order",IF(AND(OR($F489="buy_to_close",$F489="expire",$F489="roll",$F489="assignment",$F489="called_away"),$AF489=0),"Unknown lot",IF(OR(AND($F489="assignment",$AF489&gt;0,IF($AF489&gt;0,INDEX($AG$9:$AG$488,$AF489),"")&lt;&gt;"put"),AND($F489="called_away",$AF489&gt;0,IF($AF489&gt;0,INDEX($AG$9:$AG$488,$AF489),"")&lt;&gt;"call")),"Wrong option leg",IF(OR(AND(OR($F489="sell_put",$F489="sell_call"),OR($H489&lt;=0,$I489&lt;=0,$J489&lt;0)),AND(OR($F489="buy_to_close",$F489="expire",$F489="assignment",$F489="called_away"),OR($H489&lt;=0,$J489&lt;0)),AND($F489="roll",OR($H489&lt;=0,$I489&lt;=0,$J489&lt;0,$K489&lt;0)),AND(OR($F489="buy_shares",$F489="sell_shares"),OR($L489&lt;=0,$M489&lt;0)),AND(OR($F489="dividend",$F489="fee"),$N489&lt;0)),"Invalid value",IF(AND(OR($F489="sell_shares",$F489="called_away"),$AL489&lt;IF($F489="called_away",$AE489*$D489,$L489)),"Insufficient shares (capped)",IF(AND(OR($F489="buy_to_close",$F489="expire",$F489="roll",$F489="assignment",$F489="called_away"),$AF489&gt;0,$H489&gt;IF($AF489&gt;0,MAX(0,INDEX($AI$9:$AI$488,$AF489)-SUMIFS($AE$9:$AE$488,$G$9:$G$488,$G489,$B$9:$B$488,$B489)),0)),"Close quantity capped","OK")))))))))</f>
        <v/>
      </c>
      <c r="W489" s="48" t="str">
        <f t="shared" si="122"/>
        <v/>
      </c>
      <c r="X489" s="49" t="str">
        <f t="shared" si="123"/>
        <v/>
      </c>
      <c r="Y489" s="50" t="str">
        <f t="shared" si="124"/>
        <v/>
      </c>
      <c r="Z489" s="50" t="str">
        <f t="shared" si="125"/>
        <v/>
      </c>
      <c r="AA489" s="50" t="str">
        <f t="shared" si="126"/>
        <v/>
      </c>
      <c r="AB489" s="50" t="str">
        <f t="shared" si="127"/>
        <v/>
      </c>
      <c r="AC489" s="50" t="str">
        <f>IF($A489="","",IF($F489="assignment",IF($AF489&gt;0,INDEX($AH$9:$AH$488,$AF489),0)*$AE489*$D489,IF($F489="buy_shares",$M489*$AL489,0)))</f>
        <v/>
      </c>
      <c r="AD489" s="50" t="str">
        <f>IF($A489="","",IF($F489="called_away",IF($AF489&gt;0,INDEX($AH$9:$AH$488,$AF489),0)*$AL489,IF($F489="sell_shares",$M489*$AL489,0)))</f>
        <v/>
      </c>
      <c r="AE489" s="51" t="str">
        <f>IF($A489="","",IF(OR($F489="sell_put",$F489="sell_call"),IF(AND($H489&gt;0,$I489&gt;0,$J489&gt;=0),$H489,0),IF(OR($F489="buy_to_close",$F489="expire",$F489="roll",$F489="assignment",$F489="called_away"),IF(AND($AF489&gt;0,$H489&gt;0,IF($F489="assignment",IF($AF489&gt;0,INDEX($AG$9:$AG$488,$AF489),"")="put",TRUE),IF($F489="called_away",IF($AF489&gt;0,INDEX($AG$9:$AG$488,$AF489),"")="call",TRUE)),MIN($H489,IF($AF489&gt;0,MAX(0,INDEX($AI$9:$AI$488,$AF489)-SUMIFS($AE$9:$AE$488,$G$9:$G$488,$G489,$B$9:$B$488,$B489)),0)),0),0)))</f>
        <v/>
      </c>
      <c r="AF489" t="str">
        <f>IF($A489="","",IFERROR(MATCH(LEN($B489)&amp;":"&amp;$B489&amp;$G489,$AY$9:$AY$488,0),0))</f>
        <v/>
      </c>
      <c r="AG489" t="str">
        <f>IF($A489="","",IF($F489="sell_put","put",IF($F489="sell_call","call",IF($F489="roll",IF($AF489&gt;0,IF($AF489&gt;0,INDEX($AG$9:$AG$488,$AF489),""),""),IF($AF489&gt;0,IF($AF489&gt;0,INDEX($AG$9:$AG$488,$AF489),""),"")))))</f>
        <v/>
      </c>
      <c r="AH489" t="str">
        <f>IF($A489="","",IF(OR($F489="sell_put",$F489="sell_call",$F489="roll"),$I489,IF($AF489&gt;0,IF($AF489&gt;0,INDEX($AH$9:$AH$488,$AF489),0),0)))</f>
        <v/>
      </c>
      <c r="AI489" s="51" t="str">
        <f t="shared" si="128"/>
        <v/>
      </c>
      <c r="AJ489" s="51" t="str">
        <f>IF($A489="","",IFERROR(LOOKUP(2,1/($B$9:$B$488=$B489),$AM$9:$AM488),0))</f>
        <v/>
      </c>
      <c r="AK489" t="str">
        <f>IF($A489="","",IFERROR(LOOKUP(2,1/($B$9:$B$488=$B489),$AN$9:$AN488),0))</f>
        <v/>
      </c>
      <c r="AL489" s="51" t="str">
        <f t="shared" si="129"/>
        <v/>
      </c>
      <c r="AM489" s="51" t="str">
        <f t="shared" si="130"/>
        <v/>
      </c>
      <c r="AN489" t="str">
        <f t="shared" si="131"/>
        <v/>
      </c>
      <c r="AO489" s="50" t="str">
        <f>IF($A489="","",IFERROR(LOOKUP(2,1/($B$9:$B$488=$B489),$AO$9:$AO488),0)+IF($F489="sell_put",$I489*$AE489*$D489,IF($F489="roll",IF($AG489="put",($I489-IF($AF489&gt;0,INDEX($AH$9:$AH$488,$AF489),0))*$AE489*$D489,0),IF(AND(OR($F489="buy_to_close",$F489="expire",$F489="roll",$F489="assignment",$F489="called_away"),$F489&lt;&gt;"roll",$AG489="put"),-IF($AF489&gt;0,INDEX($AH$9:$AH$488,$AF489),0)*$AE489*$D489,0))))</f>
        <v/>
      </c>
      <c r="AP489" s="51" t="str">
        <f>IF($A489="","",IFERROR(LOOKUP(2,1/($B$9:$B$488=$B489),$AP$9:$AP488),0)+IF($F489="sell_put",$AE489*$D489,IF(AND(OR($F489="buy_to_close",$F489="expire",$F489="roll",$F489="assignment",$F489="called_away"),$F489&lt;&gt;"roll",$AG489="put"),-$AE489*$D489,0)))</f>
        <v/>
      </c>
      <c r="AQ489" s="51" t="str">
        <f>IF($A489="","",IFERROR(LOOKUP(2,1/($B$9:$B$488=$B489),$AQ$9:$AQ488),0)+IF(OR($F489="sell_put",$F489="sell_call"),$AE489,0)-IF(AND(OR($F489="buy_to_close",$F489="expire",$F489="roll",$F489="assignment",$F489="called_away"),$F489&lt;&gt;"roll"),$AE489,0))</f>
        <v/>
      </c>
      <c r="AR489" t="str">
        <f t="shared" si="132"/>
        <v/>
      </c>
      <c r="AS489" s="50" t="str">
        <f t="shared" si="133"/>
        <v/>
      </c>
      <c r="AT489" s="50" t="str">
        <f>IF($A489="","",MAX(IF($T489=IFERROR(LOOKUP(2,1/($B$9:$B$488=$B489),$T$9:$T488),0),IFERROR(LOOKUP(2,1/($B$9:$B$488=$B489),$AT$9:$AT488),0),0),$AS489))</f>
        <v/>
      </c>
      <c r="AU489" t="str">
        <f t="shared" si="134"/>
        <v/>
      </c>
      <c r="AV489" s="51">
        <f>IF($AU489="",0,IF(AND(IFERROR(LOOKUP(2,1/($B$9:$B$488=$B489),$AR$9:$AR488),1),NOT(AND(OR($F489="dividend",$F489="fee"),IFERROR(LOOKUP(2,1/($B$9:$B$488=$B489),$T$9:$T488),0)&gt;0))),ROW(),0))</f>
        <v>0</v>
      </c>
      <c r="AW489">
        <f>IF($A489="",0,IF($AV489&gt;0,MAX($AW$9:$AW$488)+1,MAX($AW$9:$AW$488)))</f>
        <v>0</v>
      </c>
      <c r="AX489">
        <f>IF($AU489="",0,IF(AND($AR489,OR(NOT(IFERROR(LOOKUP(2,1/($B$9:$B$488=$B489),$AR$9:$AR488),1)),IFERROR(LOOKUP(2,1/($B$9:$B$488=$B489),$T$9:$T488),0)=0)),ROW(),0))</f>
        <v>0</v>
      </c>
      <c r="AY489" t="str">
        <f t="shared" si="135"/>
        <v/>
      </c>
    </row>
    <row r="490" spans="1:51" ht="15" x14ac:dyDescent="0.25">
      <c r="A490" s="52" t="str">
        <f>IF(Trades!$A490="","",Trades!O490)</f>
        <v/>
      </c>
      <c r="B490" s="52" t="str">
        <f>IF(Trades!$A490="","",Trades!B490)</f>
        <v/>
      </c>
      <c r="C490" s="52" t="str">
        <f>IF(Trades!$A490="","",Trades!C490)</f>
        <v/>
      </c>
      <c r="D490" s="53" t="str">
        <f>IF(Trades!$A490="","",IF(Trades!$L490&gt;0,Trades!$L490,Trades!$C$6))</f>
        <v/>
      </c>
      <c r="E490" s="54" t="str">
        <f>IF(Trades!$A490="","",Trades!A490)</f>
        <v/>
      </c>
      <c r="F490" s="52" t="str">
        <f>IF(Trades!$A490="","",IFERROR(INDEX(Trades!$V$2:$V$14,MATCH(Trades!$E490,Trades!$U$2:$U$14,0)),""))</f>
        <v/>
      </c>
      <c r="G490" s="52" t="str">
        <f>IF(Trades!$A490="","",Trades!N490)</f>
        <v/>
      </c>
      <c r="H490" s="53" t="str">
        <f>IF(Trades!$A490="","",Trades!F490)</f>
        <v/>
      </c>
      <c r="I490" s="55" t="str">
        <f>IF(Trades!$A490="","",Trades!G490)</f>
        <v/>
      </c>
      <c r="J490" s="55" t="str">
        <f>IF(Trades!$A490="","",Trades!I490)</f>
        <v/>
      </c>
      <c r="K490" s="55" t="str">
        <f>IF(Trades!$A490="","",Trades!Q490)</f>
        <v/>
      </c>
      <c r="L490" s="53" t="str">
        <f>IF(Trades!$A490="","",Trades!F490)</f>
        <v/>
      </c>
      <c r="M490" s="55" t="str">
        <f>IF(Trades!$A490="","",Trades!M490)</f>
        <v/>
      </c>
      <c r="N490" s="55" t="str">
        <f>IF(Trades!$A490="","",Trades!R490)</f>
        <v/>
      </c>
      <c r="O490" s="55" t="str">
        <f>IF(Trades!$A490="","",Trades!J490)</f>
        <v/>
      </c>
      <c r="P490" s="54" t="str">
        <f>IF(Trades!$A490="","",Trades!H490)</f>
        <v/>
      </c>
      <c r="Q490" s="52" t="str">
        <f>IF(Trades!$A490="","",Trades!P490)</f>
        <v/>
      </c>
      <c r="R490" s="56" t="str">
        <f t="shared" si="119"/>
        <v/>
      </c>
      <c r="S490" s="56" t="str">
        <f t="shared" si="120"/>
        <v/>
      </c>
      <c r="T490" s="57" t="str">
        <f>IF(OR($A490="",$B490=""),"",IF(AND(IFERROR(LOOKUP(2,1/($B$9:$B$489=$B490),$AR$9:$AR489),1),NOT(AND(OR($F490="dividend",$F490="fee"),IFERROR(LOOKUP(2,1/($B$9:$B$489=$B490),$T$9:$T489),0)&gt;0))),IFERROR(LOOKUP(2,1/($B$9:$B$489=$B490),$T$9:$T489),0)+1,IFERROR(LOOKUP(2,1/($B$9:$B$489=$B490),$T$9:$T489),0)))</f>
        <v/>
      </c>
      <c r="U490" s="58" t="str">
        <f t="shared" si="121"/>
        <v/>
      </c>
      <c r="V490" s="58" t="str">
        <f>IF($A490="","",IF(OR($B490="",$C490="",$D490="",$E490="",$F490=""),"Missing required field",IF(COUNTIFS($A$9:$A490,$A490,$B$9:$B490,$B490)&gt;1,"Duplicate event ID",IF(AND($E490&lt;&gt;IFERROR(LOOKUP(2,1/($B$9:$B$489=$B490),$E$9:$E489),0),IFERROR(LOOKUP(2,1/($B$9:$B$489=$B490),$E$9:$E489),0)&gt;$E490),"Date out of order",IF(AND(OR($F490="buy_to_close",$F490="expire",$F490="roll",$F490="assignment",$F490="called_away"),$AF490=0),"Unknown lot",IF(OR(AND($F490="assignment",$AF490&gt;0,IF($AF490&gt;0,INDEX($AG$9:$AG$489,$AF490),"")&lt;&gt;"put"),AND($F490="called_away",$AF490&gt;0,IF($AF490&gt;0,INDEX($AG$9:$AG$489,$AF490),"")&lt;&gt;"call")),"Wrong option leg",IF(OR(AND(OR($F490="sell_put",$F490="sell_call"),OR($H490&lt;=0,$I490&lt;=0,$J490&lt;0)),AND(OR($F490="buy_to_close",$F490="expire",$F490="assignment",$F490="called_away"),OR($H490&lt;=0,$J490&lt;0)),AND($F490="roll",OR($H490&lt;=0,$I490&lt;=0,$J490&lt;0,$K490&lt;0)),AND(OR($F490="buy_shares",$F490="sell_shares"),OR($L490&lt;=0,$M490&lt;0)),AND(OR($F490="dividend",$F490="fee"),$N490&lt;0)),"Invalid value",IF(AND(OR($F490="sell_shares",$F490="called_away"),$AL490&lt;IF($F490="called_away",$AE490*$D490,$L490)),"Insufficient shares (capped)",IF(AND(OR($F490="buy_to_close",$F490="expire",$F490="roll",$F490="assignment",$F490="called_away"),$AF490&gt;0,$H490&gt;IF($AF490&gt;0,MAX(0,INDEX($AI$9:$AI$489,$AF490)-SUMIFS($AE$9:$AE$489,$G$9:$G$489,$G490,$B$9:$B$489,$B490)),0)),"Close quantity capped","OK")))))))))</f>
        <v/>
      </c>
      <c r="W490" s="59" t="str">
        <f t="shared" si="122"/>
        <v/>
      </c>
      <c r="X490" s="60" t="str">
        <f t="shared" si="123"/>
        <v/>
      </c>
      <c r="Y490" s="50" t="str">
        <f t="shared" si="124"/>
        <v/>
      </c>
      <c r="Z490" s="50" t="str">
        <f t="shared" si="125"/>
        <v/>
      </c>
      <c r="AA490" s="50" t="str">
        <f t="shared" si="126"/>
        <v/>
      </c>
      <c r="AB490" s="50" t="str">
        <f t="shared" si="127"/>
        <v/>
      </c>
      <c r="AC490" s="50" t="str">
        <f>IF($A490="","",IF($F490="assignment",IF($AF490&gt;0,INDEX($AH$9:$AH$489,$AF490),0)*$AE490*$D490,IF($F490="buy_shares",$M490*$AL490,0)))</f>
        <v/>
      </c>
      <c r="AD490" s="50" t="str">
        <f>IF($A490="","",IF($F490="called_away",IF($AF490&gt;0,INDEX($AH$9:$AH$489,$AF490),0)*$AL490,IF($F490="sell_shares",$M490*$AL490,0)))</f>
        <v/>
      </c>
      <c r="AE490" s="51" t="str">
        <f>IF($A490="","",IF(OR($F490="sell_put",$F490="sell_call"),IF(AND($H490&gt;0,$I490&gt;0,$J490&gt;=0),$H490,0),IF(OR($F490="buy_to_close",$F490="expire",$F490="roll",$F490="assignment",$F490="called_away"),IF(AND($AF490&gt;0,$H490&gt;0,IF($F490="assignment",IF($AF490&gt;0,INDEX($AG$9:$AG$489,$AF490),"")="put",TRUE),IF($F490="called_away",IF($AF490&gt;0,INDEX($AG$9:$AG$489,$AF490),"")="call",TRUE)),MIN($H490,IF($AF490&gt;0,MAX(0,INDEX($AI$9:$AI$489,$AF490)-SUMIFS($AE$9:$AE$489,$G$9:$G$489,$G490,$B$9:$B$489,$B490)),0)),0),0)))</f>
        <v/>
      </c>
      <c r="AF490" t="str">
        <f>IF($A490="","",IFERROR(MATCH(LEN($B490)&amp;":"&amp;$B490&amp;$G490,$AY$9:$AY$489,0),0))</f>
        <v/>
      </c>
      <c r="AG490" t="str">
        <f>IF($A490="","",IF($F490="sell_put","put",IF($F490="sell_call","call",IF($F490="roll",IF($AF490&gt;0,IF($AF490&gt;0,INDEX($AG$9:$AG$489,$AF490),""),""),IF($AF490&gt;0,IF($AF490&gt;0,INDEX($AG$9:$AG$489,$AF490),""),"")))))</f>
        <v/>
      </c>
      <c r="AH490" t="str">
        <f>IF($A490="","",IF(OR($F490="sell_put",$F490="sell_call",$F490="roll"),$I490,IF($AF490&gt;0,IF($AF490&gt;0,INDEX($AH$9:$AH$489,$AF490),0),0)))</f>
        <v/>
      </c>
      <c r="AI490" s="51" t="str">
        <f t="shared" si="128"/>
        <v/>
      </c>
      <c r="AJ490" s="51" t="str">
        <f>IF($A490="","",IFERROR(LOOKUP(2,1/($B$9:$B$489=$B490),$AM$9:$AM489),0))</f>
        <v/>
      </c>
      <c r="AK490" t="str">
        <f>IF($A490="","",IFERROR(LOOKUP(2,1/($B$9:$B$489=$B490),$AN$9:$AN489),0))</f>
        <v/>
      </c>
      <c r="AL490" s="51" t="str">
        <f t="shared" si="129"/>
        <v/>
      </c>
      <c r="AM490" s="51" t="str">
        <f t="shared" si="130"/>
        <v/>
      </c>
      <c r="AN490" t="str">
        <f t="shared" si="131"/>
        <v/>
      </c>
      <c r="AO490" s="50" t="str">
        <f>IF($A490="","",IFERROR(LOOKUP(2,1/($B$9:$B$489=$B490),$AO$9:$AO489),0)+IF($F490="sell_put",$I490*$AE490*$D490,IF($F490="roll",IF($AG490="put",($I490-IF($AF490&gt;0,INDEX($AH$9:$AH$489,$AF490),0))*$AE490*$D490,0),IF(AND(OR($F490="buy_to_close",$F490="expire",$F490="roll",$F490="assignment",$F490="called_away"),$F490&lt;&gt;"roll",$AG490="put"),-IF($AF490&gt;0,INDEX($AH$9:$AH$489,$AF490),0)*$AE490*$D490,0))))</f>
        <v/>
      </c>
      <c r="AP490" s="51" t="str">
        <f>IF($A490="","",IFERROR(LOOKUP(2,1/($B$9:$B$489=$B490),$AP$9:$AP489),0)+IF($F490="sell_put",$AE490*$D490,IF(AND(OR($F490="buy_to_close",$F490="expire",$F490="roll",$F490="assignment",$F490="called_away"),$F490&lt;&gt;"roll",$AG490="put"),-$AE490*$D490,0)))</f>
        <v/>
      </c>
      <c r="AQ490" s="51" t="str">
        <f>IF($A490="","",IFERROR(LOOKUP(2,1/($B$9:$B$489=$B490),$AQ$9:$AQ489),0)+IF(OR($F490="sell_put",$F490="sell_call"),$AE490,0)-IF(AND(OR($F490="buy_to_close",$F490="expire",$F490="roll",$F490="assignment",$F490="called_away"),$F490&lt;&gt;"roll"),$AE490,0))</f>
        <v/>
      </c>
      <c r="AR490" t="str">
        <f t="shared" si="132"/>
        <v/>
      </c>
      <c r="AS490" s="50" t="str">
        <f t="shared" si="133"/>
        <v/>
      </c>
      <c r="AT490" s="50" t="str">
        <f>IF($A490="","",MAX(IF($T490=IFERROR(LOOKUP(2,1/($B$9:$B$489=$B490),$T$9:$T489),0),IFERROR(LOOKUP(2,1/($B$9:$B$489=$B490),$AT$9:$AT489),0),0),$AS490))</f>
        <v/>
      </c>
      <c r="AU490" t="str">
        <f t="shared" si="134"/>
        <v/>
      </c>
      <c r="AV490" s="51">
        <f>IF($AU490="",0,IF(AND(IFERROR(LOOKUP(2,1/($B$9:$B$489=$B490),$AR$9:$AR489),1),NOT(AND(OR($F490="dividend",$F490="fee"),IFERROR(LOOKUP(2,1/($B$9:$B$489=$B490),$T$9:$T489),0)&gt;0))),ROW(),0))</f>
        <v>0</v>
      </c>
      <c r="AW490">
        <f>IF($A490="",0,IF($AV490&gt;0,MAX($AW$9:$AW$489)+1,MAX($AW$9:$AW$489)))</f>
        <v>0</v>
      </c>
      <c r="AX490">
        <f>IF($AU490="",0,IF(AND($AR490,OR(NOT(IFERROR(LOOKUP(2,1/($B$9:$B$489=$B490),$AR$9:$AR489),1)),IFERROR(LOOKUP(2,1/($B$9:$B$489=$B490),$T$9:$T489),0)=0)),ROW(),0))</f>
        <v>0</v>
      </c>
      <c r="AY490" t="str">
        <f t="shared" si="135"/>
        <v/>
      </c>
    </row>
    <row r="491" spans="1:51" ht="15" x14ac:dyDescent="0.25">
      <c r="A491" s="41" t="str">
        <f>IF(Trades!$A491="","",Trades!O491)</f>
        <v/>
      </c>
      <c r="B491" s="41" t="str">
        <f>IF(Trades!$A491="","",Trades!B491)</f>
        <v/>
      </c>
      <c r="C491" s="41" t="str">
        <f>IF(Trades!$A491="","",Trades!C491)</f>
        <v/>
      </c>
      <c r="D491" s="42" t="str">
        <f>IF(Trades!$A491="","",IF(Trades!$L491&gt;0,Trades!$L491,Trades!$C$6))</f>
        <v/>
      </c>
      <c r="E491" s="43" t="str">
        <f>IF(Trades!$A491="","",Trades!A491)</f>
        <v/>
      </c>
      <c r="F491" s="41" t="str">
        <f>IF(Trades!$A491="","",IFERROR(INDEX(Trades!$V$2:$V$14,MATCH(Trades!$E491,Trades!$U$2:$U$14,0)),""))</f>
        <v/>
      </c>
      <c r="G491" s="41" t="str">
        <f>IF(Trades!$A491="","",Trades!N491)</f>
        <v/>
      </c>
      <c r="H491" s="42" t="str">
        <f>IF(Trades!$A491="","",Trades!F491)</f>
        <v/>
      </c>
      <c r="I491" s="44" t="str">
        <f>IF(Trades!$A491="","",Trades!G491)</f>
        <v/>
      </c>
      <c r="J491" s="44" t="str">
        <f>IF(Trades!$A491="","",Trades!I491)</f>
        <v/>
      </c>
      <c r="K491" s="44" t="str">
        <f>IF(Trades!$A491="","",Trades!Q491)</f>
        <v/>
      </c>
      <c r="L491" s="42" t="str">
        <f>IF(Trades!$A491="","",Trades!F491)</f>
        <v/>
      </c>
      <c r="M491" s="44" t="str">
        <f>IF(Trades!$A491="","",Trades!M491)</f>
        <v/>
      </c>
      <c r="N491" s="44" t="str">
        <f>IF(Trades!$A491="","",Trades!R491)</f>
        <v/>
      </c>
      <c r="O491" s="44" t="str">
        <f>IF(Trades!$A491="","",Trades!J491)</f>
        <v/>
      </c>
      <c r="P491" s="43" t="str">
        <f>IF(Trades!$A491="","",Trades!H491)</f>
        <v/>
      </c>
      <c r="Q491" s="41" t="str">
        <f>IF(Trades!$A491="","",Trades!P491)</f>
        <v/>
      </c>
      <c r="R491" s="45" t="str">
        <f t="shared" si="119"/>
        <v/>
      </c>
      <c r="S491" s="45" t="str">
        <f t="shared" si="120"/>
        <v/>
      </c>
      <c r="T491" s="46" t="str">
        <f>IF(OR($A491="",$B491=""),"",IF(AND(IFERROR(LOOKUP(2,1/($B$9:$B$490=$B491),$AR$9:$AR490),1),NOT(AND(OR($F491="dividend",$F491="fee"),IFERROR(LOOKUP(2,1/($B$9:$B$490=$B491),$T$9:$T490),0)&gt;0))),IFERROR(LOOKUP(2,1/($B$9:$B$490=$B491),$T$9:$T490),0)+1,IFERROR(LOOKUP(2,1/($B$9:$B$490=$B491),$T$9:$T490),0)))</f>
        <v/>
      </c>
      <c r="U491" s="47" t="str">
        <f t="shared" si="121"/>
        <v/>
      </c>
      <c r="V491" s="47" t="str">
        <f>IF($A491="","",IF(OR($B491="",$C491="",$D491="",$E491="",$F491=""),"Missing required field",IF(COUNTIFS($A$9:$A491,$A491,$B$9:$B491,$B491)&gt;1,"Duplicate event ID",IF(AND($E491&lt;&gt;IFERROR(LOOKUP(2,1/($B$9:$B$490=$B491),$E$9:$E490),0),IFERROR(LOOKUP(2,1/($B$9:$B$490=$B491),$E$9:$E490),0)&gt;$E491),"Date out of order",IF(AND(OR($F491="buy_to_close",$F491="expire",$F491="roll",$F491="assignment",$F491="called_away"),$AF491=0),"Unknown lot",IF(OR(AND($F491="assignment",$AF491&gt;0,IF($AF491&gt;0,INDEX($AG$9:$AG$490,$AF491),"")&lt;&gt;"put"),AND($F491="called_away",$AF491&gt;0,IF($AF491&gt;0,INDEX($AG$9:$AG$490,$AF491),"")&lt;&gt;"call")),"Wrong option leg",IF(OR(AND(OR($F491="sell_put",$F491="sell_call"),OR($H491&lt;=0,$I491&lt;=0,$J491&lt;0)),AND(OR($F491="buy_to_close",$F491="expire",$F491="assignment",$F491="called_away"),OR($H491&lt;=0,$J491&lt;0)),AND($F491="roll",OR($H491&lt;=0,$I491&lt;=0,$J491&lt;0,$K491&lt;0)),AND(OR($F491="buy_shares",$F491="sell_shares"),OR($L491&lt;=0,$M491&lt;0)),AND(OR($F491="dividend",$F491="fee"),$N491&lt;0)),"Invalid value",IF(AND(OR($F491="sell_shares",$F491="called_away"),$AL491&lt;IF($F491="called_away",$AE491*$D491,$L491)),"Insufficient shares (capped)",IF(AND(OR($F491="buy_to_close",$F491="expire",$F491="roll",$F491="assignment",$F491="called_away"),$AF491&gt;0,$H491&gt;IF($AF491&gt;0,MAX(0,INDEX($AI$9:$AI$490,$AF491)-SUMIFS($AE$9:$AE$490,$G$9:$G$490,$G491,$B$9:$B$490,$B491)),0)),"Close quantity capped","OK")))))))))</f>
        <v/>
      </c>
      <c r="W491" s="48" t="str">
        <f t="shared" si="122"/>
        <v/>
      </c>
      <c r="X491" s="49" t="str">
        <f t="shared" si="123"/>
        <v/>
      </c>
      <c r="Y491" s="50" t="str">
        <f t="shared" si="124"/>
        <v/>
      </c>
      <c r="Z491" s="50" t="str">
        <f t="shared" si="125"/>
        <v/>
      </c>
      <c r="AA491" s="50" t="str">
        <f t="shared" si="126"/>
        <v/>
      </c>
      <c r="AB491" s="50" t="str">
        <f t="shared" si="127"/>
        <v/>
      </c>
      <c r="AC491" s="50" t="str">
        <f>IF($A491="","",IF($F491="assignment",IF($AF491&gt;0,INDEX($AH$9:$AH$490,$AF491),0)*$AE491*$D491,IF($F491="buy_shares",$M491*$AL491,0)))</f>
        <v/>
      </c>
      <c r="AD491" s="50" t="str">
        <f>IF($A491="","",IF($F491="called_away",IF($AF491&gt;0,INDEX($AH$9:$AH$490,$AF491),0)*$AL491,IF($F491="sell_shares",$M491*$AL491,0)))</f>
        <v/>
      </c>
      <c r="AE491" s="51" t="str">
        <f>IF($A491="","",IF(OR($F491="sell_put",$F491="sell_call"),IF(AND($H491&gt;0,$I491&gt;0,$J491&gt;=0),$H491,0),IF(OR($F491="buy_to_close",$F491="expire",$F491="roll",$F491="assignment",$F491="called_away"),IF(AND($AF491&gt;0,$H491&gt;0,IF($F491="assignment",IF($AF491&gt;0,INDEX($AG$9:$AG$490,$AF491),"")="put",TRUE),IF($F491="called_away",IF($AF491&gt;0,INDEX($AG$9:$AG$490,$AF491),"")="call",TRUE)),MIN($H491,IF($AF491&gt;0,MAX(0,INDEX($AI$9:$AI$490,$AF491)-SUMIFS($AE$9:$AE$490,$G$9:$G$490,$G491,$B$9:$B$490,$B491)),0)),0),0)))</f>
        <v/>
      </c>
      <c r="AF491" t="str">
        <f>IF($A491="","",IFERROR(MATCH(LEN($B491)&amp;":"&amp;$B491&amp;$G491,$AY$9:$AY$490,0),0))</f>
        <v/>
      </c>
      <c r="AG491" t="str">
        <f>IF($A491="","",IF($F491="sell_put","put",IF($F491="sell_call","call",IF($F491="roll",IF($AF491&gt;0,IF($AF491&gt;0,INDEX($AG$9:$AG$490,$AF491),""),""),IF($AF491&gt;0,IF($AF491&gt;0,INDEX($AG$9:$AG$490,$AF491),""),"")))))</f>
        <v/>
      </c>
      <c r="AH491" t="str">
        <f>IF($A491="","",IF(OR($F491="sell_put",$F491="sell_call",$F491="roll"),$I491,IF($AF491&gt;0,IF($AF491&gt;0,INDEX($AH$9:$AH$490,$AF491),0),0)))</f>
        <v/>
      </c>
      <c r="AI491" s="51" t="str">
        <f t="shared" si="128"/>
        <v/>
      </c>
      <c r="AJ491" s="51" t="str">
        <f>IF($A491="","",IFERROR(LOOKUP(2,1/($B$9:$B$490=$B491),$AM$9:$AM490),0))</f>
        <v/>
      </c>
      <c r="AK491" t="str">
        <f>IF($A491="","",IFERROR(LOOKUP(2,1/($B$9:$B$490=$B491),$AN$9:$AN490),0))</f>
        <v/>
      </c>
      <c r="AL491" s="51" t="str">
        <f t="shared" si="129"/>
        <v/>
      </c>
      <c r="AM491" s="51" t="str">
        <f t="shared" si="130"/>
        <v/>
      </c>
      <c r="AN491" t="str">
        <f t="shared" si="131"/>
        <v/>
      </c>
      <c r="AO491" s="50" t="str">
        <f>IF($A491="","",IFERROR(LOOKUP(2,1/($B$9:$B$490=$B491),$AO$9:$AO490),0)+IF($F491="sell_put",$I491*$AE491*$D491,IF($F491="roll",IF($AG491="put",($I491-IF($AF491&gt;0,INDEX($AH$9:$AH$490,$AF491),0))*$AE491*$D491,0),IF(AND(OR($F491="buy_to_close",$F491="expire",$F491="roll",$F491="assignment",$F491="called_away"),$F491&lt;&gt;"roll",$AG491="put"),-IF($AF491&gt;0,INDEX($AH$9:$AH$490,$AF491),0)*$AE491*$D491,0))))</f>
        <v/>
      </c>
      <c r="AP491" s="51" t="str">
        <f>IF($A491="","",IFERROR(LOOKUP(2,1/($B$9:$B$490=$B491),$AP$9:$AP490),0)+IF($F491="sell_put",$AE491*$D491,IF(AND(OR($F491="buy_to_close",$F491="expire",$F491="roll",$F491="assignment",$F491="called_away"),$F491&lt;&gt;"roll",$AG491="put"),-$AE491*$D491,0)))</f>
        <v/>
      </c>
      <c r="AQ491" s="51" t="str">
        <f>IF($A491="","",IFERROR(LOOKUP(2,1/($B$9:$B$490=$B491),$AQ$9:$AQ490),0)+IF(OR($F491="sell_put",$F491="sell_call"),$AE491,0)-IF(AND(OR($F491="buy_to_close",$F491="expire",$F491="roll",$F491="assignment",$F491="called_away"),$F491&lt;&gt;"roll"),$AE491,0))</f>
        <v/>
      </c>
      <c r="AR491" t="str">
        <f t="shared" si="132"/>
        <v/>
      </c>
      <c r="AS491" s="50" t="str">
        <f t="shared" si="133"/>
        <v/>
      </c>
      <c r="AT491" s="50" t="str">
        <f>IF($A491="","",MAX(IF($T491=IFERROR(LOOKUP(2,1/($B$9:$B$490=$B491),$T$9:$T490),0),IFERROR(LOOKUP(2,1/($B$9:$B$490=$B491),$AT$9:$AT490),0),0),$AS491))</f>
        <v/>
      </c>
      <c r="AU491" t="str">
        <f t="shared" si="134"/>
        <v/>
      </c>
      <c r="AV491" s="51">
        <f>IF($AU491="",0,IF(AND(IFERROR(LOOKUP(2,1/($B$9:$B$490=$B491),$AR$9:$AR490),1),NOT(AND(OR($F491="dividend",$F491="fee"),IFERROR(LOOKUP(2,1/($B$9:$B$490=$B491),$T$9:$T490),0)&gt;0))),ROW(),0))</f>
        <v>0</v>
      </c>
      <c r="AW491">
        <f>IF($A491="",0,IF($AV491&gt;0,MAX($AW$9:$AW$490)+1,MAX($AW$9:$AW$490)))</f>
        <v>0</v>
      </c>
      <c r="AX491">
        <f>IF($AU491="",0,IF(AND($AR491,OR(NOT(IFERROR(LOOKUP(2,1/($B$9:$B$490=$B491),$AR$9:$AR490),1)),IFERROR(LOOKUP(2,1/($B$9:$B$490=$B491),$T$9:$T490),0)=0)),ROW(),0))</f>
        <v>0</v>
      </c>
      <c r="AY491" t="str">
        <f t="shared" si="135"/>
        <v/>
      </c>
    </row>
    <row r="492" spans="1:51" ht="15" x14ac:dyDescent="0.25">
      <c r="A492" s="52" t="str">
        <f>IF(Trades!$A492="","",Trades!O492)</f>
        <v/>
      </c>
      <c r="B492" s="52" t="str">
        <f>IF(Trades!$A492="","",Trades!B492)</f>
        <v/>
      </c>
      <c r="C492" s="52" t="str">
        <f>IF(Trades!$A492="","",Trades!C492)</f>
        <v/>
      </c>
      <c r="D492" s="53" t="str">
        <f>IF(Trades!$A492="","",IF(Trades!$L492&gt;0,Trades!$L492,Trades!$C$6))</f>
        <v/>
      </c>
      <c r="E492" s="54" t="str">
        <f>IF(Trades!$A492="","",Trades!A492)</f>
        <v/>
      </c>
      <c r="F492" s="52" t="str">
        <f>IF(Trades!$A492="","",IFERROR(INDEX(Trades!$V$2:$V$14,MATCH(Trades!$E492,Trades!$U$2:$U$14,0)),""))</f>
        <v/>
      </c>
      <c r="G492" s="52" t="str">
        <f>IF(Trades!$A492="","",Trades!N492)</f>
        <v/>
      </c>
      <c r="H492" s="53" t="str">
        <f>IF(Trades!$A492="","",Trades!F492)</f>
        <v/>
      </c>
      <c r="I492" s="55" t="str">
        <f>IF(Trades!$A492="","",Trades!G492)</f>
        <v/>
      </c>
      <c r="J492" s="55" t="str">
        <f>IF(Trades!$A492="","",Trades!I492)</f>
        <v/>
      </c>
      <c r="K492" s="55" t="str">
        <f>IF(Trades!$A492="","",Trades!Q492)</f>
        <v/>
      </c>
      <c r="L492" s="53" t="str">
        <f>IF(Trades!$A492="","",Trades!F492)</f>
        <v/>
      </c>
      <c r="M492" s="55" t="str">
        <f>IF(Trades!$A492="","",Trades!M492)</f>
        <v/>
      </c>
      <c r="N492" s="55" t="str">
        <f>IF(Trades!$A492="","",Trades!R492)</f>
        <v/>
      </c>
      <c r="O492" s="55" t="str">
        <f>IF(Trades!$A492="","",Trades!J492)</f>
        <v/>
      </c>
      <c r="P492" s="54" t="str">
        <f>IF(Trades!$A492="","",Trades!H492)</f>
        <v/>
      </c>
      <c r="Q492" s="52" t="str">
        <f>IF(Trades!$A492="","",Trades!P492)</f>
        <v/>
      </c>
      <c r="R492" s="56" t="str">
        <f t="shared" si="119"/>
        <v/>
      </c>
      <c r="S492" s="56" t="str">
        <f t="shared" si="120"/>
        <v/>
      </c>
      <c r="T492" s="57" t="str">
        <f>IF(OR($A492="",$B492=""),"",IF(AND(IFERROR(LOOKUP(2,1/($B$9:$B$491=$B492),$AR$9:$AR491),1),NOT(AND(OR($F492="dividend",$F492="fee"),IFERROR(LOOKUP(2,1/($B$9:$B$491=$B492),$T$9:$T491),0)&gt;0))),IFERROR(LOOKUP(2,1/($B$9:$B$491=$B492),$T$9:$T491),0)+1,IFERROR(LOOKUP(2,1/($B$9:$B$491=$B492),$T$9:$T491),0)))</f>
        <v/>
      </c>
      <c r="U492" s="58" t="str">
        <f t="shared" si="121"/>
        <v/>
      </c>
      <c r="V492" s="58" t="str">
        <f>IF($A492="","",IF(OR($B492="",$C492="",$D492="",$E492="",$F492=""),"Missing required field",IF(COUNTIFS($A$9:$A492,$A492,$B$9:$B492,$B492)&gt;1,"Duplicate event ID",IF(AND($E492&lt;&gt;IFERROR(LOOKUP(2,1/($B$9:$B$491=$B492),$E$9:$E491),0),IFERROR(LOOKUP(2,1/($B$9:$B$491=$B492),$E$9:$E491),0)&gt;$E492),"Date out of order",IF(AND(OR($F492="buy_to_close",$F492="expire",$F492="roll",$F492="assignment",$F492="called_away"),$AF492=0),"Unknown lot",IF(OR(AND($F492="assignment",$AF492&gt;0,IF($AF492&gt;0,INDEX($AG$9:$AG$491,$AF492),"")&lt;&gt;"put"),AND($F492="called_away",$AF492&gt;0,IF($AF492&gt;0,INDEX($AG$9:$AG$491,$AF492),"")&lt;&gt;"call")),"Wrong option leg",IF(OR(AND(OR($F492="sell_put",$F492="sell_call"),OR($H492&lt;=0,$I492&lt;=0,$J492&lt;0)),AND(OR($F492="buy_to_close",$F492="expire",$F492="assignment",$F492="called_away"),OR($H492&lt;=0,$J492&lt;0)),AND($F492="roll",OR($H492&lt;=0,$I492&lt;=0,$J492&lt;0,$K492&lt;0)),AND(OR($F492="buy_shares",$F492="sell_shares"),OR($L492&lt;=0,$M492&lt;0)),AND(OR($F492="dividend",$F492="fee"),$N492&lt;0)),"Invalid value",IF(AND(OR($F492="sell_shares",$F492="called_away"),$AL492&lt;IF($F492="called_away",$AE492*$D492,$L492)),"Insufficient shares (capped)",IF(AND(OR($F492="buy_to_close",$F492="expire",$F492="roll",$F492="assignment",$F492="called_away"),$AF492&gt;0,$H492&gt;IF($AF492&gt;0,MAX(0,INDEX($AI$9:$AI$491,$AF492)-SUMIFS($AE$9:$AE$491,$G$9:$G$491,$G492,$B$9:$B$491,$B492)),0)),"Close quantity capped","OK")))))))))</f>
        <v/>
      </c>
      <c r="W492" s="59" t="str">
        <f t="shared" si="122"/>
        <v/>
      </c>
      <c r="X492" s="60" t="str">
        <f t="shared" si="123"/>
        <v/>
      </c>
      <c r="Y492" s="50" t="str">
        <f t="shared" si="124"/>
        <v/>
      </c>
      <c r="Z492" s="50" t="str">
        <f t="shared" si="125"/>
        <v/>
      </c>
      <c r="AA492" s="50" t="str">
        <f t="shared" si="126"/>
        <v/>
      </c>
      <c r="AB492" s="50" t="str">
        <f t="shared" si="127"/>
        <v/>
      </c>
      <c r="AC492" s="50" t="str">
        <f>IF($A492="","",IF($F492="assignment",IF($AF492&gt;0,INDEX($AH$9:$AH$491,$AF492),0)*$AE492*$D492,IF($F492="buy_shares",$M492*$AL492,0)))</f>
        <v/>
      </c>
      <c r="AD492" s="50" t="str">
        <f>IF($A492="","",IF($F492="called_away",IF($AF492&gt;0,INDEX($AH$9:$AH$491,$AF492),0)*$AL492,IF($F492="sell_shares",$M492*$AL492,0)))</f>
        <v/>
      </c>
      <c r="AE492" s="51" t="str">
        <f>IF($A492="","",IF(OR($F492="sell_put",$F492="sell_call"),IF(AND($H492&gt;0,$I492&gt;0,$J492&gt;=0),$H492,0),IF(OR($F492="buy_to_close",$F492="expire",$F492="roll",$F492="assignment",$F492="called_away"),IF(AND($AF492&gt;0,$H492&gt;0,IF($F492="assignment",IF($AF492&gt;0,INDEX($AG$9:$AG$491,$AF492),"")="put",TRUE),IF($F492="called_away",IF($AF492&gt;0,INDEX($AG$9:$AG$491,$AF492),"")="call",TRUE)),MIN($H492,IF($AF492&gt;0,MAX(0,INDEX($AI$9:$AI$491,$AF492)-SUMIFS($AE$9:$AE$491,$G$9:$G$491,$G492,$B$9:$B$491,$B492)),0)),0),0)))</f>
        <v/>
      </c>
      <c r="AF492" t="str">
        <f>IF($A492="","",IFERROR(MATCH(LEN($B492)&amp;":"&amp;$B492&amp;$G492,$AY$9:$AY$491,0),0))</f>
        <v/>
      </c>
      <c r="AG492" t="str">
        <f>IF($A492="","",IF($F492="sell_put","put",IF($F492="sell_call","call",IF($F492="roll",IF($AF492&gt;0,IF($AF492&gt;0,INDEX($AG$9:$AG$491,$AF492),""),""),IF($AF492&gt;0,IF($AF492&gt;0,INDEX($AG$9:$AG$491,$AF492),""),"")))))</f>
        <v/>
      </c>
      <c r="AH492" t="str">
        <f>IF($A492="","",IF(OR($F492="sell_put",$F492="sell_call",$F492="roll"),$I492,IF($AF492&gt;0,IF($AF492&gt;0,INDEX($AH$9:$AH$491,$AF492),0),0)))</f>
        <v/>
      </c>
      <c r="AI492" s="51" t="str">
        <f t="shared" si="128"/>
        <v/>
      </c>
      <c r="AJ492" s="51" t="str">
        <f>IF($A492="","",IFERROR(LOOKUP(2,1/($B$9:$B$491=$B492),$AM$9:$AM491),0))</f>
        <v/>
      </c>
      <c r="AK492" t="str">
        <f>IF($A492="","",IFERROR(LOOKUP(2,1/($B$9:$B$491=$B492),$AN$9:$AN491),0))</f>
        <v/>
      </c>
      <c r="AL492" s="51" t="str">
        <f t="shared" si="129"/>
        <v/>
      </c>
      <c r="AM492" s="51" t="str">
        <f t="shared" si="130"/>
        <v/>
      </c>
      <c r="AN492" t="str">
        <f t="shared" si="131"/>
        <v/>
      </c>
      <c r="AO492" s="50" t="str">
        <f>IF($A492="","",IFERROR(LOOKUP(2,1/($B$9:$B$491=$B492),$AO$9:$AO491),0)+IF($F492="sell_put",$I492*$AE492*$D492,IF($F492="roll",IF($AG492="put",($I492-IF($AF492&gt;0,INDEX($AH$9:$AH$491,$AF492),0))*$AE492*$D492,0),IF(AND(OR($F492="buy_to_close",$F492="expire",$F492="roll",$F492="assignment",$F492="called_away"),$F492&lt;&gt;"roll",$AG492="put"),-IF($AF492&gt;0,INDEX($AH$9:$AH$491,$AF492),0)*$AE492*$D492,0))))</f>
        <v/>
      </c>
      <c r="AP492" s="51" t="str">
        <f>IF($A492="","",IFERROR(LOOKUP(2,1/($B$9:$B$491=$B492),$AP$9:$AP491),0)+IF($F492="sell_put",$AE492*$D492,IF(AND(OR($F492="buy_to_close",$F492="expire",$F492="roll",$F492="assignment",$F492="called_away"),$F492&lt;&gt;"roll",$AG492="put"),-$AE492*$D492,0)))</f>
        <v/>
      </c>
      <c r="AQ492" s="51" t="str">
        <f>IF($A492="","",IFERROR(LOOKUP(2,1/($B$9:$B$491=$B492),$AQ$9:$AQ491),0)+IF(OR($F492="sell_put",$F492="sell_call"),$AE492,0)-IF(AND(OR($F492="buy_to_close",$F492="expire",$F492="roll",$F492="assignment",$F492="called_away"),$F492&lt;&gt;"roll"),$AE492,0))</f>
        <v/>
      </c>
      <c r="AR492" t="str">
        <f t="shared" si="132"/>
        <v/>
      </c>
      <c r="AS492" s="50" t="str">
        <f t="shared" si="133"/>
        <v/>
      </c>
      <c r="AT492" s="50" t="str">
        <f>IF($A492="","",MAX(IF($T492=IFERROR(LOOKUP(2,1/($B$9:$B$491=$B492),$T$9:$T491),0),IFERROR(LOOKUP(2,1/($B$9:$B$491=$B492),$AT$9:$AT491),0),0),$AS492))</f>
        <v/>
      </c>
      <c r="AU492" t="str">
        <f t="shared" si="134"/>
        <v/>
      </c>
      <c r="AV492" s="51">
        <f>IF($AU492="",0,IF(AND(IFERROR(LOOKUP(2,1/($B$9:$B$491=$B492),$AR$9:$AR491),1),NOT(AND(OR($F492="dividend",$F492="fee"),IFERROR(LOOKUP(2,1/($B$9:$B$491=$B492),$T$9:$T491),0)&gt;0))),ROW(),0))</f>
        <v>0</v>
      </c>
      <c r="AW492">
        <f>IF($A492="",0,IF($AV492&gt;0,MAX($AW$9:$AW$491)+1,MAX($AW$9:$AW$491)))</f>
        <v>0</v>
      </c>
      <c r="AX492">
        <f>IF($AU492="",0,IF(AND($AR492,OR(NOT(IFERROR(LOOKUP(2,1/($B$9:$B$491=$B492),$AR$9:$AR491),1)),IFERROR(LOOKUP(2,1/($B$9:$B$491=$B492),$T$9:$T491),0)=0)),ROW(),0))</f>
        <v>0</v>
      </c>
      <c r="AY492" t="str">
        <f t="shared" si="135"/>
        <v/>
      </c>
    </row>
    <row r="493" spans="1:51" ht="15" x14ac:dyDescent="0.25">
      <c r="A493" s="41" t="str">
        <f>IF(Trades!$A493="","",Trades!O493)</f>
        <v/>
      </c>
      <c r="B493" s="41" t="str">
        <f>IF(Trades!$A493="","",Trades!B493)</f>
        <v/>
      </c>
      <c r="C493" s="41" t="str">
        <f>IF(Trades!$A493="","",Trades!C493)</f>
        <v/>
      </c>
      <c r="D493" s="42" t="str">
        <f>IF(Trades!$A493="","",IF(Trades!$L493&gt;0,Trades!$L493,Trades!$C$6))</f>
        <v/>
      </c>
      <c r="E493" s="43" t="str">
        <f>IF(Trades!$A493="","",Trades!A493)</f>
        <v/>
      </c>
      <c r="F493" s="41" t="str">
        <f>IF(Trades!$A493="","",IFERROR(INDEX(Trades!$V$2:$V$14,MATCH(Trades!$E493,Trades!$U$2:$U$14,0)),""))</f>
        <v/>
      </c>
      <c r="G493" s="41" t="str">
        <f>IF(Trades!$A493="","",Trades!N493)</f>
        <v/>
      </c>
      <c r="H493" s="42" t="str">
        <f>IF(Trades!$A493="","",Trades!F493)</f>
        <v/>
      </c>
      <c r="I493" s="44" t="str">
        <f>IF(Trades!$A493="","",Trades!G493)</f>
        <v/>
      </c>
      <c r="J493" s="44" t="str">
        <f>IF(Trades!$A493="","",Trades!I493)</f>
        <v/>
      </c>
      <c r="K493" s="44" t="str">
        <f>IF(Trades!$A493="","",Trades!Q493)</f>
        <v/>
      </c>
      <c r="L493" s="42" t="str">
        <f>IF(Trades!$A493="","",Trades!F493)</f>
        <v/>
      </c>
      <c r="M493" s="44" t="str">
        <f>IF(Trades!$A493="","",Trades!M493)</f>
        <v/>
      </c>
      <c r="N493" s="44" t="str">
        <f>IF(Trades!$A493="","",Trades!R493)</f>
        <v/>
      </c>
      <c r="O493" s="44" t="str">
        <f>IF(Trades!$A493="","",Trades!J493)</f>
        <v/>
      </c>
      <c r="P493" s="43" t="str">
        <f>IF(Trades!$A493="","",Trades!H493)</f>
        <v/>
      </c>
      <c r="Q493" s="41" t="str">
        <f>IF(Trades!$A493="","",Trades!P493)</f>
        <v/>
      </c>
      <c r="R493" s="45" t="str">
        <f t="shared" si="119"/>
        <v/>
      </c>
      <c r="S493" s="45" t="str">
        <f t="shared" si="120"/>
        <v/>
      </c>
      <c r="T493" s="46" t="str">
        <f>IF(OR($A493="",$B493=""),"",IF(AND(IFERROR(LOOKUP(2,1/($B$9:$B$492=$B493),$AR$9:$AR492),1),NOT(AND(OR($F493="dividend",$F493="fee"),IFERROR(LOOKUP(2,1/($B$9:$B$492=$B493),$T$9:$T492),0)&gt;0))),IFERROR(LOOKUP(2,1/($B$9:$B$492=$B493),$T$9:$T492),0)+1,IFERROR(LOOKUP(2,1/($B$9:$B$492=$B493),$T$9:$T492),0)))</f>
        <v/>
      </c>
      <c r="U493" s="47" t="str">
        <f t="shared" si="121"/>
        <v/>
      </c>
      <c r="V493" s="47" t="str">
        <f>IF($A493="","",IF(OR($B493="",$C493="",$D493="",$E493="",$F493=""),"Missing required field",IF(COUNTIFS($A$9:$A493,$A493,$B$9:$B493,$B493)&gt;1,"Duplicate event ID",IF(AND($E493&lt;&gt;IFERROR(LOOKUP(2,1/($B$9:$B$492=$B493),$E$9:$E492),0),IFERROR(LOOKUP(2,1/($B$9:$B$492=$B493),$E$9:$E492),0)&gt;$E493),"Date out of order",IF(AND(OR($F493="buy_to_close",$F493="expire",$F493="roll",$F493="assignment",$F493="called_away"),$AF493=0),"Unknown lot",IF(OR(AND($F493="assignment",$AF493&gt;0,IF($AF493&gt;0,INDEX($AG$9:$AG$492,$AF493),"")&lt;&gt;"put"),AND($F493="called_away",$AF493&gt;0,IF($AF493&gt;0,INDEX($AG$9:$AG$492,$AF493),"")&lt;&gt;"call")),"Wrong option leg",IF(OR(AND(OR($F493="sell_put",$F493="sell_call"),OR($H493&lt;=0,$I493&lt;=0,$J493&lt;0)),AND(OR($F493="buy_to_close",$F493="expire",$F493="assignment",$F493="called_away"),OR($H493&lt;=0,$J493&lt;0)),AND($F493="roll",OR($H493&lt;=0,$I493&lt;=0,$J493&lt;0,$K493&lt;0)),AND(OR($F493="buy_shares",$F493="sell_shares"),OR($L493&lt;=0,$M493&lt;0)),AND(OR($F493="dividend",$F493="fee"),$N493&lt;0)),"Invalid value",IF(AND(OR($F493="sell_shares",$F493="called_away"),$AL493&lt;IF($F493="called_away",$AE493*$D493,$L493)),"Insufficient shares (capped)",IF(AND(OR($F493="buy_to_close",$F493="expire",$F493="roll",$F493="assignment",$F493="called_away"),$AF493&gt;0,$H493&gt;IF($AF493&gt;0,MAX(0,INDEX($AI$9:$AI$492,$AF493)-SUMIFS($AE$9:$AE$492,$G$9:$G$492,$G493,$B$9:$B$492,$B493)),0)),"Close quantity capped","OK")))))))))</f>
        <v/>
      </c>
      <c r="W493" s="48" t="str">
        <f t="shared" si="122"/>
        <v/>
      </c>
      <c r="X493" s="49" t="str">
        <f t="shared" si="123"/>
        <v/>
      </c>
      <c r="Y493" s="50" t="str">
        <f t="shared" si="124"/>
        <v/>
      </c>
      <c r="Z493" s="50" t="str">
        <f t="shared" si="125"/>
        <v/>
      </c>
      <c r="AA493" s="50" t="str">
        <f t="shared" si="126"/>
        <v/>
      </c>
      <c r="AB493" s="50" t="str">
        <f t="shared" si="127"/>
        <v/>
      </c>
      <c r="AC493" s="50" t="str">
        <f>IF($A493="","",IF($F493="assignment",IF($AF493&gt;0,INDEX($AH$9:$AH$492,$AF493),0)*$AE493*$D493,IF($F493="buy_shares",$M493*$AL493,0)))</f>
        <v/>
      </c>
      <c r="AD493" s="50" t="str">
        <f>IF($A493="","",IF($F493="called_away",IF($AF493&gt;0,INDEX($AH$9:$AH$492,$AF493),0)*$AL493,IF($F493="sell_shares",$M493*$AL493,0)))</f>
        <v/>
      </c>
      <c r="AE493" s="51" t="str">
        <f>IF($A493="","",IF(OR($F493="sell_put",$F493="sell_call"),IF(AND($H493&gt;0,$I493&gt;0,$J493&gt;=0),$H493,0),IF(OR($F493="buy_to_close",$F493="expire",$F493="roll",$F493="assignment",$F493="called_away"),IF(AND($AF493&gt;0,$H493&gt;0,IF($F493="assignment",IF($AF493&gt;0,INDEX($AG$9:$AG$492,$AF493),"")="put",TRUE),IF($F493="called_away",IF($AF493&gt;0,INDEX($AG$9:$AG$492,$AF493),"")="call",TRUE)),MIN($H493,IF($AF493&gt;0,MAX(0,INDEX($AI$9:$AI$492,$AF493)-SUMIFS($AE$9:$AE$492,$G$9:$G$492,$G493,$B$9:$B$492,$B493)),0)),0),0)))</f>
        <v/>
      </c>
      <c r="AF493" t="str">
        <f>IF($A493="","",IFERROR(MATCH(LEN($B493)&amp;":"&amp;$B493&amp;$G493,$AY$9:$AY$492,0),0))</f>
        <v/>
      </c>
      <c r="AG493" t="str">
        <f>IF($A493="","",IF($F493="sell_put","put",IF($F493="sell_call","call",IF($F493="roll",IF($AF493&gt;0,IF($AF493&gt;0,INDEX($AG$9:$AG$492,$AF493),""),""),IF($AF493&gt;0,IF($AF493&gt;0,INDEX($AG$9:$AG$492,$AF493),""),"")))))</f>
        <v/>
      </c>
      <c r="AH493" t="str">
        <f>IF($A493="","",IF(OR($F493="sell_put",$F493="sell_call",$F493="roll"),$I493,IF($AF493&gt;0,IF($AF493&gt;0,INDEX($AH$9:$AH$492,$AF493),0),0)))</f>
        <v/>
      </c>
      <c r="AI493" s="51" t="str">
        <f t="shared" si="128"/>
        <v/>
      </c>
      <c r="AJ493" s="51" t="str">
        <f>IF($A493="","",IFERROR(LOOKUP(2,1/($B$9:$B$492=$B493),$AM$9:$AM492),0))</f>
        <v/>
      </c>
      <c r="AK493" t="str">
        <f>IF($A493="","",IFERROR(LOOKUP(2,1/($B$9:$B$492=$B493),$AN$9:$AN492),0))</f>
        <v/>
      </c>
      <c r="AL493" s="51" t="str">
        <f t="shared" si="129"/>
        <v/>
      </c>
      <c r="AM493" s="51" t="str">
        <f t="shared" si="130"/>
        <v/>
      </c>
      <c r="AN493" t="str">
        <f t="shared" si="131"/>
        <v/>
      </c>
      <c r="AO493" s="50" t="str">
        <f>IF($A493="","",IFERROR(LOOKUP(2,1/($B$9:$B$492=$B493),$AO$9:$AO492),0)+IF($F493="sell_put",$I493*$AE493*$D493,IF($F493="roll",IF($AG493="put",($I493-IF($AF493&gt;0,INDEX($AH$9:$AH$492,$AF493),0))*$AE493*$D493,0),IF(AND(OR($F493="buy_to_close",$F493="expire",$F493="roll",$F493="assignment",$F493="called_away"),$F493&lt;&gt;"roll",$AG493="put"),-IF($AF493&gt;0,INDEX($AH$9:$AH$492,$AF493),0)*$AE493*$D493,0))))</f>
        <v/>
      </c>
      <c r="AP493" s="51" t="str">
        <f>IF($A493="","",IFERROR(LOOKUP(2,1/($B$9:$B$492=$B493),$AP$9:$AP492),0)+IF($F493="sell_put",$AE493*$D493,IF(AND(OR($F493="buy_to_close",$F493="expire",$F493="roll",$F493="assignment",$F493="called_away"),$F493&lt;&gt;"roll",$AG493="put"),-$AE493*$D493,0)))</f>
        <v/>
      </c>
      <c r="AQ493" s="51" t="str">
        <f>IF($A493="","",IFERROR(LOOKUP(2,1/($B$9:$B$492=$B493),$AQ$9:$AQ492),0)+IF(OR($F493="sell_put",$F493="sell_call"),$AE493,0)-IF(AND(OR($F493="buy_to_close",$F493="expire",$F493="roll",$F493="assignment",$F493="called_away"),$F493&lt;&gt;"roll"),$AE493,0))</f>
        <v/>
      </c>
      <c r="AR493" t="str">
        <f t="shared" si="132"/>
        <v/>
      </c>
      <c r="AS493" s="50" t="str">
        <f t="shared" si="133"/>
        <v/>
      </c>
      <c r="AT493" s="50" t="str">
        <f>IF($A493="","",MAX(IF($T493=IFERROR(LOOKUP(2,1/($B$9:$B$492=$B493),$T$9:$T492),0),IFERROR(LOOKUP(2,1/($B$9:$B$492=$B493),$AT$9:$AT492),0),0),$AS493))</f>
        <v/>
      </c>
      <c r="AU493" t="str">
        <f t="shared" si="134"/>
        <v/>
      </c>
      <c r="AV493" s="51">
        <f>IF($AU493="",0,IF(AND(IFERROR(LOOKUP(2,1/($B$9:$B$492=$B493),$AR$9:$AR492),1),NOT(AND(OR($F493="dividend",$F493="fee"),IFERROR(LOOKUP(2,1/($B$9:$B$492=$B493),$T$9:$T492),0)&gt;0))),ROW(),0))</f>
        <v>0</v>
      </c>
      <c r="AW493">
        <f>IF($A493="",0,IF($AV493&gt;0,MAX($AW$9:$AW$492)+1,MAX($AW$9:$AW$492)))</f>
        <v>0</v>
      </c>
      <c r="AX493">
        <f>IF($AU493="",0,IF(AND($AR493,OR(NOT(IFERROR(LOOKUP(2,1/($B$9:$B$492=$B493),$AR$9:$AR492),1)),IFERROR(LOOKUP(2,1/($B$9:$B$492=$B493),$T$9:$T492),0)=0)),ROW(),0))</f>
        <v>0</v>
      </c>
      <c r="AY493" t="str">
        <f t="shared" si="135"/>
        <v/>
      </c>
    </row>
    <row r="494" spans="1:51" ht="15" x14ac:dyDescent="0.25">
      <c r="A494" s="52" t="str">
        <f>IF(Trades!$A494="","",Trades!O494)</f>
        <v/>
      </c>
      <c r="B494" s="52" t="str">
        <f>IF(Trades!$A494="","",Trades!B494)</f>
        <v/>
      </c>
      <c r="C494" s="52" t="str">
        <f>IF(Trades!$A494="","",Trades!C494)</f>
        <v/>
      </c>
      <c r="D494" s="53" t="str">
        <f>IF(Trades!$A494="","",IF(Trades!$L494&gt;0,Trades!$L494,Trades!$C$6))</f>
        <v/>
      </c>
      <c r="E494" s="54" t="str">
        <f>IF(Trades!$A494="","",Trades!A494)</f>
        <v/>
      </c>
      <c r="F494" s="52" t="str">
        <f>IF(Trades!$A494="","",IFERROR(INDEX(Trades!$V$2:$V$14,MATCH(Trades!$E494,Trades!$U$2:$U$14,0)),""))</f>
        <v/>
      </c>
      <c r="G494" s="52" t="str">
        <f>IF(Trades!$A494="","",Trades!N494)</f>
        <v/>
      </c>
      <c r="H494" s="53" t="str">
        <f>IF(Trades!$A494="","",Trades!F494)</f>
        <v/>
      </c>
      <c r="I494" s="55" t="str">
        <f>IF(Trades!$A494="","",Trades!G494)</f>
        <v/>
      </c>
      <c r="J494" s="55" t="str">
        <f>IF(Trades!$A494="","",Trades!I494)</f>
        <v/>
      </c>
      <c r="K494" s="55" t="str">
        <f>IF(Trades!$A494="","",Trades!Q494)</f>
        <v/>
      </c>
      <c r="L494" s="53" t="str">
        <f>IF(Trades!$A494="","",Trades!F494)</f>
        <v/>
      </c>
      <c r="M494" s="55" t="str">
        <f>IF(Trades!$A494="","",Trades!M494)</f>
        <v/>
      </c>
      <c r="N494" s="55" t="str">
        <f>IF(Trades!$A494="","",Trades!R494)</f>
        <v/>
      </c>
      <c r="O494" s="55" t="str">
        <f>IF(Trades!$A494="","",Trades!J494)</f>
        <v/>
      </c>
      <c r="P494" s="54" t="str">
        <f>IF(Trades!$A494="","",Trades!H494)</f>
        <v/>
      </c>
      <c r="Q494" s="52" t="str">
        <f>IF(Trades!$A494="","",Trades!P494)</f>
        <v/>
      </c>
      <c r="R494" s="56" t="str">
        <f t="shared" si="119"/>
        <v/>
      </c>
      <c r="S494" s="56" t="str">
        <f t="shared" si="120"/>
        <v/>
      </c>
      <c r="T494" s="57" t="str">
        <f>IF(OR($A494="",$B494=""),"",IF(AND(IFERROR(LOOKUP(2,1/($B$9:$B$493=$B494),$AR$9:$AR493),1),NOT(AND(OR($F494="dividend",$F494="fee"),IFERROR(LOOKUP(2,1/($B$9:$B$493=$B494),$T$9:$T493),0)&gt;0))),IFERROR(LOOKUP(2,1/($B$9:$B$493=$B494),$T$9:$T493),0)+1,IFERROR(LOOKUP(2,1/($B$9:$B$493=$B494),$T$9:$T493),0)))</f>
        <v/>
      </c>
      <c r="U494" s="58" t="str">
        <f t="shared" si="121"/>
        <v/>
      </c>
      <c r="V494" s="58" t="str">
        <f>IF($A494="","",IF(OR($B494="",$C494="",$D494="",$E494="",$F494=""),"Missing required field",IF(COUNTIFS($A$9:$A494,$A494,$B$9:$B494,$B494)&gt;1,"Duplicate event ID",IF(AND($E494&lt;&gt;IFERROR(LOOKUP(2,1/($B$9:$B$493=$B494),$E$9:$E493),0),IFERROR(LOOKUP(2,1/($B$9:$B$493=$B494),$E$9:$E493),0)&gt;$E494),"Date out of order",IF(AND(OR($F494="buy_to_close",$F494="expire",$F494="roll",$F494="assignment",$F494="called_away"),$AF494=0),"Unknown lot",IF(OR(AND($F494="assignment",$AF494&gt;0,IF($AF494&gt;0,INDEX($AG$9:$AG$493,$AF494),"")&lt;&gt;"put"),AND($F494="called_away",$AF494&gt;0,IF($AF494&gt;0,INDEX($AG$9:$AG$493,$AF494),"")&lt;&gt;"call")),"Wrong option leg",IF(OR(AND(OR($F494="sell_put",$F494="sell_call"),OR($H494&lt;=0,$I494&lt;=0,$J494&lt;0)),AND(OR($F494="buy_to_close",$F494="expire",$F494="assignment",$F494="called_away"),OR($H494&lt;=0,$J494&lt;0)),AND($F494="roll",OR($H494&lt;=0,$I494&lt;=0,$J494&lt;0,$K494&lt;0)),AND(OR($F494="buy_shares",$F494="sell_shares"),OR($L494&lt;=0,$M494&lt;0)),AND(OR($F494="dividend",$F494="fee"),$N494&lt;0)),"Invalid value",IF(AND(OR($F494="sell_shares",$F494="called_away"),$AL494&lt;IF($F494="called_away",$AE494*$D494,$L494)),"Insufficient shares (capped)",IF(AND(OR($F494="buy_to_close",$F494="expire",$F494="roll",$F494="assignment",$F494="called_away"),$AF494&gt;0,$H494&gt;IF($AF494&gt;0,MAX(0,INDEX($AI$9:$AI$493,$AF494)-SUMIFS($AE$9:$AE$493,$G$9:$G$493,$G494,$B$9:$B$493,$B494)),0)),"Close quantity capped","OK")))))))))</f>
        <v/>
      </c>
      <c r="W494" s="59" t="str">
        <f t="shared" si="122"/>
        <v/>
      </c>
      <c r="X494" s="60" t="str">
        <f t="shared" si="123"/>
        <v/>
      </c>
      <c r="Y494" s="50" t="str">
        <f t="shared" si="124"/>
        <v/>
      </c>
      <c r="Z494" s="50" t="str">
        <f t="shared" si="125"/>
        <v/>
      </c>
      <c r="AA494" s="50" t="str">
        <f t="shared" si="126"/>
        <v/>
      </c>
      <c r="AB494" s="50" t="str">
        <f t="shared" si="127"/>
        <v/>
      </c>
      <c r="AC494" s="50" t="str">
        <f>IF($A494="","",IF($F494="assignment",IF($AF494&gt;0,INDEX($AH$9:$AH$493,$AF494),0)*$AE494*$D494,IF($F494="buy_shares",$M494*$AL494,0)))</f>
        <v/>
      </c>
      <c r="AD494" s="50" t="str">
        <f>IF($A494="","",IF($F494="called_away",IF($AF494&gt;0,INDEX($AH$9:$AH$493,$AF494),0)*$AL494,IF($F494="sell_shares",$M494*$AL494,0)))</f>
        <v/>
      </c>
      <c r="AE494" s="51" t="str">
        <f>IF($A494="","",IF(OR($F494="sell_put",$F494="sell_call"),IF(AND($H494&gt;0,$I494&gt;0,$J494&gt;=0),$H494,0),IF(OR($F494="buy_to_close",$F494="expire",$F494="roll",$F494="assignment",$F494="called_away"),IF(AND($AF494&gt;0,$H494&gt;0,IF($F494="assignment",IF($AF494&gt;0,INDEX($AG$9:$AG$493,$AF494),"")="put",TRUE),IF($F494="called_away",IF($AF494&gt;0,INDEX($AG$9:$AG$493,$AF494),"")="call",TRUE)),MIN($H494,IF($AF494&gt;0,MAX(0,INDEX($AI$9:$AI$493,$AF494)-SUMIFS($AE$9:$AE$493,$G$9:$G$493,$G494,$B$9:$B$493,$B494)),0)),0),0)))</f>
        <v/>
      </c>
      <c r="AF494" t="str">
        <f>IF($A494="","",IFERROR(MATCH(LEN($B494)&amp;":"&amp;$B494&amp;$G494,$AY$9:$AY$493,0),0))</f>
        <v/>
      </c>
      <c r="AG494" t="str">
        <f>IF($A494="","",IF($F494="sell_put","put",IF($F494="sell_call","call",IF($F494="roll",IF($AF494&gt;0,IF($AF494&gt;0,INDEX($AG$9:$AG$493,$AF494),""),""),IF($AF494&gt;0,IF($AF494&gt;0,INDEX($AG$9:$AG$493,$AF494),""),"")))))</f>
        <v/>
      </c>
      <c r="AH494" t="str">
        <f>IF($A494="","",IF(OR($F494="sell_put",$F494="sell_call",$F494="roll"),$I494,IF($AF494&gt;0,IF($AF494&gt;0,INDEX($AH$9:$AH$493,$AF494),0),0)))</f>
        <v/>
      </c>
      <c r="AI494" s="51" t="str">
        <f t="shared" si="128"/>
        <v/>
      </c>
      <c r="AJ494" s="51" t="str">
        <f>IF($A494="","",IFERROR(LOOKUP(2,1/($B$9:$B$493=$B494),$AM$9:$AM493),0))</f>
        <v/>
      </c>
      <c r="AK494" t="str">
        <f>IF($A494="","",IFERROR(LOOKUP(2,1/($B$9:$B$493=$B494),$AN$9:$AN493),0))</f>
        <v/>
      </c>
      <c r="AL494" s="51" t="str">
        <f t="shared" si="129"/>
        <v/>
      </c>
      <c r="AM494" s="51" t="str">
        <f t="shared" si="130"/>
        <v/>
      </c>
      <c r="AN494" t="str">
        <f t="shared" si="131"/>
        <v/>
      </c>
      <c r="AO494" s="50" t="str">
        <f>IF($A494="","",IFERROR(LOOKUP(2,1/($B$9:$B$493=$B494),$AO$9:$AO493),0)+IF($F494="sell_put",$I494*$AE494*$D494,IF($F494="roll",IF($AG494="put",($I494-IF($AF494&gt;0,INDEX($AH$9:$AH$493,$AF494),0))*$AE494*$D494,0),IF(AND(OR($F494="buy_to_close",$F494="expire",$F494="roll",$F494="assignment",$F494="called_away"),$F494&lt;&gt;"roll",$AG494="put"),-IF($AF494&gt;0,INDEX($AH$9:$AH$493,$AF494),0)*$AE494*$D494,0))))</f>
        <v/>
      </c>
      <c r="AP494" s="51" t="str">
        <f>IF($A494="","",IFERROR(LOOKUP(2,1/($B$9:$B$493=$B494),$AP$9:$AP493),0)+IF($F494="sell_put",$AE494*$D494,IF(AND(OR($F494="buy_to_close",$F494="expire",$F494="roll",$F494="assignment",$F494="called_away"),$F494&lt;&gt;"roll",$AG494="put"),-$AE494*$D494,0)))</f>
        <v/>
      </c>
      <c r="AQ494" s="51" t="str">
        <f>IF($A494="","",IFERROR(LOOKUP(2,1/($B$9:$B$493=$B494),$AQ$9:$AQ493),0)+IF(OR($F494="sell_put",$F494="sell_call"),$AE494,0)-IF(AND(OR($F494="buy_to_close",$F494="expire",$F494="roll",$F494="assignment",$F494="called_away"),$F494&lt;&gt;"roll"),$AE494,0))</f>
        <v/>
      </c>
      <c r="AR494" t="str">
        <f t="shared" si="132"/>
        <v/>
      </c>
      <c r="AS494" s="50" t="str">
        <f t="shared" si="133"/>
        <v/>
      </c>
      <c r="AT494" s="50" t="str">
        <f>IF($A494="","",MAX(IF($T494=IFERROR(LOOKUP(2,1/($B$9:$B$493=$B494),$T$9:$T493),0),IFERROR(LOOKUP(2,1/($B$9:$B$493=$B494),$AT$9:$AT493),0),0),$AS494))</f>
        <v/>
      </c>
      <c r="AU494" t="str">
        <f t="shared" si="134"/>
        <v/>
      </c>
      <c r="AV494" s="51">
        <f>IF($AU494="",0,IF(AND(IFERROR(LOOKUP(2,1/($B$9:$B$493=$B494),$AR$9:$AR493),1),NOT(AND(OR($F494="dividend",$F494="fee"),IFERROR(LOOKUP(2,1/($B$9:$B$493=$B494),$T$9:$T493),0)&gt;0))),ROW(),0))</f>
        <v>0</v>
      </c>
      <c r="AW494">
        <f>IF($A494="",0,IF($AV494&gt;0,MAX($AW$9:$AW$493)+1,MAX($AW$9:$AW$493)))</f>
        <v>0</v>
      </c>
      <c r="AX494">
        <f>IF($AU494="",0,IF(AND($AR494,OR(NOT(IFERROR(LOOKUP(2,1/($B$9:$B$493=$B494),$AR$9:$AR493),1)),IFERROR(LOOKUP(2,1/($B$9:$B$493=$B494),$T$9:$T493),0)=0)),ROW(),0))</f>
        <v>0</v>
      </c>
      <c r="AY494" t="str">
        <f t="shared" si="135"/>
        <v/>
      </c>
    </row>
    <row r="495" spans="1:51" ht="15" x14ac:dyDescent="0.25">
      <c r="A495" s="41" t="str">
        <f>IF(Trades!$A495="","",Trades!O495)</f>
        <v/>
      </c>
      <c r="B495" s="41" t="str">
        <f>IF(Trades!$A495="","",Trades!B495)</f>
        <v/>
      </c>
      <c r="C495" s="41" t="str">
        <f>IF(Trades!$A495="","",Trades!C495)</f>
        <v/>
      </c>
      <c r="D495" s="42" t="str">
        <f>IF(Trades!$A495="","",IF(Trades!$L495&gt;0,Trades!$L495,Trades!$C$6))</f>
        <v/>
      </c>
      <c r="E495" s="43" t="str">
        <f>IF(Trades!$A495="","",Trades!A495)</f>
        <v/>
      </c>
      <c r="F495" s="41" t="str">
        <f>IF(Trades!$A495="","",IFERROR(INDEX(Trades!$V$2:$V$14,MATCH(Trades!$E495,Trades!$U$2:$U$14,0)),""))</f>
        <v/>
      </c>
      <c r="G495" s="41" t="str">
        <f>IF(Trades!$A495="","",Trades!N495)</f>
        <v/>
      </c>
      <c r="H495" s="42" t="str">
        <f>IF(Trades!$A495="","",Trades!F495)</f>
        <v/>
      </c>
      <c r="I495" s="44" t="str">
        <f>IF(Trades!$A495="","",Trades!G495)</f>
        <v/>
      </c>
      <c r="J495" s="44" t="str">
        <f>IF(Trades!$A495="","",Trades!I495)</f>
        <v/>
      </c>
      <c r="K495" s="44" t="str">
        <f>IF(Trades!$A495="","",Trades!Q495)</f>
        <v/>
      </c>
      <c r="L495" s="42" t="str">
        <f>IF(Trades!$A495="","",Trades!F495)</f>
        <v/>
      </c>
      <c r="M495" s="44" t="str">
        <f>IF(Trades!$A495="","",Trades!M495)</f>
        <v/>
      </c>
      <c r="N495" s="44" t="str">
        <f>IF(Trades!$A495="","",Trades!R495)</f>
        <v/>
      </c>
      <c r="O495" s="44" t="str">
        <f>IF(Trades!$A495="","",Trades!J495)</f>
        <v/>
      </c>
      <c r="P495" s="43" t="str">
        <f>IF(Trades!$A495="","",Trades!H495)</f>
        <v/>
      </c>
      <c r="Q495" s="41" t="str">
        <f>IF(Trades!$A495="","",Trades!P495)</f>
        <v/>
      </c>
      <c r="R495" s="45" t="str">
        <f t="shared" si="119"/>
        <v/>
      </c>
      <c r="S495" s="45" t="str">
        <f t="shared" si="120"/>
        <v/>
      </c>
      <c r="T495" s="46" t="str">
        <f>IF(OR($A495="",$B495=""),"",IF(AND(IFERROR(LOOKUP(2,1/($B$9:$B$494=$B495),$AR$9:$AR494),1),NOT(AND(OR($F495="dividend",$F495="fee"),IFERROR(LOOKUP(2,1/($B$9:$B$494=$B495),$T$9:$T494),0)&gt;0))),IFERROR(LOOKUP(2,1/($B$9:$B$494=$B495),$T$9:$T494),0)+1,IFERROR(LOOKUP(2,1/($B$9:$B$494=$B495),$T$9:$T494),0)))</f>
        <v/>
      </c>
      <c r="U495" s="47" t="str">
        <f t="shared" si="121"/>
        <v/>
      </c>
      <c r="V495" s="47" t="str">
        <f>IF($A495="","",IF(OR($B495="",$C495="",$D495="",$E495="",$F495=""),"Missing required field",IF(COUNTIFS($A$9:$A495,$A495,$B$9:$B495,$B495)&gt;1,"Duplicate event ID",IF(AND($E495&lt;&gt;IFERROR(LOOKUP(2,1/($B$9:$B$494=$B495),$E$9:$E494),0),IFERROR(LOOKUP(2,1/($B$9:$B$494=$B495),$E$9:$E494),0)&gt;$E495),"Date out of order",IF(AND(OR($F495="buy_to_close",$F495="expire",$F495="roll",$F495="assignment",$F495="called_away"),$AF495=0),"Unknown lot",IF(OR(AND($F495="assignment",$AF495&gt;0,IF($AF495&gt;0,INDEX($AG$9:$AG$494,$AF495),"")&lt;&gt;"put"),AND($F495="called_away",$AF495&gt;0,IF($AF495&gt;0,INDEX($AG$9:$AG$494,$AF495),"")&lt;&gt;"call")),"Wrong option leg",IF(OR(AND(OR($F495="sell_put",$F495="sell_call"),OR($H495&lt;=0,$I495&lt;=0,$J495&lt;0)),AND(OR($F495="buy_to_close",$F495="expire",$F495="assignment",$F495="called_away"),OR($H495&lt;=0,$J495&lt;0)),AND($F495="roll",OR($H495&lt;=0,$I495&lt;=0,$J495&lt;0,$K495&lt;0)),AND(OR($F495="buy_shares",$F495="sell_shares"),OR($L495&lt;=0,$M495&lt;0)),AND(OR($F495="dividend",$F495="fee"),$N495&lt;0)),"Invalid value",IF(AND(OR($F495="sell_shares",$F495="called_away"),$AL495&lt;IF($F495="called_away",$AE495*$D495,$L495)),"Insufficient shares (capped)",IF(AND(OR($F495="buy_to_close",$F495="expire",$F495="roll",$F495="assignment",$F495="called_away"),$AF495&gt;0,$H495&gt;IF($AF495&gt;0,MAX(0,INDEX($AI$9:$AI$494,$AF495)-SUMIFS($AE$9:$AE$494,$G$9:$G$494,$G495,$B$9:$B$494,$B495)),0)),"Close quantity capped","OK")))))))))</f>
        <v/>
      </c>
      <c r="W495" s="48" t="str">
        <f t="shared" si="122"/>
        <v/>
      </c>
      <c r="X495" s="49" t="str">
        <f t="shared" si="123"/>
        <v/>
      </c>
      <c r="Y495" s="50" t="str">
        <f t="shared" si="124"/>
        <v/>
      </c>
      <c r="Z495" s="50" t="str">
        <f t="shared" si="125"/>
        <v/>
      </c>
      <c r="AA495" s="50" t="str">
        <f t="shared" si="126"/>
        <v/>
      </c>
      <c r="AB495" s="50" t="str">
        <f t="shared" si="127"/>
        <v/>
      </c>
      <c r="AC495" s="50" t="str">
        <f>IF($A495="","",IF($F495="assignment",IF($AF495&gt;0,INDEX($AH$9:$AH$494,$AF495),0)*$AE495*$D495,IF($F495="buy_shares",$M495*$AL495,0)))</f>
        <v/>
      </c>
      <c r="AD495" s="50" t="str">
        <f>IF($A495="","",IF($F495="called_away",IF($AF495&gt;0,INDEX($AH$9:$AH$494,$AF495),0)*$AL495,IF($F495="sell_shares",$M495*$AL495,0)))</f>
        <v/>
      </c>
      <c r="AE495" s="51" t="str">
        <f>IF($A495="","",IF(OR($F495="sell_put",$F495="sell_call"),IF(AND($H495&gt;0,$I495&gt;0,$J495&gt;=0),$H495,0),IF(OR($F495="buy_to_close",$F495="expire",$F495="roll",$F495="assignment",$F495="called_away"),IF(AND($AF495&gt;0,$H495&gt;0,IF($F495="assignment",IF($AF495&gt;0,INDEX($AG$9:$AG$494,$AF495),"")="put",TRUE),IF($F495="called_away",IF($AF495&gt;0,INDEX($AG$9:$AG$494,$AF495),"")="call",TRUE)),MIN($H495,IF($AF495&gt;0,MAX(0,INDEX($AI$9:$AI$494,$AF495)-SUMIFS($AE$9:$AE$494,$G$9:$G$494,$G495,$B$9:$B$494,$B495)),0)),0),0)))</f>
        <v/>
      </c>
      <c r="AF495" t="str">
        <f>IF($A495="","",IFERROR(MATCH(LEN($B495)&amp;":"&amp;$B495&amp;$G495,$AY$9:$AY$494,0),0))</f>
        <v/>
      </c>
      <c r="AG495" t="str">
        <f>IF($A495="","",IF($F495="sell_put","put",IF($F495="sell_call","call",IF($F495="roll",IF($AF495&gt;0,IF($AF495&gt;0,INDEX($AG$9:$AG$494,$AF495),""),""),IF($AF495&gt;0,IF($AF495&gt;0,INDEX($AG$9:$AG$494,$AF495),""),"")))))</f>
        <v/>
      </c>
      <c r="AH495" t="str">
        <f>IF($A495="","",IF(OR($F495="sell_put",$F495="sell_call",$F495="roll"),$I495,IF($AF495&gt;0,IF($AF495&gt;0,INDEX($AH$9:$AH$494,$AF495),0),0)))</f>
        <v/>
      </c>
      <c r="AI495" s="51" t="str">
        <f t="shared" si="128"/>
        <v/>
      </c>
      <c r="AJ495" s="51" t="str">
        <f>IF($A495="","",IFERROR(LOOKUP(2,1/($B$9:$B$494=$B495),$AM$9:$AM494),0))</f>
        <v/>
      </c>
      <c r="AK495" t="str">
        <f>IF($A495="","",IFERROR(LOOKUP(2,1/($B$9:$B$494=$B495),$AN$9:$AN494),0))</f>
        <v/>
      </c>
      <c r="AL495" s="51" t="str">
        <f t="shared" si="129"/>
        <v/>
      </c>
      <c r="AM495" s="51" t="str">
        <f t="shared" si="130"/>
        <v/>
      </c>
      <c r="AN495" t="str">
        <f t="shared" si="131"/>
        <v/>
      </c>
      <c r="AO495" s="50" t="str">
        <f>IF($A495="","",IFERROR(LOOKUP(2,1/($B$9:$B$494=$B495),$AO$9:$AO494),0)+IF($F495="sell_put",$I495*$AE495*$D495,IF($F495="roll",IF($AG495="put",($I495-IF($AF495&gt;0,INDEX($AH$9:$AH$494,$AF495),0))*$AE495*$D495,0),IF(AND(OR($F495="buy_to_close",$F495="expire",$F495="roll",$F495="assignment",$F495="called_away"),$F495&lt;&gt;"roll",$AG495="put"),-IF($AF495&gt;0,INDEX($AH$9:$AH$494,$AF495),0)*$AE495*$D495,0))))</f>
        <v/>
      </c>
      <c r="AP495" s="51" t="str">
        <f>IF($A495="","",IFERROR(LOOKUP(2,1/($B$9:$B$494=$B495),$AP$9:$AP494),0)+IF($F495="sell_put",$AE495*$D495,IF(AND(OR($F495="buy_to_close",$F495="expire",$F495="roll",$F495="assignment",$F495="called_away"),$F495&lt;&gt;"roll",$AG495="put"),-$AE495*$D495,0)))</f>
        <v/>
      </c>
      <c r="AQ495" s="51" t="str">
        <f>IF($A495="","",IFERROR(LOOKUP(2,1/($B$9:$B$494=$B495),$AQ$9:$AQ494),0)+IF(OR($F495="sell_put",$F495="sell_call"),$AE495,0)-IF(AND(OR($F495="buy_to_close",$F495="expire",$F495="roll",$F495="assignment",$F495="called_away"),$F495&lt;&gt;"roll"),$AE495,0))</f>
        <v/>
      </c>
      <c r="AR495" t="str">
        <f t="shared" si="132"/>
        <v/>
      </c>
      <c r="AS495" s="50" t="str">
        <f t="shared" si="133"/>
        <v/>
      </c>
      <c r="AT495" s="50" t="str">
        <f>IF($A495="","",MAX(IF($T495=IFERROR(LOOKUP(2,1/($B$9:$B$494=$B495),$T$9:$T494),0),IFERROR(LOOKUP(2,1/($B$9:$B$494=$B495),$AT$9:$AT494),0),0),$AS495))</f>
        <v/>
      </c>
      <c r="AU495" t="str">
        <f t="shared" si="134"/>
        <v/>
      </c>
      <c r="AV495" s="51">
        <f>IF($AU495="",0,IF(AND(IFERROR(LOOKUP(2,1/($B$9:$B$494=$B495),$AR$9:$AR494),1),NOT(AND(OR($F495="dividend",$F495="fee"),IFERROR(LOOKUP(2,1/($B$9:$B$494=$B495),$T$9:$T494),0)&gt;0))),ROW(),0))</f>
        <v>0</v>
      </c>
      <c r="AW495">
        <f>IF($A495="",0,IF($AV495&gt;0,MAX($AW$9:$AW$494)+1,MAX($AW$9:$AW$494)))</f>
        <v>0</v>
      </c>
      <c r="AX495">
        <f>IF($AU495="",0,IF(AND($AR495,OR(NOT(IFERROR(LOOKUP(2,1/($B$9:$B$494=$B495),$AR$9:$AR494),1)),IFERROR(LOOKUP(2,1/($B$9:$B$494=$B495),$T$9:$T494),0)=0)),ROW(),0))</f>
        <v>0</v>
      </c>
      <c r="AY495" t="str">
        <f t="shared" si="135"/>
        <v/>
      </c>
    </row>
    <row r="496" spans="1:51" ht="15" x14ac:dyDescent="0.25">
      <c r="A496" s="52" t="str">
        <f>IF(Trades!$A496="","",Trades!O496)</f>
        <v/>
      </c>
      <c r="B496" s="52" t="str">
        <f>IF(Trades!$A496="","",Trades!B496)</f>
        <v/>
      </c>
      <c r="C496" s="52" t="str">
        <f>IF(Trades!$A496="","",Trades!C496)</f>
        <v/>
      </c>
      <c r="D496" s="53" t="str">
        <f>IF(Trades!$A496="","",IF(Trades!$L496&gt;0,Trades!$L496,Trades!$C$6))</f>
        <v/>
      </c>
      <c r="E496" s="54" t="str">
        <f>IF(Trades!$A496="","",Trades!A496)</f>
        <v/>
      </c>
      <c r="F496" s="52" t="str">
        <f>IF(Trades!$A496="","",IFERROR(INDEX(Trades!$V$2:$V$14,MATCH(Trades!$E496,Trades!$U$2:$U$14,0)),""))</f>
        <v/>
      </c>
      <c r="G496" s="52" t="str">
        <f>IF(Trades!$A496="","",Trades!N496)</f>
        <v/>
      </c>
      <c r="H496" s="53" t="str">
        <f>IF(Trades!$A496="","",Trades!F496)</f>
        <v/>
      </c>
      <c r="I496" s="55" t="str">
        <f>IF(Trades!$A496="","",Trades!G496)</f>
        <v/>
      </c>
      <c r="J496" s="55" t="str">
        <f>IF(Trades!$A496="","",Trades!I496)</f>
        <v/>
      </c>
      <c r="K496" s="55" t="str">
        <f>IF(Trades!$A496="","",Trades!Q496)</f>
        <v/>
      </c>
      <c r="L496" s="53" t="str">
        <f>IF(Trades!$A496="","",Trades!F496)</f>
        <v/>
      </c>
      <c r="M496" s="55" t="str">
        <f>IF(Trades!$A496="","",Trades!M496)</f>
        <v/>
      </c>
      <c r="N496" s="55" t="str">
        <f>IF(Trades!$A496="","",Trades!R496)</f>
        <v/>
      </c>
      <c r="O496" s="55" t="str">
        <f>IF(Trades!$A496="","",Trades!J496)</f>
        <v/>
      </c>
      <c r="P496" s="54" t="str">
        <f>IF(Trades!$A496="","",Trades!H496)</f>
        <v/>
      </c>
      <c r="Q496" s="52" t="str">
        <f>IF(Trades!$A496="","",Trades!P496)</f>
        <v/>
      </c>
      <c r="R496" s="56" t="str">
        <f t="shared" si="119"/>
        <v/>
      </c>
      <c r="S496" s="56" t="str">
        <f t="shared" si="120"/>
        <v/>
      </c>
      <c r="T496" s="57" t="str">
        <f>IF(OR($A496="",$B496=""),"",IF(AND(IFERROR(LOOKUP(2,1/($B$9:$B$495=$B496),$AR$9:$AR495),1),NOT(AND(OR($F496="dividend",$F496="fee"),IFERROR(LOOKUP(2,1/($B$9:$B$495=$B496),$T$9:$T495),0)&gt;0))),IFERROR(LOOKUP(2,1/($B$9:$B$495=$B496),$T$9:$T495),0)+1,IFERROR(LOOKUP(2,1/($B$9:$B$495=$B496),$T$9:$T495),0)))</f>
        <v/>
      </c>
      <c r="U496" s="58" t="str">
        <f t="shared" si="121"/>
        <v/>
      </c>
      <c r="V496" s="58" t="str">
        <f>IF($A496="","",IF(OR($B496="",$C496="",$D496="",$E496="",$F496=""),"Missing required field",IF(COUNTIFS($A$9:$A496,$A496,$B$9:$B496,$B496)&gt;1,"Duplicate event ID",IF(AND($E496&lt;&gt;IFERROR(LOOKUP(2,1/($B$9:$B$495=$B496),$E$9:$E495),0),IFERROR(LOOKUP(2,1/($B$9:$B$495=$B496),$E$9:$E495),0)&gt;$E496),"Date out of order",IF(AND(OR($F496="buy_to_close",$F496="expire",$F496="roll",$F496="assignment",$F496="called_away"),$AF496=0),"Unknown lot",IF(OR(AND($F496="assignment",$AF496&gt;0,IF($AF496&gt;0,INDEX($AG$9:$AG$495,$AF496),"")&lt;&gt;"put"),AND($F496="called_away",$AF496&gt;0,IF($AF496&gt;0,INDEX($AG$9:$AG$495,$AF496),"")&lt;&gt;"call")),"Wrong option leg",IF(OR(AND(OR($F496="sell_put",$F496="sell_call"),OR($H496&lt;=0,$I496&lt;=0,$J496&lt;0)),AND(OR($F496="buy_to_close",$F496="expire",$F496="assignment",$F496="called_away"),OR($H496&lt;=0,$J496&lt;0)),AND($F496="roll",OR($H496&lt;=0,$I496&lt;=0,$J496&lt;0,$K496&lt;0)),AND(OR($F496="buy_shares",$F496="sell_shares"),OR($L496&lt;=0,$M496&lt;0)),AND(OR($F496="dividend",$F496="fee"),$N496&lt;0)),"Invalid value",IF(AND(OR($F496="sell_shares",$F496="called_away"),$AL496&lt;IF($F496="called_away",$AE496*$D496,$L496)),"Insufficient shares (capped)",IF(AND(OR($F496="buy_to_close",$F496="expire",$F496="roll",$F496="assignment",$F496="called_away"),$AF496&gt;0,$H496&gt;IF($AF496&gt;0,MAX(0,INDEX($AI$9:$AI$495,$AF496)-SUMIFS($AE$9:$AE$495,$G$9:$G$495,$G496,$B$9:$B$495,$B496)),0)),"Close quantity capped","OK")))))))))</f>
        <v/>
      </c>
      <c r="W496" s="59" t="str">
        <f t="shared" si="122"/>
        <v/>
      </c>
      <c r="X496" s="60" t="str">
        <f t="shared" si="123"/>
        <v/>
      </c>
      <c r="Y496" s="50" t="str">
        <f t="shared" si="124"/>
        <v/>
      </c>
      <c r="Z496" s="50" t="str">
        <f t="shared" si="125"/>
        <v/>
      </c>
      <c r="AA496" s="50" t="str">
        <f t="shared" si="126"/>
        <v/>
      </c>
      <c r="AB496" s="50" t="str">
        <f t="shared" si="127"/>
        <v/>
      </c>
      <c r="AC496" s="50" t="str">
        <f>IF($A496="","",IF($F496="assignment",IF($AF496&gt;0,INDEX($AH$9:$AH$495,$AF496),0)*$AE496*$D496,IF($F496="buy_shares",$M496*$AL496,0)))</f>
        <v/>
      </c>
      <c r="AD496" s="50" t="str">
        <f>IF($A496="","",IF($F496="called_away",IF($AF496&gt;0,INDEX($AH$9:$AH$495,$AF496),0)*$AL496,IF($F496="sell_shares",$M496*$AL496,0)))</f>
        <v/>
      </c>
      <c r="AE496" s="51" t="str">
        <f>IF($A496="","",IF(OR($F496="sell_put",$F496="sell_call"),IF(AND($H496&gt;0,$I496&gt;0,$J496&gt;=0),$H496,0),IF(OR($F496="buy_to_close",$F496="expire",$F496="roll",$F496="assignment",$F496="called_away"),IF(AND($AF496&gt;0,$H496&gt;0,IF($F496="assignment",IF($AF496&gt;0,INDEX($AG$9:$AG$495,$AF496),"")="put",TRUE),IF($F496="called_away",IF($AF496&gt;0,INDEX($AG$9:$AG$495,$AF496),"")="call",TRUE)),MIN($H496,IF($AF496&gt;0,MAX(0,INDEX($AI$9:$AI$495,$AF496)-SUMIFS($AE$9:$AE$495,$G$9:$G$495,$G496,$B$9:$B$495,$B496)),0)),0),0)))</f>
        <v/>
      </c>
      <c r="AF496" t="str">
        <f>IF($A496="","",IFERROR(MATCH(LEN($B496)&amp;":"&amp;$B496&amp;$G496,$AY$9:$AY$495,0),0))</f>
        <v/>
      </c>
      <c r="AG496" t="str">
        <f>IF($A496="","",IF($F496="sell_put","put",IF($F496="sell_call","call",IF($F496="roll",IF($AF496&gt;0,IF($AF496&gt;0,INDEX($AG$9:$AG$495,$AF496),""),""),IF($AF496&gt;0,IF($AF496&gt;0,INDEX($AG$9:$AG$495,$AF496),""),"")))))</f>
        <v/>
      </c>
      <c r="AH496" t="str">
        <f>IF($A496="","",IF(OR($F496="sell_put",$F496="sell_call",$F496="roll"),$I496,IF($AF496&gt;0,IF($AF496&gt;0,INDEX($AH$9:$AH$495,$AF496),0),0)))</f>
        <v/>
      </c>
      <c r="AI496" s="51" t="str">
        <f t="shared" si="128"/>
        <v/>
      </c>
      <c r="AJ496" s="51" t="str">
        <f>IF($A496="","",IFERROR(LOOKUP(2,1/($B$9:$B$495=$B496),$AM$9:$AM495),0))</f>
        <v/>
      </c>
      <c r="AK496" t="str">
        <f>IF($A496="","",IFERROR(LOOKUP(2,1/($B$9:$B$495=$B496),$AN$9:$AN495),0))</f>
        <v/>
      </c>
      <c r="AL496" s="51" t="str">
        <f t="shared" si="129"/>
        <v/>
      </c>
      <c r="AM496" s="51" t="str">
        <f t="shared" si="130"/>
        <v/>
      </c>
      <c r="AN496" t="str">
        <f t="shared" si="131"/>
        <v/>
      </c>
      <c r="AO496" s="50" t="str">
        <f>IF($A496="","",IFERROR(LOOKUP(2,1/($B$9:$B$495=$B496),$AO$9:$AO495),0)+IF($F496="sell_put",$I496*$AE496*$D496,IF($F496="roll",IF($AG496="put",($I496-IF($AF496&gt;0,INDEX($AH$9:$AH$495,$AF496),0))*$AE496*$D496,0),IF(AND(OR($F496="buy_to_close",$F496="expire",$F496="roll",$F496="assignment",$F496="called_away"),$F496&lt;&gt;"roll",$AG496="put"),-IF($AF496&gt;0,INDEX($AH$9:$AH$495,$AF496),0)*$AE496*$D496,0))))</f>
        <v/>
      </c>
      <c r="AP496" s="51" t="str">
        <f>IF($A496="","",IFERROR(LOOKUP(2,1/($B$9:$B$495=$B496),$AP$9:$AP495),0)+IF($F496="sell_put",$AE496*$D496,IF(AND(OR($F496="buy_to_close",$F496="expire",$F496="roll",$F496="assignment",$F496="called_away"),$F496&lt;&gt;"roll",$AG496="put"),-$AE496*$D496,0)))</f>
        <v/>
      </c>
      <c r="AQ496" s="51" t="str">
        <f>IF($A496="","",IFERROR(LOOKUP(2,1/($B$9:$B$495=$B496),$AQ$9:$AQ495),0)+IF(OR($F496="sell_put",$F496="sell_call"),$AE496,0)-IF(AND(OR($F496="buy_to_close",$F496="expire",$F496="roll",$F496="assignment",$F496="called_away"),$F496&lt;&gt;"roll"),$AE496,0))</f>
        <v/>
      </c>
      <c r="AR496" t="str">
        <f t="shared" si="132"/>
        <v/>
      </c>
      <c r="AS496" s="50" t="str">
        <f t="shared" si="133"/>
        <v/>
      </c>
      <c r="AT496" s="50" t="str">
        <f>IF($A496="","",MAX(IF($T496=IFERROR(LOOKUP(2,1/($B$9:$B$495=$B496),$T$9:$T495),0),IFERROR(LOOKUP(2,1/($B$9:$B$495=$B496),$AT$9:$AT495),0),0),$AS496))</f>
        <v/>
      </c>
      <c r="AU496" t="str">
        <f t="shared" si="134"/>
        <v/>
      </c>
      <c r="AV496" s="51">
        <f>IF($AU496="",0,IF(AND(IFERROR(LOOKUP(2,1/($B$9:$B$495=$B496),$AR$9:$AR495),1),NOT(AND(OR($F496="dividend",$F496="fee"),IFERROR(LOOKUP(2,1/($B$9:$B$495=$B496),$T$9:$T495),0)&gt;0))),ROW(),0))</f>
        <v>0</v>
      </c>
      <c r="AW496">
        <f>IF($A496="",0,IF($AV496&gt;0,MAX($AW$9:$AW$495)+1,MAX($AW$9:$AW$495)))</f>
        <v>0</v>
      </c>
      <c r="AX496">
        <f>IF($AU496="",0,IF(AND($AR496,OR(NOT(IFERROR(LOOKUP(2,1/($B$9:$B$495=$B496),$AR$9:$AR495),1)),IFERROR(LOOKUP(2,1/($B$9:$B$495=$B496),$T$9:$T495),0)=0)),ROW(),0))</f>
        <v>0</v>
      </c>
      <c r="AY496" t="str">
        <f t="shared" si="135"/>
        <v/>
      </c>
    </row>
    <row r="497" spans="1:51" ht="15" x14ac:dyDescent="0.25">
      <c r="A497" s="41" t="str">
        <f>IF(Trades!$A497="","",Trades!O497)</f>
        <v/>
      </c>
      <c r="B497" s="41" t="str">
        <f>IF(Trades!$A497="","",Trades!B497)</f>
        <v/>
      </c>
      <c r="C497" s="41" t="str">
        <f>IF(Trades!$A497="","",Trades!C497)</f>
        <v/>
      </c>
      <c r="D497" s="42" t="str">
        <f>IF(Trades!$A497="","",IF(Trades!$L497&gt;0,Trades!$L497,Trades!$C$6))</f>
        <v/>
      </c>
      <c r="E497" s="43" t="str">
        <f>IF(Trades!$A497="","",Trades!A497)</f>
        <v/>
      </c>
      <c r="F497" s="41" t="str">
        <f>IF(Trades!$A497="","",IFERROR(INDEX(Trades!$V$2:$V$14,MATCH(Trades!$E497,Trades!$U$2:$U$14,0)),""))</f>
        <v/>
      </c>
      <c r="G497" s="41" t="str">
        <f>IF(Trades!$A497="","",Trades!N497)</f>
        <v/>
      </c>
      <c r="H497" s="42" t="str">
        <f>IF(Trades!$A497="","",Trades!F497)</f>
        <v/>
      </c>
      <c r="I497" s="44" t="str">
        <f>IF(Trades!$A497="","",Trades!G497)</f>
        <v/>
      </c>
      <c r="J497" s="44" t="str">
        <f>IF(Trades!$A497="","",Trades!I497)</f>
        <v/>
      </c>
      <c r="K497" s="44" t="str">
        <f>IF(Trades!$A497="","",Trades!Q497)</f>
        <v/>
      </c>
      <c r="L497" s="42" t="str">
        <f>IF(Trades!$A497="","",Trades!F497)</f>
        <v/>
      </c>
      <c r="M497" s="44" t="str">
        <f>IF(Trades!$A497="","",Trades!M497)</f>
        <v/>
      </c>
      <c r="N497" s="44" t="str">
        <f>IF(Trades!$A497="","",Trades!R497)</f>
        <v/>
      </c>
      <c r="O497" s="44" t="str">
        <f>IF(Trades!$A497="","",Trades!J497)</f>
        <v/>
      </c>
      <c r="P497" s="43" t="str">
        <f>IF(Trades!$A497="","",Trades!H497)</f>
        <v/>
      </c>
      <c r="Q497" s="41" t="str">
        <f>IF(Trades!$A497="","",Trades!P497)</f>
        <v/>
      </c>
      <c r="R497" s="45" t="str">
        <f t="shared" si="119"/>
        <v/>
      </c>
      <c r="S497" s="45" t="str">
        <f t="shared" si="120"/>
        <v/>
      </c>
      <c r="T497" s="46" t="str">
        <f>IF(OR($A497="",$B497=""),"",IF(AND(IFERROR(LOOKUP(2,1/($B$9:$B$496=$B497),$AR$9:$AR496),1),NOT(AND(OR($F497="dividend",$F497="fee"),IFERROR(LOOKUP(2,1/($B$9:$B$496=$B497),$T$9:$T496),0)&gt;0))),IFERROR(LOOKUP(2,1/($B$9:$B$496=$B497),$T$9:$T496),0)+1,IFERROR(LOOKUP(2,1/($B$9:$B$496=$B497),$T$9:$T496),0)))</f>
        <v/>
      </c>
      <c r="U497" s="47" t="str">
        <f t="shared" si="121"/>
        <v/>
      </c>
      <c r="V497" s="47" t="str">
        <f>IF($A497="","",IF(OR($B497="",$C497="",$D497="",$E497="",$F497=""),"Missing required field",IF(COUNTIFS($A$9:$A497,$A497,$B$9:$B497,$B497)&gt;1,"Duplicate event ID",IF(AND($E497&lt;&gt;IFERROR(LOOKUP(2,1/($B$9:$B$496=$B497),$E$9:$E496),0),IFERROR(LOOKUP(2,1/($B$9:$B$496=$B497),$E$9:$E496),0)&gt;$E497),"Date out of order",IF(AND(OR($F497="buy_to_close",$F497="expire",$F497="roll",$F497="assignment",$F497="called_away"),$AF497=0),"Unknown lot",IF(OR(AND($F497="assignment",$AF497&gt;0,IF($AF497&gt;0,INDEX($AG$9:$AG$496,$AF497),"")&lt;&gt;"put"),AND($F497="called_away",$AF497&gt;0,IF($AF497&gt;0,INDEX($AG$9:$AG$496,$AF497),"")&lt;&gt;"call")),"Wrong option leg",IF(OR(AND(OR($F497="sell_put",$F497="sell_call"),OR($H497&lt;=0,$I497&lt;=0,$J497&lt;0)),AND(OR($F497="buy_to_close",$F497="expire",$F497="assignment",$F497="called_away"),OR($H497&lt;=0,$J497&lt;0)),AND($F497="roll",OR($H497&lt;=0,$I497&lt;=0,$J497&lt;0,$K497&lt;0)),AND(OR($F497="buy_shares",$F497="sell_shares"),OR($L497&lt;=0,$M497&lt;0)),AND(OR($F497="dividend",$F497="fee"),$N497&lt;0)),"Invalid value",IF(AND(OR($F497="sell_shares",$F497="called_away"),$AL497&lt;IF($F497="called_away",$AE497*$D497,$L497)),"Insufficient shares (capped)",IF(AND(OR($F497="buy_to_close",$F497="expire",$F497="roll",$F497="assignment",$F497="called_away"),$AF497&gt;0,$H497&gt;IF($AF497&gt;0,MAX(0,INDEX($AI$9:$AI$496,$AF497)-SUMIFS($AE$9:$AE$496,$G$9:$G$496,$G497,$B$9:$B$496,$B497)),0)),"Close quantity capped","OK")))))))))</f>
        <v/>
      </c>
      <c r="W497" s="48" t="str">
        <f t="shared" si="122"/>
        <v/>
      </c>
      <c r="X497" s="49" t="str">
        <f t="shared" si="123"/>
        <v/>
      </c>
      <c r="Y497" s="50" t="str">
        <f t="shared" si="124"/>
        <v/>
      </c>
      <c r="Z497" s="50" t="str">
        <f t="shared" si="125"/>
        <v/>
      </c>
      <c r="AA497" s="50" t="str">
        <f t="shared" si="126"/>
        <v/>
      </c>
      <c r="AB497" s="50" t="str">
        <f t="shared" si="127"/>
        <v/>
      </c>
      <c r="AC497" s="50" t="str">
        <f>IF($A497="","",IF($F497="assignment",IF($AF497&gt;0,INDEX($AH$9:$AH$496,$AF497),0)*$AE497*$D497,IF($F497="buy_shares",$M497*$AL497,0)))</f>
        <v/>
      </c>
      <c r="AD497" s="50" t="str">
        <f>IF($A497="","",IF($F497="called_away",IF($AF497&gt;0,INDEX($AH$9:$AH$496,$AF497),0)*$AL497,IF($F497="sell_shares",$M497*$AL497,0)))</f>
        <v/>
      </c>
      <c r="AE497" s="51" t="str">
        <f>IF($A497="","",IF(OR($F497="sell_put",$F497="sell_call"),IF(AND($H497&gt;0,$I497&gt;0,$J497&gt;=0),$H497,0),IF(OR($F497="buy_to_close",$F497="expire",$F497="roll",$F497="assignment",$F497="called_away"),IF(AND($AF497&gt;0,$H497&gt;0,IF($F497="assignment",IF($AF497&gt;0,INDEX($AG$9:$AG$496,$AF497),"")="put",TRUE),IF($F497="called_away",IF($AF497&gt;0,INDEX($AG$9:$AG$496,$AF497),"")="call",TRUE)),MIN($H497,IF($AF497&gt;0,MAX(0,INDEX($AI$9:$AI$496,$AF497)-SUMIFS($AE$9:$AE$496,$G$9:$G$496,$G497,$B$9:$B$496,$B497)),0)),0),0)))</f>
        <v/>
      </c>
      <c r="AF497" t="str">
        <f>IF($A497="","",IFERROR(MATCH(LEN($B497)&amp;":"&amp;$B497&amp;$G497,$AY$9:$AY$496,0),0))</f>
        <v/>
      </c>
      <c r="AG497" t="str">
        <f>IF($A497="","",IF($F497="sell_put","put",IF($F497="sell_call","call",IF($F497="roll",IF($AF497&gt;0,IF($AF497&gt;0,INDEX($AG$9:$AG$496,$AF497),""),""),IF($AF497&gt;0,IF($AF497&gt;0,INDEX($AG$9:$AG$496,$AF497),""),"")))))</f>
        <v/>
      </c>
      <c r="AH497" t="str">
        <f>IF($A497="","",IF(OR($F497="sell_put",$F497="sell_call",$F497="roll"),$I497,IF($AF497&gt;0,IF($AF497&gt;0,INDEX($AH$9:$AH$496,$AF497),0),0)))</f>
        <v/>
      </c>
      <c r="AI497" s="51" t="str">
        <f t="shared" si="128"/>
        <v/>
      </c>
      <c r="AJ497" s="51" t="str">
        <f>IF($A497="","",IFERROR(LOOKUP(2,1/($B$9:$B$496=$B497),$AM$9:$AM496),0))</f>
        <v/>
      </c>
      <c r="AK497" t="str">
        <f>IF($A497="","",IFERROR(LOOKUP(2,1/($B$9:$B$496=$B497),$AN$9:$AN496),0))</f>
        <v/>
      </c>
      <c r="AL497" s="51" t="str">
        <f t="shared" si="129"/>
        <v/>
      </c>
      <c r="AM497" s="51" t="str">
        <f t="shared" si="130"/>
        <v/>
      </c>
      <c r="AN497" t="str">
        <f t="shared" si="131"/>
        <v/>
      </c>
      <c r="AO497" s="50" t="str">
        <f>IF($A497="","",IFERROR(LOOKUP(2,1/($B$9:$B$496=$B497),$AO$9:$AO496),0)+IF($F497="sell_put",$I497*$AE497*$D497,IF($F497="roll",IF($AG497="put",($I497-IF($AF497&gt;0,INDEX($AH$9:$AH$496,$AF497),0))*$AE497*$D497,0),IF(AND(OR($F497="buy_to_close",$F497="expire",$F497="roll",$F497="assignment",$F497="called_away"),$F497&lt;&gt;"roll",$AG497="put"),-IF($AF497&gt;0,INDEX($AH$9:$AH$496,$AF497),0)*$AE497*$D497,0))))</f>
        <v/>
      </c>
      <c r="AP497" s="51" t="str">
        <f>IF($A497="","",IFERROR(LOOKUP(2,1/($B$9:$B$496=$B497),$AP$9:$AP496),0)+IF($F497="sell_put",$AE497*$D497,IF(AND(OR($F497="buy_to_close",$F497="expire",$F497="roll",$F497="assignment",$F497="called_away"),$F497&lt;&gt;"roll",$AG497="put"),-$AE497*$D497,0)))</f>
        <v/>
      </c>
      <c r="AQ497" s="51" t="str">
        <f>IF($A497="","",IFERROR(LOOKUP(2,1/($B$9:$B$496=$B497),$AQ$9:$AQ496),0)+IF(OR($F497="sell_put",$F497="sell_call"),$AE497,0)-IF(AND(OR($F497="buy_to_close",$F497="expire",$F497="roll",$F497="assignment",$F497="called_away"),$F497&lt;&gt;"roll"),$AE497,0))</f>
        <v/>
      </c>
      <c r="AR497" t="str">
        <f t="shared" si="132"/>
        <v/>
      </c>
      <c r="AS497" s="50" t="str">
        <f t="shared" si="133"/>
        <v/>
      </c>
      <c r="AT497" s="50" t="str">
        <f>IF($A497="","",MAX(IF($T497=IFERROR(LOOKUP(2,1/($B$9:$B$496=$B497),$T$9:$T496),0),IFERROR(LOOKUP(2,1/($B$9:$B$496=$B497),$AT$9:$AT496),0),0),$AS497))</f>
        <v/>
      </c>
      <c r="AU497" t="str">
        <f t="shared" si="134"/>
        <v/>
      </c>
      <c r="AV497" s="51">
        <f>IF($AU497="",0,IF(AND(IFERROR(LOOKUP(2,1/($B$9:$B$496=$B497),$AR$9:$AR496),1),NOT(AND(OR($F497="dividend",$F497="fee"),IFERROR(LOOKUP(2,1/($B$9:$B$496=$B497),$T$9:$T496),0)&gt;0))),ROW(),0))</f>
        <v>0</v>
      </c>
      <c r="AW497">
        <f>IF($A497="",0,IF($AV497&gt;0,MAX($AW$9:$AW$496)+1,MAX($AW$9:$AW$496)))</f>
        <v>0</v>
      </c>
      <c r="AX497">
        <f>IF($AU497="",0,IF(AND($AR497,OR(NOT(IFERROR(LOOKUP(2,1/($B$9:$B$496=$B497),$AR$9:$AR496),1)),IFERROR(LOOKUP(2,1/($B$9:$B$496=$B497),$T$9:$T496),0)=0)),ROW(),0))</f>
        <v>0</v>
      </c>
      <c r="AY497" t="str">
        <f t="shared" si="135"/>
        <v/>
      </c>
    </row>
    <row r="498" spans="1:51" ht="15" x14ac:dyDescent="0.25">
      <c r="A498" s="52" t="str">
        <f>IF(Trades!$A498="","",Trades!O498)</f>
        <v/>
      </c>
      <c r="B498" s="52" t="str">
        <f>IF(Trades!$A498="","",Trades!B498)</f>
        <v/>
      </c>
      <c r="C498" s="52" t="str">
        <f>IF(Trades!$A498="","",Trades!C498)</f>
        <v/>
      </c>
      <c r="D498" s="53" t="str">
        <f>IF(Trades!$A498="","",IF(Trades!$L498&gt;0,Trades!$L498,Trades!$C$6))</f>
        <v/>
      </c>
      <c r="E498" s="54" t="str">
        <f>IF(Trades!$A498="","",Trades!A498)</f>
        <v/>
      </c>
      <c r="F498" s="52" t="str">
        <f>IF(Trades!$A498="","",IFERROR(INDEX(Trades!$V$2:$V$14,MATCH(Trades!$E498,Trades!$U$2:$U$14,0)),""))</f>
        <v/>
      </c>
      <c r="G498" s="52" t="str">
        <f>IF(Trades!$A498="","",Trades!N498)</f>
        <v/>
      </c>
      <c r="H498" s="53" t="str">
        <f>IF(Trades!$A498="","",Trades!F498)</f>
        <v/>
      </c>
      <c r="I498" s="55" t="str">
        <f>IF(Trades!$A498="","",Trades!G498)</f>
        <v/>
      </c>
      <c r="J498" s="55" t="str">
        <f>IF(Trades!$A498="","",Trades!I498)</f>
        <v/>
      </c>
      <c r="K498" s="55" t="str">
        <f>IF(Trades!$A498="","",Trades!Q498)</f>
        <v/>
      </c>
      <c r="L498" s="53" t="str">
        <f>IF(Trades!$A498="","",Trades!F498)</f>
        <v/>
      </c>
      <c r="M498" s="55" t="str">
        <f>IF(Trades!$A498="","",Trades!M498)</f>
        <v/>
      </c>
      <c r="N498" s="55" t="str">
        <f>IF(Trades!$A498="","",Trades!R498)</f>
        <v/>
      </c>
      <c r="O498" s="55" t="str">
        <f>IF(Trades!$A498="","",Trades!J498)</f>
        <v/>
      </c>
      <c r="P498" s="54" t="str">
        <f>IF(Trades!$A498="","",Trades!H498)</f>
        <v/>
      </c>
      <c r="Q498" s="52" t="str">
        <f>IF(Trades!$A498="","",Trades!P498)</f>
        <v/>
      </c>
      <c r="R498" s="56" t="str">
        <f t="shared" si="119"/>
        <v/>
      </c>
      <c r="S498" s="56" t="str">
        <f t="shared" si="120"/>
        <v/>
      </c>
      <c r="T498" s="57" t="str">
        <f>IF(OR($A498="",$B498=""),"",IF(AND(IFERROR(LOOKUP(2,1/($B$9:$B$497=$B498),$AR$9:$AR497),1),NOT(AND(OR($F498="dividend",$F498="fee"),IFERROR(LOOKUP(2,1/($B$9:$B$497=$B498),$T$9:$T497),0)&gt;0))),IFERROR(LOOKUP(2,1/($B$9:$B$497=$B498),$T$9:$T497),0)+1,IFERROR(LOOKUP(2,1/($B$9:$B$497=$B498),$T$9:$T497),0)))</f>
        <v/>
      </c>
      <c r="U498" s="58" t="str">
        <f t="shared" si="121"/>
        <v/>
      </c>
      <c r="V498" s="58" t="str">
        <f>IF($A498="","",IF(OR($B498="",$C498="",$D498="",$E498="",$F498=""),"Missing required field",IF(COUNTIFS($A$9:$A498,$A498,$B$9:$B498,$B498)&gt;1,"Duplicate event ID",IF(AND($E498&lt;&gt;IFERROR(LOOKUP(2,1/($B$9:$B$497=$B498),$E$9:$E497),0),IFERROR(LOOKUP(2,1/($B$9:$B$497=$B498),$E$9:$E497),0)&gt;$E498),"Date out of order",IF(AND(OR($F498="buy_to_close",$F498="expire",$F498="roll",$F498="assignment",$F498="called_away"),$AF498=0),"Unknown lot",IF(OR(AND($F498="assignment",$AF498&gt;0,IF($AF498&gt;0,INDEX($AG$9:$AG$497,$AF498),"")&lt;&gt;"put"),AND($F498="called_away",$AF498&gt;0,IF($AF498&gt;0,INDEX($AG$9:$AG$497,$AF498),"")&lt;&gt;"call")),"Wrong option leg",IF(OR(AND(OR($F498="sell_put",$F498="sell_call"),OR($H498&lt;=0,$I498&lt;=0,$J498&lt;0)),AND(OR($F498="buy_to_close",$F498="expire",$F498="assignment",$F498="called_away"),OR($H498&lt;=0,$J498&lt;0)),AND($F498="roll",OR($H498&lt;=0,$I498&lt;=0,$J498&lt;0,$K498&lt;0)),AND(OR($F498="buy_shares",$F498="sell_shares"),OR($L498&lt;=0,$M498&lt;0)),AND(OR($F498="dividend",$F498="fee"),$N498&lt;0)),"Invalid value",IF(AND(OR($F498="sell_shares",$F498="called_away"),$AL498&lt;IF($F498="called_away",$AE498*$D498,$L498)),"Insufficient shares (capped)",IF(AND(OR($F498="buy_to_close",$F498="expire",$F498="roll",$F498="assignment",$F498="called_away"),$AF498&gt;0,$H498&gt;IF($AF498&gt;0,MAX(0,INDEX($AI$9:$AI$497,$AF498)-SUMIFS($AE$9:$AE$497,$G$9:$G$497,$G498,$B$9:$B$497,$B498)),0)),"Close quantity capped","OK")))))))))</f>
        <v/>
      </c>
      <c r="W498" s="59" t="str">
        <f t="shared" si="122"/>
        <v/>
      </c>
      <c r="X498" s="60" t="str">
        <f t="shared" si="123"/>
        <v/>
      </c>
      <c r="Y498" s="50" t="str">
        <f t="shared" si="124"/>
        <v/>
      </c>
      <c r="Z498" s="50" t="str">
        <f t="shared" si="125"/>
        <v/>
      </c>
      <c r="AA498" s="50" t="str">
        <f t="shared" si="126"/>
        <v/>
      </c>
      <c r="AB498" s="50" t="str">
        <f t="shared" si="127"/>
        <v/>
      </c>
      <c r="AC498" s="50" t="str">
        <f>IF($A498="","",IF($F498="assignment",IF($AF498&gt;0,INDEX($AH$9:$AH$497,$AF498),0)*$AE498*$D498,IF($F498="buy_shares",$M498*$AL498,0)))</f>
        <v/>
      </c>
      <c r="AD498" s="50" t="str">
        <f>IF($A498="","",IF($F498="called_away",IF($AF498&gt;0,INDEX($AH$9:$AH$497,$AF498),0)*$AL498,IF($F498="sell_shares",$M498*$AL498,0)))</f>
        <v/>
      </c>
      <c r="AE498" s="51" t="str">
        <f>IF($A498="","",IF(OR($F498="sell_put",$F498="sell_call"),IF(AND($H498&gt;0,$I498&gt;0,$J498&gt;=0),$H498,0),IF(OR($F498="buy_to_close",$F498="expire",$F498="roll",$F498="assignment",$F498="called_away"),IF(AND($AF498&gt;0,$H498&gt;0,IF($F498="assignment",IF($AF498&gt;0,INDEX($AG$9:$AG$497,$AF498),"")="put",TRUE),IF($F498="called_away",IF($AF498&gt;0,INDEX($AG$9:$AG$497,$AF498),"")="call",TRUE)),MIN($H498,IF($AF498&gt;0,MAX(0,INDEX($AI$9:$AI$497,$AF498)-SUMIFS($AE$9:$AE$497,$G$9:$G$497,$G498,$B$9:$B$497,$B498)),0)),0),0)))</f>
        <v/>
      </c>
      <c r="AF498" t="str">
        <f>IF($A498="","",IFERROR(MATCH(LEN($B498)&amp;":"&amp;$B498&amp;$G498,$AY$9:$AY$497,0),0))</f>
        <v/>
      </c>
      <c r="AG498" t="str">
        <f>IF($A498="","",IF($F498="sell_put","put",IF($F498="sell_call","call",IF($F498="roll",IF($AF498&gt;0,IF($AF498&gt;0,INDEX($AG$9:$AG$497,$AF498),""),""),IF($AF498&gt;0,IF($AF498&gt;0,INDEX($AG$9:$AG$497,$AF498),""),"")))))</f>
        <v/>
      </c>
      <c r="AH498" t="str">
        <f>IF($A498="","",IF(OR($F498="sell_put",$F498="sell_call",$F498="roll"),$I498,IF($AF498&gt;0,IF($AF498&gt;0,INDEX($AH$9:$AH$497,$AF498),0),0)))</f>
        <v/>
      </c>
      <c r="AI498" s="51" t="str">
        <f t="shared" si="128"/>
        <v/>
      </c>
      <c r="AJ498" s="51" t="str">
        <f>IF($A498="","",IFERROR(LOOKUP(2,1/($B$9:$B$497=$B498),$AM$9:$AM497),0))</f>
        <v/>
      </c>
      <c r="AK498" t="str">
        <f>IF($A498="","",IFERROR(LOOKUP(2,1/($B$9:$B$497=$B498),$AN$9:$AN497),0))</f>
        <v/>
      </c>
      <c r="AL498" s="51" t="str">
        <f t="shared" si="129"/>
        <v/>
      </c>
      <c r="AM498" s="51" t="str">
        <f t="shared" si="130"/>
        <v/>
      </c>
      <c r="AN498" t="str">
        <f t="shared" si="131"/>
        <v/>
      </c>
      <c r="AO498" s="50" t="str">
        <f>IF($A498="","",IFERROR(LOOKUP(2,1/($B$9:$B$497=$B498),$AO$9:$AO497),0)+IF($F498="sell_put",$I498*$AE498*$D498,IF($F498="roll",IF($AG498="put",($I498-IF($AF498&gt;0,INDEX($AH$9:$AH$497,$AF498),0))*$AE498*$D498,0),IF(AND(OR($F498="buy_to_close",$F498="expire",$F498="roll",$F498="assignment",$F498="called_away"),$F498&lt;&gt;"roll",$AG498="put"),-IF($AF498&gt;0,INDEX($AH$9:$AH$497,$AF498),0)*$AE498*$D498,0))))</f>
        <v/>
      </c>
      <c r="AP498" s="51" t="str">
        <f>IF($A498="","",IFERROR(LOOKUP(2,1/($B$9:$B$497=$B498),$AP$9:$AP497),0)+IF($F498="sell_put",$AE498*$D498,IF(AND(OR($F498="buy_to_close",$F498="expire",$F498="roll",$F498="assignment",$F498="called_away"),$F498&lt;&gt;"roll",$AG498="put"),-$AE498*$D498,0)))</f>
        <v/>
      </c>
      <c r="AQ498" s="51" t="str">
        <f>IF($A498="","",IFERROR(LOOKUP(2,1/($B$9:$B$497=$B498),$AQ$9:$AQ497),0)+IF(OR($F498="sell_put",$F498="sell_call"),$AE498,0)-IF(AND(OR($F498="buy_to_close",$F498="expire",$F498="roll",$F498="assignment",$F498="called_away"),$F498&lt;&gt;"roll"),$AE498,0))</f>
        <v/>
      </c>
      <c r="AR498" t="str">
        <f t="shared" si="132"/>
        <v/>
      </c>
      <c r="AS498" s="50" t="str">
        <f t="shared" si="133"/>
        <v/>
      </c>
      <c r="AT498" s="50" t="str">
        <f>IF($A498="","",MAX(IF($T498=IFERROR(LOOKUP(2,1/($B$9:$B$497=$B498),$T$9:$T497),0),IFERROR(LOOKUP(2,1/($B$9:$B$497=$B498),$AT$9:$AT497),0),0),$AS498))</f>
        <v/>
      </c>
      <c r="AU498" t="str">
        <f t="shared" si="134"/>
        <v/>
      </c>
      <c r="AV498" s="51">
        <f>IF($AU498="",0,IF(AND(IFERROR(LOOKUP(2,1/($B$9:$B$497=$B498),$AR$9:$AR497),1),NOT(AND(OR($F498="dividend",$F498="fee"),IFERROR(LOOKUP(2,1/($B$9:$B$497=$B498),$T$9:$T497),0)&gt;0))),ROW(),0))</f>
        <v>0</v>
      </c>
      <c r="AW498">
        <f>IF($A498="",0,IF($AV498&gt;0,MAX($AW$9:$AW$497)+1,MAX($AW$9:$AW$497)))</f>
        <v>0</v>
      </c>
      <c r="AX498">
        <f>IF($AU498="",0,IF(AND($AR498,OR(NOT(IFERROR(LOOKUP(2,1/($B$9:$B$497=$B498),$AR$9:$AR497),1)),IFERROR(LOOKUP(2,1/($B$9:$B$497=$B498),$T$9:$T497),0)=0)),ROW(),0))</f>
        <v>0</v>
      </c>
      <c r="AY498" t="str">
        <f t="shared" si="135"/>
        <v/>
      </c>
    </row>
    <row r="499" spans="1:51" ht="15" x14ac:dyDescent="0.25">
      <c r="A499" s="41" t="str">
        <f>IF(Trades!$A499="","",Trades!O499)</f>
        <v/>
      </c>
      <c r="B499" s="41" t="str">
        <f>IF(Trades!$A499="","",Trades!B499)</f>
        <v/>
      </c>
      <c r="C499" s="41" t="str">
        <f>IF(Trades!$A499="","",Trades!C499)</f>
        <v/>
      </c>
      <c r="D499" s="42" t="str">
        <f>IF(Trades!$A499="","",IF(Trades!$L499&gt;0,Trades!$L499,Trades!$C$6))</f>
        <v/>
      </c>
      <c r="E499" s="43" t="str">
        <f>IF(Trades!$A499="","",Trades!A499)</f>
        <v/>
      </c>
      <c r="F499" s="41" t="str">
        <f>IF(Trades!$A499="","",IFERROR(INDEX(Trades!$V$2:$V$14,MATCH(Trades!$E499,Trades!$U$2:$U$14,0)),""))</f>
        <v/>
      </c>
      <c r="G499" s="41" t="str">
        <f>IF(Trades!$A499="","",Trades!N499)</f>
        <v/>
      </c>
      <c r="H499" s="42" t="str">
        <f>IF(Trades!$A499="","",Trades!F499)</f>
        <v/>
      </c>
      <c r="I499" s="44" t="str">
        <f>IF(Trades!$A499="","",Trades!G499)</f>
        <v/>
      </c>
      <c r="J499" s="44" t="str">
        <f>IF(Trades!$A499="","",Trades!I499)</f>
        <v/>
      </c>
      <c r="K499" s="44" t="str">
        <f>IF(Trades!$A499="","",Trades!Q499)</f>
        <v/>
      </c>
      <c r="L499" s="42" t="str">
        <f>IF(Trades!$A499="","",Trades!F499)</f>
        <v/>
      </c>
      <c r="M499" s="44" t="str">
        <f>IF(Trades!$A499="","",Trades!M499)</f>
        <v/>
      </c>
      <c r="N499" s="44" t="str">
        <f>IF(Trades!$A499="","",Trades!R499)</f>
        <v/>
      </c>
      <c r="O499" s="44" t="str">
        <f>IF(Trades!$A499="","",Trades!J499)</f>
        <v/>
      </c>
      <c r="P499" s="43" t="str">
        <f>IF(Trades!$A499="","",Trades!H499)</f>
        <v/>
      </c>
      <c r="Q499" s="41" t="str">
        <f>IF(Trades!$A499="","",Trades!P499)</f>
        <v/>
      </c>
      <c r="R499" s="45" t="str">
        <f t="shared" si="119"/>
        <v/>
      </c>
      <c r="S499" s="45" t="str">
        <f t="shared" si="120"/>
        <v/>
      </c>
      <c r="T499" s="46" t="str">
        <f>IF(OR($A499="",$B499=""),"",IF(AND(IFERROR(LOOKUP(2,1/($B$9:$B$498=$B499),$AR$9:$AR498),1),NOT(AND(OR($F499="dividend",$F499="fee"),IFERROR(LOOKUP(2,1/($B$9:$B$498=$B499),$T$9:$T498),0)&gt;0))),IFERROR(LOOKUP(2,1/($B$9:$B$498=$B499),$T$9:$T498),0)+1,IFERROR(LOOKUP(2,1/($B$9:$B$498=$B499),$T$9:$T498),0)))</f>
        <v/>
      </c>
      <c r="U499" s="47" t="str">
        <f t="shared" si="121"/>
        <v/>
      </c>
      <c r="V499" s="47" t="str">
        <f>IF($A499="","",IF(OR($B499="",$C499="",$D499="",$E499="",$F499=""),"Missing required field",IF(COUNTIFS($A$9:$A499,$A499,$B$9:$B499,$B499)&gt;1,"Duplicate event ID",IF(AND($E499&lt;&gt;IFERROR(LOOKUP(2,1/($B$9:$B$498=$B499),$E$9:$E498),0),IFERROR(LOOKUP(2,1/($B$9:$B$498=$B499),$E$9:$E498),0)&gt;$E499),"Date out of order",IF(AND(OR($F499="buy_to_close",$F499="expire",$F499="roll",$F499="assignment",$F499="called_away"),$AF499=0),"Unknown lot",IF(OR(AND($F499="assignment",$AF499&gt;0,IF($AF499&gt;0,INDEX($AG$9:$AG$498,$AF499),"")&lt;&gt;"put"),AND($F499="called_away",$AF499&gt;0,IF($AF499&gt;0,INDEX($AG$9:$AG$498,$AF499),"")&lt;&gt;"call")),"Wrong option leg",IF(OR(AND(OR($F499="sell_put",$F499="sell_call"),OR($H499&lt;=0,$I499&lt;=0,$J499&lt;0)),AND(OR($F499="buy_to_close",$F499="expire",$F499="assignment",$F499="called_away"),OR($H499&lt;=0,$J499&lt;0)),AND($F499="roll",OR($H499&lt;=0,$I499&lt;=0,$J499&lt;0,$K499&lt;0)),AND(OR($F499="buy_shares",$F499="sell_shares"),OR($L499&lt;=0,$M499&lt;0)),AND(OR($F499="dividend",$F499="fee"),$N499&lt;0)),"Invalid value",IF(AND(OR($F499="sell_shares",$F499="called_away"),$AL499&lt;IF($F499="called_away",$AE499*$D499,$L499)),"Insufficient shares (capped)",IF(AND(OR($F499="buy_to_close",$F499="expire",$F499="roll",$F499="assignment",$F499="called_away"),$AF499&gt;0,$H499&gt;IF($AF499&gt;0,MAX(0,INDEX($AI$9:$AI$498,$AF499)-SUMIFS($AE$9:$AE$498,$G$9:$G$498,$G499,$B$9:$B$498,$B499)),0)),"Close quantity capped","OK")))))))))</f>
        <v/>
      </c>
      <c r="W499" s="48" t="str">
        <f t="shared" si="122"/>
        <v/>
      </c>
      <c r="X499" s="49" t="str">
        <f t="shared" si="123"/>
        <v/>
      </c>
      <c r="Y499" s="50" t="str">
        <f t="shared" si="124"/>
        <v/>
      </c>
      <c r="Z499" s="50" t="str">
        <f t="shared" si="125"/>
        <v/>
      </c>
      <c r="AA499" s="50" t="str">
        <f t="shared" si="126"/>
        <v/>
      </c>
      <c r="AB499" s="50" t="str">
        <f t="shared" si="127"/>
        <v/>
      </c>
      <c r="AC499" s="50" t="str">
        <f>IF($A499="","",IF($F499="assignment",IF($AF499&gt;0,INDEX($AH$9:$AH$498,$AF499),0)*$AE499*$D499,IF($F499="buy_shares",$M499*$AL499,0)))</f>
        <v/>
      </c>
      <c r="AD499" s="50" t="str">
        <f>IF($A499="","",IF($F499="called_away",IF($AF499&gt;0,INDEX($AH$9:$AH$498,$AF499),0)*$AL499,IF($F499="sell_shares",$M499*$AL499,0)))</f>
        <v/>
      </c>
      <c r="AE499" s="51" t="str">
        <f>IF($A499="","",IF(OR($F499="sell_put",$F499="sell_call"),IF(AND($H499&gt;0,$I499&gt;0,$J499&gt;=0),$H499,0),IF(OR($F499="buy_to_close",$F499="expire",$F499="roll",$F499="assignment",$F499="called_away"),IF(AND($AF499&gt;0,$H499&gt;0,IF($F499="assignment",IF($AF499&gt;0,INDEX($AG$9:$AG$498,$AF499),"")="put",TRUE),IF($F499="called_away",IF($AF499&gt;0,INDEX($AG$9:$AG$498,$AF499),"")="call",TRUE)),MIN($H499,IF($AF499&gt;0,MAX(0,INDEX($AI$9:$AI$498,$AF499)-SUMIFS($AE$9:$AE$498,$G$9:$G$498,$G499,$B$9:$B$498,$B499)),0)),0),0)))</f>
        <v/>
      </c>
      <c r="AF499" t="str">
        <f>IF($A499="","",IFERROR(MATCH(LEN($B499)&amp;":"&amp;$B499&amp;$G499,$AY$9:$AY$498,0),0))</f>
        <v/>
      </c>
      <c r="AG499" t="str">
        <f>IF($A499="","",IF($F499="sell_put","put",IF($F499="sell_call","call",IF($F499="roll",IF($AF499&gt;0,IF($AF499&gt;0,INDEX($AG$9:$AG$498,$AF499),""),""),IF($AF499&gt;0,IF($AF499&gt;0,INDEX($AG$9:$AG$498,$AF499),""),"")))))</f>
        <v/>
      </c>
      <c r="AH499" t="str">
        <f>IF($A499="","",IF(OR($F499="sell_put",$F499="sell_call",$F499="roll"),$I499,IF($AF499&gt;0,IF($AF499&gt;0,INDEX($AH$9:$AH$498,$AF499),0),0)))</f>
        <v/>
      </c>
      <c r="AI499" s="51" t="str">
        <f t="shared" si="128"/>
        <v/>
      </c>
      <c r="AJ499" s="51" t="str">
        <f>IF($A499="","",IFERROR(LOOKUP(2,1/($B$9:$B$498=$B499),$AM$9:$AM498),0))</f>
        <v/>
      </c>
      <c r="AK499" t="str">
        <f>IF($A499="","",IFERROR(LOOKUP(2,1/($B$9:$B$498=$B499),$AN$9:$AN498),0))</f>
        <v/>
      </c>
      <c r="AL499" s="51" t="str">
        <f t="shared" si="129"/>
        <v/>
      </c>
      <c r="AM499" s="51" t="str">
        <f t="shared" si="130"/>
        <v/>
      </c>
      <c r="AN499" t="str">
        <f t="shared" si="131"/>
        <v/>
      </c>
      <c r="AO499" s="50" t="str">
        <f>IF($A499="","",IFERROR(LOOKUP(2,1/($B$9:$B$498=$B499),$AO$9:$AO498),0)+IF($F499="sell_put",$I499*$AE499*$D499,IF($F499="roll",IF($AG499="put",($I499-IF($AF499&gt;0,INDEX($AH$9:$AH$498,$AF499),0))*$AE499*$D499,0),IF(AND(OR($F499="buy_to_close",$F499="expire",$F499="roll",$F499="assignment",$F499="called_away"),$F499&lt;&gt;"roll",$AG499="put"),-IF($AF499&gt;0,INDEX($AH$9:$AH$498,$AF499),0)*$AE499*$D499,0))))</f>
        <v/>
      </c>
      <c r="AP499" s="51" t="str">
        <f>IF($A499="","",IFERROR(LOOKUP(2,1/($B$9:$B$498=$B499),$AP$9:$AP498),0)+IF($F499="sell_put",$AE499*$D499,IF(AND(OR($F499="buy_to_close",$F499="expire",$F499="roll",$F499="assignment",$F499="called_away"),$F499&lt;&gt;"roll",$AG499="put"),-$AE499*$D499,0)))</f>
        <v/>
      </c>
      <c r="AQ499" s="51" t="str">
        <f>IF($A499="","",IFERROR(LOOKUP(2,1/($B$9:$B$498=$B499),$AQ$9:$AQ498),0)+IF(OR($F499="sell_put",$F499="sell_call"),$AE499,0)-IF(AND(OR($F499="buy_to_close",$F499="expire",$F499="roll",$F499="assignment",$F499="called_away"),$F499&lt;&gt;"roll"),$AE499,0))</f>
        <v/>
      </c>
      <c r="AR499" t="str">
        <f t="shared" si="132"/>
        <v/>
      </c>
      <c r="AS499" s="50" t="str">
        <f t="shared" si="133"/>
        <v/>
      </c>
      <c r="AT499" s="50" t="str">
        <f>IF($A499="","",MAX(IF($T499=IFERROR(LOOKUP(2,1/($B$9:$B$498=$B499),$T$9:$T498),0),IFERROR(LOOKUP(2,1/($B$9:$B$498=$B499),$AT$9:$AT498),0),0),$AS499))</f>
        <v/>
      </c>
      <c r="AU499" t="str">
        <f t="shared" si="134"/>
        <v/>
      </c>
      <c r="AV499" s="51">
        <f>IF($AU499="",0,IF(AND(IFERROR(LOOKUP(2,1/($B$9:$B$498=$B499),$AR$9:$AR498),1),NOT(AND(OR($F499="dividend",$F499="fee"),IFERROR(LOOKUP(2,1/($B$9:$B$498=$B499),$T$9:$T498),0)&gt;0))),ROW(),0))</f>
        <v>0</v>
      </c>
      <c r="AW499">
        <f>IF($A499="",0,IF($AV499&gt;0,MAX($AW$9:$AW$498)+1,MAX($AW$9:$AW$498)))</f>
        <v>0</v>
      </c>
      <c r="AX499">
        <f>IF($AU499="",0,IF(AND($AR499,OR(NOT(IFERROR(LOOKUP(2,1/($B$9:$B$498=$B499),$AR$9:$AR498),1)),IFERROR(LOOKUP(2,1/($B$9:$B$498=$B499),$T$9:$T498),0)=0)),ROW(),0))</f>
        <v>0</v>
      </c>
      <c r="AY499" t="str">
        <f t="shared" si="135"/>
        <v/>
      </c>
    </row>
    <row r="500" spans="1:51" ht="15" x14ac:dyDescent="0.25">
      <c r="A500" s="52" t="str">
        <f>IF(Trades!$A500="","",Trades!O500)</f>
        <v/>
      </c>
      <c r="B500" s="52" t="str">
        <f>IF(Trades!$A500="","",Trades!B500)</f>
        <v/>
      </c>
      <c r="C500" s="52" t="str">
        <f>IF(Trades!$A500="","",Trades!C500)</f>
        <v/>
      </c>
      <c r="D500" s="53" t="str">
        <f>IF(Trades!$A500="","",IF(Trades!$L500&gt;0,Trades!$L500,Trades!$C$6))</f>
        <v/>
      </c>
      <c r="E500" s="54" t="str">
        <f>IF(Trades!$A500="","",Trades!A500)</f>
        <v/>
      </c>
      <c r="F500" s="52" t="str">
        <f>IF(Trades!$A500="","",IFERROR(INDEX(Trades!$V$2:$V$14,MATCH(Trades!$E500,Trades!$U$2:$U$14,0)),""))</f>
        <v/>
      </c>
      <c r="G500" s="52" t="str">
        <f>IF(Trades!$A500="","",Trades!N500)</f>
        <v/>
      </c>
      <c r="H500" s="53" t="str">
        <f>IF(Trades!$A500="","",Trades!F500)</f>
        <v/>
      </c>
      <c r="I500" s="55" t="str">
        <f>IF(Trades!$A500="","",Trades!G500)</f>
        <v/>
      </c>
      <c r="J500" s="55" t="str">
        <f>IF(Trades!$A500="","",Trades!I500)</f>
        <v/>
      </c>
      <c r="K500" s="55" t="str">
        <f>IF(Trades!$A500="","",Trades!Q500)</f>
        <v/>
      </c>
      <c r="L500" s="53" t="str">
        <f>IF(Trades!$A500="","",Trades!F500)</f>
        <v/>
      </c>
      <c r="M500" s="55" t="str">
        <f>IF(Trades!$A500="","",Trades!M500)</f>
        <v/>
      </c>
      <c r="N500" s="55" t="str">
        <f>IF(Trades!$A500="","",Trades!R500)</f>
        <v/>
      </c>
      <c r="O500" s="55" t="str">
        <f>IF(Trades!$A500="","",Trades!J500)</f>
        <v/>
      </c>
      <c r="P500" s="54" t="str">
        <f>IF(Trades!$A500="","",Trades!H500)</f>
        <v/>
      </c>
      <c r="Q500" s="52" t="str">
        <f>IF(Trades!$A500="","",Trades!P500)</f>
        <v/>
      </c>
      <c r="R500" s="56" t="str">
        <f t="shared" si="119"/>
        <v/>
      </c>
      <c r="S500" s="56" t="str">
        <f t="shared" si="120"/>
        <v/>
      </c>
      <c r="T500" s="57" t="str">
        <f>IF(OR($A500="",$B500=""),"",IF(AND(IFERROR(LOOKUP(2,1/($B$9:$B$499=$B500),$AR$9:$AR499),1),NOT(AND(OR($F500="dividend",$F500="fee"),IFERROR(LOOKUP(2,1/($B$9:$B$499=$B500),$T$9:$T499),0)&gt;0))),IFERROR(LOOKUP(2,1/($B$9:$B$499=$B500),$T$9:$T499),0)+1,IFERROR(LOOKUP(2,1/($B$9:$B$499=$B500),$T$9:$T499),0)))</f>
        <v/>
      </c>
      <c r="U500" s="58" t="str">
        <f t="shared" si="121"/>
        <v/>
      </c>
      <c r="V500" s="58" t="str">
        <f>IF($A500="","",IF(OR($B500="",$C500="",$D500="",$E500="",$F500=""),"Missing required field",IF(COUNTIFS($A$9:$A500,$A500,$B$9:$B500,$B500)&gt;1,"Duplicate event ID",IF(AND($E500&lt;&gt;IFERROR(LOOKUP(2,1/($B$9:$B$499=$B500),$E$9:$E499),0),IFERROR(LOOKUP(2,1/($B$9:$B$499=$B500),$E$9:$E499),0)&gt;$E500),"Date out of order",IF(AND(OR($F500="buy_to_close",$F500="expire",$F500="roll",$F500="assignment",$F500="called_away"),$AF500=0),"Unknown lot",IF(OR(AND($F500="assignment",$AF500&gt;0,IF($AF500&gt;0,INDEX($AG$9:$AG$499,$AF500),"")&lt;&gt;"put"),AND($F500="called_away",$AF500&gt;0,IF($AF500&gt;0,INDEX($AG$9:$AG$499,$AF500),"")&lt;&gt;"call")),"Wrong option leg",IF(OR(AND(OR($F500="sell_put",$F500="sell_call"),OR($H500&lt;=0,$I500&lt;=0,$J500&lt;0)),AND(OR($F500="buy_to_close",$F500="expire",$F500="assignment",$F500="called_away"),OR($H500&lt;=0,$J500&lt;0)),AND($F500="roll",OR($H500&lt;=0,$I500&lt;=0,$J500&lt;0,$K500&lt;0)),AND(OR($F500="buy_shares",$F500="sell_shares"),OR($L500&lt;=0,$M500&lt;0)),AND(OR($F500="dividend",$F500="fee"),$N500&lt;0)),"Invalid value",IF(AND(OR($F500="sell_shares",$F500="called_away"),$AL500&lt;IF($F500="called_away",$AE500*$D500,$L500)),"Insufficient shares (capped)",IF(AND(OR($F500="buy_to_close",$F500="expire",$F500="roll",$F500="assignment",$F500="called_away"),$AF500&gt;0,$H500&gt;IF($AF500&gt;0,MAX(0,INDEX($AI$9:$AI$499,$AF500)-SUMIFS($AE$9:$AE$499,$G$9:$G$499,$G500,$B$9:$B$499,$B500)),0)),"Close quantity capped","OK")))))))))</f>
        <v/>
      </c>
      <c r="W500" s="59" t="str">
        <f t="shared" si="122"/>
        <v/>
      </c>
      <c r="X500" s="60" t="str">
        <f t="shared" si="123"/>
        <v/>
      </c>
      <c r="Y500" s="50" t="str">
        <f t="shared" si="124"/>
        <v/>
      </c>
      <c r="Z500" s="50" t="str">
        <f t="shared" si="125"/>
        <v/>
      </c>
      <c r="AA500" s="50" t="str">
        <f t="shared" si="126"/>
        <v/>
      </c>
      <c r="AB500" s="50" t="str">
        <f t="shared" si="127"/>
        <v/>
      </c>
      <c r="AC500" s="50" t="str">
        <f>IF($A500="","",IF($F500="assignment",IF($AF500&gt;0,INDEX($AH$9:$AH$499,$AF500),0)*$AE500*$D500,IF($F500="buy_shares",$M500*$AL500,0)))</f>
        <v/>
      </c>
      <c r="AD500" s="50" t="str">
        <f>IF($A500="","",IF($F500="called_away",IF($AF500&gt;0,INDEX($AH$9:$AH$499,$AF500),0)*$AL500,IF($F500="sell_shares",$M500*$AL500,0)))</f>
        <v/>
      </c>
      <c r="AE500" s="51" t="str">
        <f>IF($A500="","",IF(OR($F500="sell_put",$F500="sell_call"),IF(AND($H500&gt;0,$I500&gt;0,$J500&gt;=0),$H500,0),IF(OR($F500="buy_to_close",$F500="expire",$F500="roll",$F500="assignment",$F500="called_away"),IF(AND($AF500&gt;0,$H500&gt;0,IF($F500="assignment",IF($AF500&gt;0,INDEX($AG$9:$AG$499,$AF500),"")="put",TRUE),IF($F500="called_away",IF($AF500&gt;0,INDEX($AG$9:$AG$499,$AF500),"")="call",TRUE)),MIN($H500,IF($AF500&gt;0,MAX(0,INDEX($AI$9:$AI$499,$AF500)-SUMIFS($AE$9:$AE$499,$G$9:$G$499,$G500,$B$9:$B$499,$B500)),0)),0),0)))</f>
        <v/>
      </c>
      <c r="AF500" t="str">
        <f>IF($A500="","",IFERROR(MATCH(LEN($B500)&amp;":"&amp;$B500&amp;$G500,$AY$9:$AY$499,0),0))</f>
        <v/>
      </c>
      <c r="AG500" t="str">
        <f>IF($A500="","",IF($F500="sell_put","put",IF($F500="sell_call","call",IF($F500="roll",IF($AF500&gt;0,IF($AF500&gt;0,INDEX($AG$9:$AG$499,$AF500),""),""),IF($AF500&gt;0,IF($AF500&gt;0,INDEX($AG$9:$AG$499,$AF500),""),"")))))</f>
        <v/>
      </c>
      <c r="AH500" t="str">
        <f>IF($A500="","",IF(OR($F500="sell_put",$F500="sell_call",$F500="roll"),$I500,IF($AF500&gt;0,IF($AF500&gt;0,INDEX($AH$9:$AH$499,$AF500),0),0)))</f>
        <v/>
      </c>
      <c r="AI500" s="51" t="str">
        <f t="shared" si="128"/>
        <v/>
      </c>
      <c r="AJ500" s="51" t="str">
        <f>IF($A500="","",IFERROR(LOOKUP(2,1/($B$9:$B$499=$B500),$AM$9:$AM499),0))</f>
        <v/>
      </c>
      <c r="AK500" t="str">
        <f>IF($A500="","",IFERROR(LOOKUP(2,1/($B$9:$B$499=$B500),$AN$9:$AN499),0))</f>
        <v/>
      </c>
      <c r="AL500" s="51" t="str">
        <f t="shared" si="129"/>
        <v/>
      </c>
      <c r="AM500" s="51" t="str">
        <f t="shared" si="130"/>
        <v/>
      </c>
      <c r="AN500" t="str">
        <f t="shared" si="131"/>
        <v/>
      </c>
      <c r="AO500" s="50" t="str">
        <f>IF($A500="","",IFERROR(LOOKUP(2,1/($B$9:$B$499=$B500),$AO$9:$AO499),0)+IF($F500="sell_put",$I500*$AE500*$D500,IF($F500="roll",IF($AG500="put",($I500-IF($AF500&gt;0,INDEX($AH$9:$AH$499,$AF500),0))*$AE500*$D500,0),IF(AND(OR($F500="buy_to_close",$F500="expire",$F500="roll",$F500="assignment",$F500="called_away"),$F500&lt;&gt;"roll",$AG500="put"),-IF($AF500&gt;0,INDEX($AH$9:$AH$499,$AF500),0)*$AE500*$D500,0))))</f>
        <v/>
      </c>
      <c r="AP500" s="51" t="str">
        <f>IF($A500="","",IFERROR(LOOKUP(2,1/($B$9:$B$499=$B500),$AP$9:$AP499),0)+IF($F500="sell_put",$AE500*$D500,IF(AND(OR($F500="buy_to_close",$F500="expire",$F500="roll",$F500="assignment",$F500="called_away"),$F500&lt;&gt;"roll",$AG500="put"),-$AE500*$D500,0)))</f>
        <v/>
      </c>
      <c r="AQ500" s="51" t="str">
        <f>IF($A500="","",IFERROR(LOOKUP(2,1/($B$9:$B$499=$B500),$AQ$9:$AQ499),0)+IF(OR($F500="sell_put",$F500="sell_call"),$AE500,0)-IF(AND(OR($F500="buy_to_close",$F500="expire",$F500="roll",$F500="assignment",$F500="called_away"),$F500&lt;&gt;"roll"),$AE500,0))</f>
        <v/>
      </c>
      <c r="AR500" t="str">
        <f t="shared" si="132"/>
        <v/>
      </c>
      <c r="AS500" s="50" t="str">
        <f t="shared" si="133"/>
        <v/>
      </c>
      <c r="AT500" s="50" t="str">
        <f>IF($A500="","",MAX(IF($T500=IFERROR(LOOKUP(2,1/($B$9:$B$499=$B500),$T$9:$T499),0),IFERROR(LOOKUP(2,1/($B$9:$B$499=$B500),$AT$9:$AT499),0),0),$AS500))</f>
        <v/>
      </c>
      <c r="AU500" t="str">
        <f t="shared" si="134"/>
        <v/>
      </c>
      <c r="AV500" s="51">
        <f>IF($AU500="",0,IF(AND(IFERROR(LOOKUP(2,1/($B$9:$B$499=$B500),$AR$9:$AR499),1),NOT(AND(OR($F500="dividend",$F500="fee"),IFERROR(LOOKUP(2,1/($B$9:$B$499=$B500),$T$9:$T499),0)&gt;0))),ROW(),0))</f>
        <v>0</v>
      </c>
      <c r="AW500">
        <f>IF($A500="",0,IF($AV500&gt;0,MAX($AW$9:$AW$499)+1,MAX($AW$9:$AW$499)))</f>
        <v>0</v>
      </c>
      <c r="AX500">
        <f>IF($AU500="",0,IF(AND($AR500,OR(NOT(IFERROR(LOOKUP(2,1/($B$9:$B$499=$B500),$AR$9:$AR499),1)),IFERROR(LOOKUP(2,1/($B$9:$B$499=$B500),$T$9:$T499),0)=0)),ROW(),0))</f>
        <v>0</v>
      </c>
      <c r="AY500" t="str">
        <f t="shared" si="135"/>
        <v/>
      </c>
    </row>
    <row r="501" spans="1:51" ht="15" x14ac:dyDescent="0.25">
      <c r="A501" s="41" t="str">
        <f>IF(Trades!$A501="","",Trades!O501)</f>
        <v/>
      </c>
      <c r="B501" s="41" t="str">
        <f>IF(Trades!$A501="","",Trades!B501)</f>
        <v/>
      </c>
      <c r="C501" s="41" t="str">
        <f>IF(Trades!$A501="","",Trades!C501)</f>
        <v/>
      </c>
      <c r="D501" s="42" t="str">
        <f>IF(Trades!$A501="","",IF(Trades!$L501&gt;0,Trades!$L501,Trades!$C$6))</f>
        <v/>
      </c>
      <c r="E501" s="43" t="str">
        <f>IF(Trades!$A501="","",Trades!A501)</f>
        <v/>
      </c>
      <c r="F501" s="41" t="str">
        <f>IF(Trades!$A501="","",IFERROR(INDEX(Trades!$V$2:$V$14,MATCH(Trades!$E501,Trades!$U$2:$U$14,0)),""))</f>
        <v/>
      </c>
      <c r="G501" s="41" t="str">
        <f>IF(Trades!$A501="","",Trades!N501)</f>
        <v/>
      </c>
      <c r="H501" s="42" t="str">
        <f>IF(Trades!$A501="","",Trades!F501)</f>
        <v/>
      </c>
      <c r="I501" s="44" t="str">
        <f>IF(Trades!$A501="","",Trades!G501)</f>
        <v/>
      </c>
      <c r="J501" s="44" t="str">
        <f>IF(Trades!$A501="","",Trades!I501)</f>
        <v/>
      </c>
      <c r="K501" s="44" t="str">
        <f>IF(Trades!$A501="","",Trades!Q501)</f>
        <v/>
      </c>
      <c r="L501" s="42" t="str">
        <f>IF(Trades!$A501="","",Trades!F501)</f>
        <v/>
      </c>
      <c r="M501" s="44" t="str">
        <f>IF(Trades!$A501="","",Trades!M501)</f>
        <v/>
      </c>
      <c r="N501" s="44" t="str">
        <f>IF(Trades!$A501="","",Trades!R501)</f>
        <v/>
      </c>
      <c r="O501" s="44" t="str">
        <f>IF(Trades!$A501="","",Trades!J501)</f>
        <v/>
      </c>
      <c r="P501" s="43" t="str">
        <f>IF(Trades!$A501="","",Trades!H501)</f>
        <v/>
      </c>
      <c r="Q501" s="41" t="str">
        <f>IF(Trades!$A501="","",Trades!P501)</f>
        <v/>
      </c>
      <c r="R501" s="45" t="str">
        <f t="shared" si="119"/>
        <v/>
      </c>
      <c r="S501" s="45" t="str">
        <f t="shared" si="120"/>
        <v/>
      </c>
      <c r="T501" s="46" t="str">
        <f>IF(OR($A501="",$B501=""),"",IF(AND(IFERROR(LOOKUP(2,1/($B$9:$B$500=$B501),$AR$9:$AR500),1),NOT(AND(OR($F501="dividend",$F501="fee"),IFERROR(LOOKUP(2,1/($B$9:$B$500=$B501),$T$9:$T500),0)&gt;0))),IFERROR(LOOKUP(2,1/($B$9:$B$500=$B501),$T$9:$T500),0)+1,IFERROR(LOOKUP(2,1/($B$9:$B$500=$B501),$T$9:$T500),0)))</f>
        <v/>
      </c>
      <c r="U501" s="47" t="str">
        <f t="shared" si="121"/>
        <v/>
      </c>
      <c r="V501" s="47" t="str">
        <f>IF($A501="","",IF(OR($B501="",$C501="",$D501="",$E501="",$F501=""),"Missing required field",IF(COUNTIFS($A$9:$A501,$A501,$B$9:$B501,$B501)&gt;1,"Duplicate event ID",IF(AND($E501&lt;&gt;IFERROR(LOOKUP(2,1/($B$9:$B$500=$B501),$E$9:$E500),0),IFERROR(LOOKUP(2,1/($B$9:$B$500=$B501),$E$9:$E500),0)&gt;$E501),"Date out of order",IF(AND(OR($F501="buy_to_close",$F501="expire",$F501="roll",$F501="assignment",$F501="called_away"),$AF501=0),"Unknown lot",IF(OR(AND($F501="assignment",$AF501&gt;0,IF($AF501&gt;0,INDEX($AG$9:$AG$500,$AF501),"")&lt;&gt;"put"),AND($F501="called_away",$AF501&gt;0,IF($AF501&gt;0,INDEX($AG$9:$AG$500,$AF501),"")&lt;&gt;"call")),"Wrong option leg",IF(OR(AND(OR($F501="sell_put",$F501="sell_call"),OR($H501&lt;=0,$I501&lt;=0,$J501&lt;0)),AND(OR($F501="buy_to_close",$F501="expire",$F501="assignment",$F501="called_away"),OR($H501&lt;=0,$J501&lt;0)),AND($F501="roll",OR($H501&lt;=0,$I501&lt;=0,$J501&lt;0,$K501&lt;0)),AND(OR($F501="buy_shares",$F501="sell_shares"),OR($L501&lt;=0,$M501&lt;0)),AND(OR($F501="dividend",$F501="fee"),$N501&lt;0)),"Invalid value",IF(AND(OR($F501="sell_shares",$F501="called_away"),$AL501&lt;IF($F501="called_away",$AE501*$D501,$L501)),"Insufficient shares (capped)",IF(AND(OR($F501="buy_to_close",$F501="expire",$F501="roll",$F501="assignment",$F501="called_away"),$AF501&gt;0,$H501&gt;IF($AF501&gt;0,MAX(0,INDEX($AI$9:$AI$500,$AF501)-SUMIFS($AE$9:$AE$500,$G$9:$G$500,$G501,$B$9:$B$500,$B501)),0)),"Close quantity capped","OK")))))))))</f>
        <v/>
      </c>
      <c r="W501" s="48" t="str">
        <f t="shared" si="122"/>
        <v/>
      </c>
      <c r="X501" s="49" t="str">
        <f t="shared" si="123"/>
        <v/>
      </c>
      <c r="Y501" s="50" t="str">
        <f t="shared" si="124"/>
        <v/>
      </c>
      <c r="Z501" s="50" t="str">
        <f t="shared" si="125"/>
        <v/>
      </c>
      <c r="AA501" s="50" t="str">
        <f t="shared" si="126"/>
        <v/>
      </c>
      <c r="AB501" s="50" t="str">
        <f t="shared" si="127"/>
        <v/>
      </c>
      <c r="AC501" s="50" t="str">
        <f>IF($A501="","",IF($F501="assignment",IF($AF501&gt;0,INDEX($AH$9:$AH$500,$AF501),0)*$AE501*$D501,IF($F501="buy_shares",$M501*$AL501,0)))</f>
        <v/>
      </c>
      <c r="AD501" s="50" t="str">
        <f>IF($A501="","",IF($F501="called_away",IF($AF501&gt;0,INDEX($AH$9:$AH$500,$AF501),0)*$AL501,IF($F501="sell_shares",$M501*$AL501,0)))</f>
        <v/>
      </c>
      <c r="AE501" s="51" t="str">
        <f>IF($A501="","",IF(OR($F501="sell_put",$F501="sell_call"),IF(AND($H501&gt;0,$I501&gt;0,$J501&gt;=0),$H501,0),IF(OR($F501="buy_to_close",$F501="expire",$F501="roll",$F501="assignment",$F501="called_away"),IF(AND($AF501&gt;0,$H501&gt;0,IF($F501="assignment",IF($AF501&gt;0,INDEX($AG$9:$AG$500,$AF501),"")="put",TRUE),IF($F501="called_away",IF($AF501&gt;0,INDEX($AG$9:$AG$500,$AF501),"")="call",TRUE)),MIN($H501,IF($AF501&gt;0,MAX(0,INDEX($AI$9:$AI$500,$AF501)-SUMIFS($AE$9:$AE$500,$G$9:$G$500,$G501,$B$9:$B$500,$B501)),0)),0),0)))</f>
        <v/>
      </c>
      <c r="AF501" t="str">
        <f>IF($A501="","",IFERROR(MATCH(LEN($B501)&amp;":"&amp;$B501&amp;$G501,$AY$9:$AY$500,0),0))</f>
        <v/>
      </c>
      <c r="AG501" t="str">
        <f>IF($A501="","",IF($F501="sell_put","put",IF($F501="sell_call","call",IF($F501="roll",IF($AF501&gt;0,IF($AF501&gt;0,INDEX($AG$9:$AG$500,$AF501),""),""),IF($AF501&gt;0,IF($AF501&gt;0,INDEX($AG$9:$AG$500,$AF501),""),"")))))</f>
        <v/>
      </c>
      <c r="AH501" t="str">
        <f>IF($A501="","",IF(OR($F501="sell_put",$F501="sell_call",$F501="roll"),$I501,IF($AF501&gt;0,IF($AF501&gt;0,INDEX($AH$9:$AH$500,$AF501),0),0)))</f>
        <v/>
      </c>
      <c r="AI501" s="51" t="str">
        <f t="shared" si="128"/>
        <v/>
      </c>
      <c r="AJ501" s="51" t="str">
        <f>IF($A501="","",IFERROR(LOOKUP(2,1/($B$9:$B$500=$B501),$AM$9:$AM500),0))</f>
        <v/>
      </c>
      <c r="AK501" t="str">
        <f>IF($A501="","",IFERROR(LOOKUP(2,1/($B$9:$B$500=$B501),$AN$9:$AN500),0))</f>
        <v/>
      </c>
      <c r="AL501" s="51" t="str">
        <f t="shared" si="129"/>
        <v/>
      </c>
      <c r="AM501" s="51" t="str">
        <f t="shared" si="130"/>
        <v/>
      </c>
      <c r="AN501" t="str">
        <f t="shared" si="131"/>
        <v/>
      </c>
      <c r="AO501" s="50" t="str">
        <f>IF($A501="","",IFERROR(LOOKUP(2,1/($B$9:$B$500=$B501),$AO$9:$AO500),0)+IF($F501="sell_put",$I501*$AE501*$D501,IF($F501="roll",IF($AG501="put",($I501-IF($AF501&gt;0,INDEX($AH$9:$AH$500,$AF501),0))*$AE501*$D501,0),IF(AND(OR($F501="buy_to_close",$F501="expire",$F501="roll",$F501="assignment",$F501="called_away"),$F501&lt;&gt;"roll",$AG501="put"),-IF($AF501&gt;0,INDEX($AH$9:$AH$500,$AF501),0)*$AE501*$D501,0))))</f>
        <v/>
      </c>
      <c r="AP501" s="51" t="str">
        <f>IF($A501="","",IFERROR(LOOKUP(2,1/($B$9:$B$500=$B501),$AP$9:$AP500),0)+IF($F501="sell_put",$AE501*$D501,IF(AND(OR($F501="buy_to_close",$F501="expire",$F501="roll",$F501="assignment",$F501="called_away"),$F501&lt;&gt;"roll",$AG501="put"),-$AE501*$D501,0)))</f>
        <v/>
      </c>
      <c r="AQ501" s="51" t="str">
        <f>IF($A501="","",IFERROR(LOOKUP(2,1/($B$9:$B$500=$B501),$AQ$9:$AQ500),0)+IF(OR($F501="sell_put",$F501="sell_call"),$AE501,0)-IF(AND(OR($F501="buy_to_close",$F501="expire",$F501="roll",$F501="assignment",$F501="called_away"),$F501&lt;&gt;"roll"),$AE501,0))</f>
        <v/>
      </c>
      <c r="AR501" t="str">
        <f t="shared" si="132"/>
        <v/>
      </c>
      <c r="AS501" s="50" t="str">
        <f t="shared" si="133"/>
        <v/>
      </c>
      <c r="AT501" s="50" t="str">
        <f>IF($A501="","",MAX(IF($T501=IFERROR(LOOKUP(2,1/($B$9:$B$500=$B501),$T$9:$T500),0),IFERROR(LOOKUP(2,1/($B$9:$B$500=$B501),$AT$9:$AT500),0),0),$AS501))</f>
        <v/>
      </c>
      <c r="AU501" t="str">
        <f t="shared" si="134"/>
        <v/>
      </c>
      <c r="AV501" s="51">
        <f>IF($AU501="",0,IF(AND(IFERROR(LOOKUP(2,1/($B$9:$B$500=$B501),$AR$9:$AR500),1),NOT(AND(OR($F501="dividend",$F501="fee"),IFERROR(LOOKUP(2,1/($B$9:$B$500=$B501),$T$9:$T500),0)&gt;0))),ROW(),0))</f>
        <v>0</v>
      </c>
      <c r="AW501">
        <f>IF($A501="",0,IF($AV501&gt;0,MAX($AW$9:$AW$500)+1,MAX($AW$9:$AW$500)))</f>
        <v>0</v>
      </c>
      <c r="AX501">
        <f>IF($AU501="",0,IF(AND($AR501,OR(NOT(IFERROR(LOOKUP(2,1/($B$9:$B$500=$B501),$AR$9:$AR500),1)),IFERROR(LOOKUP(2,1/($B$9:$B$500=$B501),$T$9:$T500),0)=0)),ROW(),0))</f>
        <v>0</v>
      </c>
      <c r="AY501" t="str">
        <f t="shared" si="135"/>
        <v/>
      </c>
    </row>
    <row r="502" spans="1:51" ht="15" x14ac:dyDescent="0.25">
      <c r="A502" s="52" t="str">
        <f>IF(Trades!$A502="","",Trades!O502)</f>
        <v/>
      </c>
      <c r="B502" s="52" t="str">
        <f>IF(Trades!$A502="","",Trades!B502)</f>
        <v/>
      </c>
      <c r="C502" s="52" t="str">
        <f>IF(Trades!$A502="","",Trades!C502)</f>
        <v/>
      </c>
      <c r="D502" s="53" t="str">
        <f>IF(Trades!$A502="","",IF(Trades!$L502&gt;0,Trades!$L502,Trades!$C$6))</f>
        <v/>
      </c>
      <c r="E502" s="54" t="str">
        <f>IF(Trades!$A502="","",Trades!A502)</f>
        <v/>
      </c>
      <c r="F502" s="52" t="str">
        <f>IF(Trades!$A502="","",IFERROR(INDEX(Trades!$V$2:$V$14,MATCH(Trades!$E502,Trades!$U$2:$U$14,0)),""))</f>
        <v/>
      </c>
      <c r="G502" s="52" t="str">
        <f>IF(Trades!$A502="","",Trades!N502)</f>
        <v/>
      </c>
      <c r="H502" s="53" t="str">
        <f>IF(Trades!$A502="","",Trades!F502)</f>
        <v/>
      </c>
      <c r="I502" s="55" t="str">
        <f>IF(Trades!$A502="","",Trades!G502)</f>
        <v/>
      </c>
      <c r="J502" s="55" t="str">
        <f>IF(Trades!$A502="","",Trades!I502)</f>
        <v/>
      </c>
      <c r="K502" s="55" t="str">
        <f>IF(Trades!$A502="","",Trades!Q502)</f>
        <v/>
      </c>
      <c r="L502" s="53" t="str">
        <f>IF(Trades!$A502="","",Trades!F502)</f>
        <v/>
      </c>
      <c r="M502" s="55" t="str">
        <f>IF(Trades!$A502="","",Trades!M502)</f>
        <v/>
      </c>
      <c r="N502" s="55" t="str">
        <f>IF(Trades!$A502="","",Trades!R502)</f>
        <v/>
      </c>
      <c r="O502" s="55" t="str">
        <f>IF(Trades!$A502="","",Trades!J502)</f>
        <v/>
      </c>
      <c r="P502" s="54" t="str">
        <f>IF(Trades!$A502="","",Trades!H502)</f>
        <v/>
      </c>
      <c r="Q502" s="52" t="str">
        <f>IF(Trades!$A502="","",Trades!P502)</f>
        <v/>
      </c>
      <c r="R502" s="56" t="str">
        <f t="shared" si="119"/>
        <v/>
      </c>
      <c r="S502" s="56" t="str">
        <f t="shared" si="120"/>
        <v/>
      </c>
      <c r="T502" s="57" t="str">
        <f>IF(OR($A502="",$B502=""),"",IF(AND(IFERROR(LOOKUP(2,1/($B$9:$B$501=$B502),$AR$9:$AR501),1),NOT(AND(OR($F502="dividend",$F502="fee"),IFERROR(LOOKUP(2,1/($B$9:$B$501=$B502),$T$9:$T501),0)&gt;0))),IFERROR(LOOKUP(2,1/($B$9:$B$501=$B502),$T$9:$T501),0)+1,IFERROR(LOOKUP(2,1/($B$9:$B$501=$B502),$T$9:$T501),0)))</f>
        <v/>
      </c>
      <c r="U502" s="58" t="str">
        <f t="shared" si="121"/>
        <v/>
      </c>
      <c r="V502" s="58" t="str">
        <f>IF($A502="","",IF(OR($B502="",$C502="",$D502="",$E502="",$F502=""),"Missing required field",IF(COUNTIFS($A$9:$A502,$A502,$B$9:$B502,$B502)&gt;1,"Duplicate event ID",IF(AND($E502&lt;&gt;IFERROR(LOOKUP(2,1/($B$9:$B$501=$B502),$E$9:$E501),0),IFERROR(LOOKUP(2,1/($B$9:$B$501=$B502),$E$9:$E501),0)&gt;$E502),"Date out of order",IF(AND(OR($F502="buy_to_close",$F502="expire",$F502="roll",$F502="assignment",$F502="called_away"),$AF502=0),"Unknown lot",IF(OR(AND($F502="assignment",$AF502&gt;0,IF($AF502&gt;0,INDEX($AG$9:$AG$501,$AF502),"")&lt;&gt;"put"),AND($F502="called_away",$AF502&gt;0,IF($AF502&gt;0,INDEX($AG$9:$AG$501,$AF502),"")&lt;&gt;"call")),"Wrong option leg",IF(OR(AND(OR($F502="sell_put",$F502="sell_call"),OR($H502&lt;=0,$I502&lt;=0,$J502&lt;0)),AND(OR($F502="buy_to_close",$F502="expire",$F502="assignment",$F502="called_away"),OR($H502&lt;=0,$J502&lt;0)),AND($F502="roll",OR($H502&lt;=0,$I502&lt;=0,$J502&lt;0,$K502&lt;0)),AND(OR($F502="buy_shares",$F502="sell_shares"),OR($L502&lt;=0,$M502&lt;0)),AND(OR($F502="dividend",$F502="fee"),$N502&lt;0)),"Invalid value",IF(AND(OR($F502="sell_shares",$F502="called_away"),$AL502&lt;IF($F502="called_away",$AE502*$D502,$L502)),"Insufficient shares (capped)",IF(AND(OR($F502="buy_to_close",$F502="expire",$F502="roll",$F502="assignment",$F502="called_away"),$AF502&gt;0,$H502&gt;IF($AF502&gt;0,MAX(0,INDEX($AI$9:$AI$501,$AF502)-SUMIFS($AE$9:$AE$501,$G$9:$G$501,$G502,$B$9:$B$501,$B502)),0)),"Close quantity capped","OK")))))))))</f>
        <v/>
      </c>
      <c r="W502" s="59" t="str">
        <f t="shared" si="122"/>
        <v/>
      </c>
      <c r="X502" s="60" t="str">
        <f t="shared" si="123"/>
        <v/>
      </c>
      <c r="Y502" s="50" t="str">
        <f t="shared" si="124"/>
        <v/>
      </c>
      <c r="Z502" s="50" t="str">
        <f t="shared" si="125"/>
        <v/>
      </c>
      <c r="AA502" s="50" t="str">
        <f t="shared" si="126"/>
        <v/>
      </c>
      <c r="AB502" s="50" t="str">
        <f t="shared" si="127"/>
        <v/>
      </c>
      <c r="AC502" s="50" t="str">
        <f>IF($A502="","",IF($F502="assignment",IF($AF502&gt;0,INDEX($AH$9:$AH$501,$AF502),0)*$AE502*$D502,IF($F502="buy_shares",$M502*$AL502,0)))</f>
        <v/>
      </c>
      <c r="AD502" s="50" t="str">
        <f>IF($A502="","",IF($F502="called_away",IF($AF502&gt;0,INDEX($AH$9:$AH$501,$AF502),0)*$AL502,IF($F502="sell_shares",$M502*$AL502,0)))</f>
        <v/>
      </c>
      <c r="AE502" s="51" t="str">
        <f>IF($A502="","",IF(OR($F502="sell_put",$F502="sell_call"),IF(AND($H502&gt;0,$I502&gt;0,$J502&gt;=0),$H502,0),IF(OR($F502="buy_to_close",$F502="expire",$F502="roll",$F502="assignment",$F502="called_away"),IF(AND($AF502&gt;0,$H502&gt;0,IF($F502="assignment",IF($AF502&gt;0,INDEX($AG$9:$AG$501,$AF502),"")="put",TRUE),IF($F502="called_away",IF($AF502&gt;0,INDEX($AG$9:$AG$501,$AF502),"")="call",TRUE)),MIN($H502,IF($AF502&gt;0,MAX(0,INDEX($AI$9:$AI$501,$AF502)-SUMIFS($AE$9:$AE$501,$G$9:$G$501,$G502,$B$9:$B$501,$B502)),0)),0),0)))</f>
        <v/>
      </c>
      <c r="AF502" t="str">
        <f>IF($A502="","",IFERROR(MATCH(LEN($B502)&amp;":"&amp;$B502&amp;$G502,$AY$9:$AY$501,0),0))</f>
        <v/>
      </c>
      <c r="AG502" t="str">
        <f>IF($A502="","",IF($F502="sell_put","put",IF($F502="sell_call","call",IF($F502="roll",IF($AF502&gt;0,IF($AF502&gt;0,INDEX($AG$9:$AG$501,$AF502),""),""),IF($AF502&gt;0,IF($AF502&gt;0,INDEX($AG$9:$AG$501,$AF502),""),"")))))</f>
        <v/>
      </c>
      <c r="AH502" t="str">
        <f>IF($A502="","",IF(OR($F502="sell_put",$F502="sell_call",$F502="roll"),$I502,IF($AF502&gt;0,IF($AF502&gt;0,INDEX($AH$9:$AH$501,$AF502),0),0)))</f>
        <v/>
      </c>
      <c r="AI502" s="51" t="str">
        <f t="shared" si="128"/>
        <v/>
      </c>
      <c r="AJ502" s="51" t="str">
        <f>IF($A502="","",IFERROR(LOOKUP(2,1/($B$9:$B$501=$B502),$AM$9:$AM501),0))</f>
        <v/>
      </c>
      <c r="AK502" t="str">
        <f>IF($A502="","",IFERROR(LOOKUP(2,1/($B$9:$B$501=$B502),$AN$9:$AN501),0))</f>
        <v/>
      </c>
      <c r="AL502" s="51" t="str">
        <f t="shared" si="129"/>
        <v/>
      </c>
      <c r="AM502" s="51" t="str">
        <f t="shared" si="130"/>
        <v/>
      </c>
      <c r="AN502" t="str">
        <f t="shared" si="131"/>
        <v/>
      </c>
      <c r="AO502" s="50" t="str">
        <f>IF($A502="","",IFERROR(LOOKUP(2,1/($B$9:$B$501=$B502),$AO$9:$AO501),0)+IF($F502="sell_put",$I502*$AE502*$D502,IF($F502="roll",IF($AG502="put",($I502-IF($AF502&gt;0,INDEX($AH$9:$AH$501,$AF502),0))*$AE502*$D502,0),IF(AND(OR($F502="buy_to_close",$F502="expire",$F502="roll",$F502="assignment",$F502="called_away"),$F502&lt;&gt;"roll",$AG502="put"),-IF($AF502&gt;0,INDEX($AH$9:$AH$501,$AF502),0)*$AE502*$D502,0))))</f>
        <v/>
      </c>
      <c r="AP502" s="51" t="str">
        <f>IF($A502="","",IFERROR(LOOKUP(2,1/($B$9:$B$501=$B502),$AP$9:$AP501),0)+IF($F502="sell_put",$AE502*$D502,IF(AND(OR($F502="buy_to_close",$F502="expire",$F502="roll",$F502="assignment",$F502="called_away"),$F502&lt;&gt;"roll",$AG502="put"),-$AE502*$D502,0)))</f>
        <v/>
      </c>
      <c r="AQ502" s="51" t="str">
        <f>IF($A502="","",IFERROR(LOOKUP(2,1/($B$9:$B$501=$B502),$AQ$9:$AQ501),0)+IF(OR($F502="sell_put",$F502="sell_call"),$AE502,0)-IF(AND(OR($F502="buy_to_close",$F502="expire",$F502="roll",$F502="assignment",$F502="called_away"),$F502&lt;&gt;"roll"),$AE502,0))</f>
        <v/>
      </c>
      <c r="AR502" t="str">
        <f t="shared" si="132"/>
        <v/>
      </c>
      <c r="AS502" s="50" t="str">
        <f t="shared" si="133"/>
        <v/>
      </c>
      <c r="AT502" s="50" t="str">
        <f>IF($A502="","",MAX(IF($T502=IFERROR(LOOKUP(2,1/($B$9:$B$501=$B502),$T$9:$T501),0),IFERROR(LOOKUP(2,1/($B$9:$B$501=$B502),$AT$9:$AT501),0),0),$AS502))</f>
        <v/>
      </c>
      <c r="AU502" t="str">
        <f t="shared" si="134"/>
        <v/>
      </c>
      <c r="AV502" s="51">
        <f>IF($AU502="",0,IF(AND(IFERROR(LOOKUP(2,1/($B$9:$B$501=$B502),$AR$9:$AR501),1),NOT(AND(OR($F502="dividend",$F502="fee"),IFERROR(LOOKUP(2,1/($B$9:$B$501=$B502),$T$9:$T501),0)&gt;0))),ROW(),0))</f>
        <v>0</v>
      </c>
      <c r="AW502">
        <f>IF($A502="",0,IF($AV502&gt;0,MAX($AW$9:$AW$501)+1,MAX($AW$9:$AW$501)))</f>
        <v>0</v>
      </c>
      <c r="AX502">
        <f>IF($AU502="",0,IF(AND($AR502,OR(NOT(IFERROR(LOOKUP(2,1/($B$9:$B$501=$B502),$AR$9:$AR501),1)),IFERROR(LOOKUP(2,1/($B$9:$B$501=$B502),$T$9:$T501),0)=0)),ROW(),0))</f>
        <v>0</v>
      </c>
      <c r="AY502" t="str">
        <f t="shared" si="135"/>
        <v/>
      </c>
    </row>
    <row r="503" spans="1:51" ht="15" x14ac:dyDescent="0.25">
      <c r="A503" s="41" t="str">
        <f>IF(Trades!$A503="","",Trades!O503)</f>
        <v/>
      </c>
      <c r="B503" s="41" t="str">
        <f>IF(Trades!$A503="","",Trades!B503)</f>
        <v/>
      </c>
      <c r="C503" s="41" t="str">
        <f>IF(Trades!$A503="","",Trades!C503)</f>
        <v/>
      </c>
      <c r="D503" s="42" t="str">
        <f>IF(Trades!$A503="","",IF(Trades!$L503&gt;0,Trades!$L503,Trades!$C$6))</f>
        <v/>
      </c>
      <c r="E503" s="43" t="str">
        <f>IF(Trades!$A503="","",Trades!A503)</f>
        <v/>
      </c>
      <c r="F503" s="41" t="str">
        <f>IF(Trades!$A503="","",IFERROR(INDEX(Trades!$V$2:$V$14,MATCH(Trades!$E503,Trades!$U$2:$U$14,0)),""))</f>
        <v/>
      </c>
      <c r="G503" s="41" t="str">
        <f>IF(Trades!$A503="","",Trades!N503)</f>
        <v/>
      </c>
      <c r="H503" s="42" t="str">
        <f>IF(Trades!$A503="","",Trades!F503)</f>
        <v/>
      </c>
      <c r="I503" s="44" t="str">
        <f>IF(Trades!$A503="","",Trades!G503)</f>
        <v/>
      </c>
      <c r="J503" s="44" t="str">
        <f>IF(Trades!$A503="","",Trades!I503)</f>
        <v/>
      </c>
      <c r="K503" s="44" t="str">
        <f>IF(Trades!$A503="","",Trades!Q503)</f>
        <v/>
      </c>
      <c r="L503" s="42" t="str">
        <f>IF(Trades!$A503="","",Trades!F503)</f>
        <v/>
      </c>
      <c r="M503" s="44" t="str">
        <f>IF(Trades!$A503="","",Trades!M503)</f>
        <v/>
      </c>
      <c r="N503" s="44" t="str">
        <f>IF(Trades!$A503="","",Trades!R503)</f>
        <v/>
      </c>
      <c r="O503" s="44" t="str">
        <f>IF(Trades!$A503="","",Trades!J503)</f>
        <v/>
      </c>
      <c r="P503" s="43" t="str">
        <f>IF(Trades!$A503="","",Trades!H503)</f>
        <v/>
      </c>
      <c r="Q503" s="41" t="str">
        <f>IF(Trades!$A503="","",Trades!P503)</f>
        <v/>
      </c>
      <c r="R503" s="45" t="str">
        <f t="shared" si="119"/>
        <v/>
      </c>
      <c r="S503" s="45" t="str">
        <f t="shared" si="120"/>
        <v/>
      </c>
      <c r="T503" s="46" t="str">
        <f>IF(OR($A503="",$B503=""),"",IF(AND(IFERROR(LOOKUP(2,1/($B$9:$B$502=$B503),$AR$9:$AR502),1),NOT(AND(OR($F503="dividend",$F503="fee"),IFERROR(LOOKUP(2,1/($B$9:$B$502=$B503),$T$9:$T502),0)&gt;0))),IFERROR(LOOKUP(2,1/($B$9:$B$502=$B503),$T$9:$T502),0)+1,IFERROR(LOOKUP(2,1/($B$9:$B$502=$B503),$T$9:$T502),0)))</f>
        <v/>
      </c>
      <c r="U503" s="47" t="str">
        <f t="shared" si="121"/>
        <v/>
      </c>
      <c r="V503" s="47" t="str">
        <f>IF($A503="","",IF(OR($B503="",$C503="",$D503="",$E503="",$F503=""),"Missing required field",IF(COUNTIFS($A$9:$A503,$A503,$B$9:$B503,$B503)&gt;1,"Duplicate event ID",IF(AND($E503&lt;&gt;IFERROR(LOOKUP(2,1/($B$9:$B$502=$B503),$E$9:$E502),0),IFERROR(LOOKUP(2,1/($B$9:$B$502=$B503),$E$9:$E502),0)&gt;$E503),"Date out of order",IF(AND(OR($F503="buy_to_close",$F503="expire",$F503="roll",$F503="assignment",$F503="called_away"),$AF503=0),"Unknown lot",IF(OR(AND($F503="assignment",$AF503&gt;0,IF($AF503&gt;0,INDEX($AG$9:$AG$502,$AF503),"")&lt;&gt;"put"),AND($F503="called_away",$AF503&gt;0,IF($AF503&gt;0,INDEX($AG$9:$AG$502,$AF503),"")&lt;&gt;"call")),"Wrong option leg",IF(OR(AND(OR($F503="sell_put",$F503="sell_call"),OR($H503&lt;=0,$I503&lt;=0,$J503&lt;0)),AND(OR($F503="buy_to_close",$F503="expire",$F503="assignment",$F503="called_away"),OR($H503&lt;=0,$J503&lt;0)),AND($F503="roll",OR($H503&lt;=0,$I503&lt;=0,$J503&lt;0,$K503&lt;0)),AND(OR($F503="buy_shares",$F503="sell_shares"),OR($L503&lt;=0,$M503&lt;0)),AND(OR($F503="dividend",$F503="fee"),$N503&lt;0)),"Invalid value",IF(AND(OR($F503="sell_shares",$F503="called_away"),$AL503&lt;IF($F503="called_away",$AE503*$D503,$L503)),"Insufficient shares (capped)",IF(AND(OR($F503="buy_to_close",$F503="expire",$F503="roll",$F503="assignment",$F503="called_away"),$AF503&gt;0,$H503&gt;IF($AF503&gt;0,MAX(0,INDEX($AI$9:$AI$502,$AF503)-SUMIFS($AE$9:$AE$502,$G$9:$G$502,$G503,$B$9:$B$502,$B503)),0)),"Close quantity capped","OK")))))))))</f>
        <v/>
      </c>
      <c r="W503" s="48" t="str">
        <f t="shared" si="122"/>
        <v/>
      </c>
      <c r="X503" s="49" t="str">
        <f t="shared" si="123"/>
        <v/>
      </c>
      <c r="Y503" s="50" t="str">
        <f t="shared" si="124"/>
        <v/>
      </c>
      <c r="Z503" s="50" t="str">
        <f t="shared" si="125"/>
        <v/>
      </c>
      <c r="AA503" s="50" t="str">
        <f t="shared" si="126"/>
        <v/>
      </c>
      <c r="AB503" s="50" t="str">
        <f t="shared" si="127"/>
        <v/>
      </c>
      <c r="AC503" s="50" t="str">
        <f>IF($A503="","",IF($F503="assignment",IF($AF503&gt;0,INDEX($AH$9:$AH$502,$AF503),0)*$AE503*$D503,IF($F503="buy_shares",$M503*$AL503,0)))</f>
        <v/>
      </c>
      <c r="AD503" s="50" t="str">
        <f>IF($A503="","",IF($F503="called_away",IF($AF503&gt;0,INDEX($AH$9:$AH$502,$AF503),0)*$AL503,IF($F503="sell_shares",$M503*$AL503,0)))</f>
        <v/>
      </c>
      <c r="AE503" s="51" t="str">
        <f>IF($A503="","",IF(OR($F503="sell_put",$F503="sell_call"),IF(AND($H503&gt;0,$I503&gt;0,$J503&gt;=0),$H503,0),IF(OR($F503="buy_to_close",$F503="expire",$F503="roll",$F503="assignment",$F503="called_away"),IF(AND($AF503&gt;0,$H503&gt;0,IF($F503="assignment",IF($AF503&gt;0,INDEX($AG$9:$AG$502,$AF503),"")="put",TRUE),IF($F503="called_away",IF($AF503&gt;0,INDEX($AG$9:$AG$502,$AF503),"")="call",TRUE)),MIN($H503,IF($AF503&gt;0,MAX(0,INDEX($AI$9:$AI$502,$AF503)-SUMIFS($AE$9:$AE$502,$G$9:$G$502,$G503,$B$9:$B$502,$B503)),0)),0),0)))</f>
        <v/>
      </c>
      <c r="AF503" t="str">
        <f>IF($A503="","",IFERROR(MATCH(LEN($B503)&amp;":"&amp;$B503&amp;$G503,$AY$9:$AY$502,0),0))</f>
        <v/>
      </c>
      <c r="AG503" t="str">
        <f>IF($A503="","",IF($F503="sell_put","put",IF($F503="sell_call","call",IF($F503="roll",IF($AF503&gt;0,IF($AF503&gt;0,INDEX($AG$9:$AG$502,$AF503),""),""),IF($AF503&gt;0,IF($AF503&gt;0,INDEX($AG$9:$AG$502,$AF503),""),"")))))</f>
        <v/>
      </c>
      <c r="AH503" t="str">
        <f>IF($A503="","",IF(OR($F503="sell_put",$F503="sell_call",$F503="roll"),$I503,IF($AF503&gt;0,IF($AF503&gt;0,INDEX($AH$9:$AH$502,$AF503),0),0)))</f>
        <v/>
      </c>
      <c r="AI503" s="51" t="str">
        <f t="shared" si="128"/>
        <v/>
      </c>
      <c r="AJ503" s="51" t="str">
        <f>IF($A503="","",IFERROR(LOOKUP(2,1/($B$9:$B$502=$B503),$AM$9:$AM502),0))</f>
        <v/>
      </c>
      <c r="AK503" t="str">
        <f>IF($A503="","",IFERROR(LOOKUP(2,1/($B$9:$B$502=$B503),$AN$9:$AN502),0))</f>
        <v/>
      </c>
      <c r="AL503" s="51" t="str">
        <f t="shared" si="129"/>
        <v/>
      </c>
      <c r="AM503" s="51" t="str">
        <f t="shared" si="130"/>
        <v/>
      </c>
      <c r="AN503" t="str">
        <f t="shared" si="131"/>
        <v/>
      </c>
      <c r="AO503" s="50" t="str">
        <f>IF($A503="","",IFERROR(LOOKUP(2,1/($B$9:$B$502=$B503),$AO$9:$AO502),0)+IF($F503="sell_put",$I503*$AE503*$D503,IF($F503="roll",IF($AG503="put",($I503-IF($AF503&gt;0,INDEX($AH$9:$AH$502,$AF503),0))*$AE503*$D503,0),IF(AND(OR($F503="buy_to_close",$F503="expire",$F503="roll",$F503="assignment",$F503="called_away"),$F503&lt;&gt;"roll",$AG503="put"),-IF($AF503&gt;0,INDEX($AH$9:$AH$502,$AF503),0)*$AE503*$D503,0))))</f>
        <v/>
      </c>
      <c r="AP503" s="51" t="str">
        <f>IF($A503="","",IFERROR(LOOKUP(2,1/($B$9:$B$502=$B503),$AP$9:$AP502),0)+IF($F503="sell_put",$AE503*$D503,IF(AND(OR($F503="buy_to_close",$F503="expire",$F503="roll",$F503="assignment",$F503="called_away"),$F503&lt;&gt;"roll",$AG503="put"),-$AE503*$D503,0)))</f>
        <v/>
      </c>
      <c r="AQ503" s="51" t="str">
        <f>IF($A503="","",IFERROR(LOOKUP(2,1/($B$9:$B$502=$B503),$AQ$9:$AQ502),0)+IF(OR($F503="sell_put",$F503="sell_call"),$AE503,0)-IF(AND(OR($F503="buy_to_close",$F503="expire",$F503="roll",$F503="assignment",$F503="called_away"),$F503&lt;&gt;"roll"),$AE503,0))</f>
        <v/>
      </c>
      <c r="AR503" t="str">
        <f t="shared" si="132"/>
        <v/>
      </c>
      <c r="AS503" s="50" t="str">
        <f t="shared" si="133"/>
        <v/>
      </c>
      <c r="AT503" s="50" t="str">
        <f>IF($A503="","",MAX(IF($T503=IFERROR(LOOKUP(2,1/($B$9:$B$502=$B503),$T$9:$T502),0),IFERROR(LOOKUP(2,1/($B$9:$B$502=$B503),$AT$9:$AT502),0),0),$AS503))</f>
        <v/>
      </c>
      <c r="AU503" t="str">
        <f t="shared" si="134"/>
        <v/>
      </c>
      <c r="AV503" s="51">
        <f>IF($AU503="",0,IF(AND(IFERROR(LOOKUP(2,1/($B$9:$B$502=$B503),$AR$9:$AR502),1),NOT(AND(OR($F503="dividend",$F503="fee"),IFERROR(LOOKUP(2,1/($B$9:$B$502=$B503),$T$9:$T502),0)&gt;0))),ROW(),0))</f>
        <v>0</v>
      </c>
      <c r="AW503">
        <f>IF($A503="",0,IF($AV503&gt;0,MAX($AW$9:$AW$502)+1,MAX($AW$9:$AW$502)))</f>
        <v>0</v>
      </c>
      <c r="AX503">
        <f>IF($AU503="",0,IF(AND($AR503,OR(NOT(IFERROR(LOOKUP(2,1/($B$9:$B$502=$B503),$AR$9:$AR502),1)),IFERROR(LOOKUP(2,1/($B$9:$B$502=$B503),$T$9:$T502),0)=0)),ROW(),0))</f>
        <v>0</v>
      </c>
      <c r="AY503" t="str">
        <f t="shared" si="135"/>
        <v/>
      </c>
    </row>
    <row r="504" spans="1:51" ht="15" x14ac:dyDescent="0.25">
      <c r="A504" s="52" t="str">
        <f>IF(Trades!$A504="","",Trades!O504)</f>
        <v/>
      </c>
      <c r="B504" s="52" t="str">
        <f>IF(Trades!$A504="","",Trades!B504)</f>
        <v/>
      </c>
      <c r="C504" s="52" t="str">
        <f>IF(Trades!$A504="","",Trades!C504)</f>
        <v/>
      </c>
      <c r="D504" s="53" t="str">
        <f>IF(Trades!$A504="","",IF(Trades!$L504&gt;0,Trades!$L504,Trades!$C$6))</f>
        <v/>
      </c>
      <c r="E504" s="54" t="str">
        <f>IF(Trades!$A504="","",Trades!A504)</f>
        <v/>
      </c>
      <c r="F504" s="52" t="str">
        <f>IF(Trades!$A504="","",IFERROR(INDEX(Trades!$V$2:$V$14,MATCH(Trades!$E504,Trades!$U$2:$U$14,0)),""))</f>
        <v/>
      </c>
      <c r="G504" s="52" t="str">
        <f>IF(Trades!$A504="","",Trades!N504)</f>
        <v/>
      </c>
      <c r="H504" s="53" t="str">
        <f>IF(Trades!$A504="","",Trades!F504)</f>
        <v/>
      </c>
      <c r="I504" s="55" t="str">
        <f>IF(Trades!$A504="","",Trades!G504)</f>
        <v/>
      </c>
      <c r="J504" s="55" t="str">
        <f>IF(Trades!$A504="","",Trades!I504)</f>
        <v/>
      </c>
      <c r="K504" s="55" t="str">
        <f>IF(Trades!$A504="","",Trades!Q504)</f>
        <v/>
      </c>
      <c r="L504" s="53" t="str">
        <f>IF(Trades!$A504="","",Trades!F504)</f>
        <v/>
      </c>
      <c r="M504" s="55" t="str">
        <f>IF(Trades!$A504="","",Trades!M504)</f>
        <v/>
      </c>
      <c r="N504" s="55" t="str">
        <f>IF(Trades!$A504="","",Trades!R504)</f>
        <v/>
      </c>
      <c r="O504" s="55" t="str">
        <f>IF(Trades!$A504="","",Trades!J504)</f>
        <v/>
      </c>
      <c r="P504" s="54" t="str">
        <f>IF(Trades!$A504="","",Trades!H504)</f>
        <v/>
      </c>
      <c r="Q504" s="52" t="str">
        <f>IF(Trades!$A504="","",Trades!P504)</f>
        <v/>
      </c>
      <c r="R504" s="56" t="str">
        <f t="shared" si="119"/>
        <v/>
      </c>
      <c r="S504" s="56" t="str">
        <f t="shared" si="120"/>
        <v/>
      </c>
      <c r="T504" s="57" t="str">
        <f>IF(OR($A504="",$B504=""),"",IF(AND(IFERROR(LOOKUP(2,1/($B$9:$B$503=$B504),$AR$9:$AR503),1),NOT(AND(OR($F504="dividend",$F504="fee"),IFERROR(LOOKUP(2,1/($B$9:$B$503=$B504),$T$9:$T503),0)&gt;0))),IFERROR(LOOKUP(2,1/($B$9:$B$503=$B504),$T$9:$T503),0)+1,IFERROR(LOOKUP(2,1/($B$9:$B$503=$B504),$T$9:$T503),0)))</f>
        <v/>
      </c>
      <c r="U504" s="58" t="str">
        <f t="shared" si="121"/>
        <v/>
      </c>
      <c r="V504" s="58" t="str">
        <f>IF($A504="","",IF(OR($B504="",$C504="",$D504="",$E504="",$F504=""),"Missing required field",IF(COUNTIFS($A$9:$A504,$A504,$B$9:$B504,$B504)&gt;1,"Duplicate event ID",IF(AND($E504&lt;&gt;IFERROR(LOOKUP(2,1/($B$9:$B$503=$B504),$E$9:$E503),0),IFERROR(LOOKUP(2,1/($B$9:$B$503=$B504),$E$9:$E503),0)&gt;$E504),"Date out of order",IF(AND(OR($F504="buy_to_close",$F504="expire",$F504="roll",$F504="assignment",$F504="called_away"),$AF504=0),"Unknown lot",IF(OR(AND($F504="assignment",$AF504&gt;0,IF($AF504&gt;0,INDEX($AG$9:$AG$503,$AF504),"")&lt;&gt;"put"),AND($F504="called_away",$AF504&gt;0,IF($AF504&gt;0,INDEX($AG$9:$AG$503,$AF504),"")&lt;&gt;"call")),"Wrong option leg",IF(OR(AND(OR($F504="sell_put",$F504="sell_call"),OR($H504&lt;=0,$I504&lt;=0,$J504&lt;0)),AND(OR($F504="buy_to_close",$F504="expire",$F504="assignment",$F504="called_away"),OR($H504&lt;=0,$J504&lt;0)),AND($F504="roll",OR($H504&lt;=0,$I504&lt;=0,$J504&lt;0,$K504&lt;0)),AND(OR($F504="buy_shares",$F504="sell_shares"),OR($L504&lt;=0,$M504&lt;0)),AND(OR($F504="dividend",$F504="fee"),$N504&lt;0)),"Invalid value",IF(AND(OR($F504="sell_shares",$F504="called_away"),$AL504&lt;IF($F504="called_away",$AE504*$D504,$L504)),"Insufficient shares (capped)",IF(AND(OR($F504="buy_to_close",$F504="expire",$F504="roll",$F504="assignment",$F504="called_away"),$AF504&gt;0,$H504&gt;IF($AF504&gt;0,MAX(0,INDEX($AI$9:$AI$503,$AF504)-SUMIFS($AE$9:$AE$503,$G$9:$G$503,$G504,$B$9:$B$503,$B504)),0)),"Close quantity capped","OK")))))))))</f>
        <v/>
      </c>
      <c r="W504" s="59" t="str">
        <f t="shared" si="122"/>
        <v/>
      </c>
      <c r="X504" s="60" t="str">
        <f t="shared" si="123"/>
        <v/>
      </c>
      <c r="Y504" s="50" t="str">
        <f t="shared" si="124"/>
        <v/>
      </c>
      <c r="Z504" s="50" t="str">
        <f t="shared" si="125"/>
        <v/>
      </c>
      <c r="AA504" s="50" t="str">
        <f t="shared" si="126"/>
        <v/>
      </c>
      <c r="AB504" s="50" t="str">
        <f t="shared" si="127"/>
        <v/>
      </c>
      <c r="AC504" s="50" t="str">
        <f>IF($A504="","",IF($F504="assignment",IF($AF504&gt;0,INDEX($AH$9:$AH$503,$AF504),0)*$AE504*$D504,IF($F504="buy_shares",$M504*$AL504,0)))</f>
        <v/>
      </c>
      <c r="AD504" s="50" t="str">
        <f>IF($A504="","",IF($F504="called_away",IF($AF504&gt;0,INDEX($AH$9:$AH$503,$AF504),0)*$AL504,IF($F504="sell_shares",$M504*$AL504,0)))</f>
        <v/>
      </c>
      <c r="AE504" s="51" t="str">
        <f>IF($A504="","",IF(OR($F504="sell_put",$F504="sell_call"),IF(AND($H504&gt;0,$I504&gt;0,$J504&gt;=0),$H504,0),IF(OR($F504="buy_to_close",$F504="expire",$F504="roll",$F504="assignment",$F504="called_away"),IF(AND($AF504&gt;0,$H504&gt;0,IF($F504="assignment",IF($AF504&gt;0,INDEX($AG$9:$AG$503,$AF504),"")="put",TRUE),IF($F504="called_away",IF($AF504&gt;0,INDEX($AG$9:$AG$503,$AF504),"")="call",TRUE)),MIN($H504,IF($AF504&gt;0,MAX(0,INDEX($AI$9:$AI$503,$AF504)-SUMIFS($AE$9:$AE$503,$G$9:$G$503,$G504,$B$9:$B$503,$B504)),0)),0),0)))</f>
        <v/>
      </c>
      <c r="AF504" t="str">
        <f>IF($A504="","",IFERROR(MATCH(LEN($B504)&amp;":"&amp;$B504&amp;$G504,$AY$9:$AY$503,0),0))</f>
        <v/>
      </c>
      <c r="AG504" t="str">
        <f>IF($A504="","",IF($F504="sell_put","put",IF($F504="sell_call","call",IF($F504="roll",IF($AF504&gt;0,IF($AF504&gt;0,INDEX($AG$9:$AG$503,$AF504),""),""),IF($AF504&gt;0,IF($AF504&gt;0,INDEX($AG$9:$AG$503,$AF504),""),"")))))</f>
        <v/>
      </c>
      <c r="AH504" t="str">
        <f>IF($A504="","",IF(OR($F504="sell_put",$F504="sell_call",$F504="roll"),$I504,IF($AF504&gt;0,IF($AF504&gt;0,INDEX($AH$9:$AH$503,$AF504),0),0)))</f>
        <v/>
      </c>
      <c r="AI504" s="51" t="str">
        <f t="shared" si="128"/>
        <v/>
      </c>
      <c r="AJ504" s="51" t="str">
        <f>IF($A504="","",IFERROR(LOOKUP(2,1/($B$9:$B$503=$B504),$AM$9:$AM503),0))</f>
        <v/>
      </c>
      <c r="AK504" t="str">
        <f>IF($A504="","",IFERROR(LOOKUP(2,1/($B$9:$B$503=$B504),$AN$9:$AN503),0))</f>
        <v/>
      </c>
      <c r="AL504" s="51" t="str">
        <f t="shared" si="129"/>
        <v/>
      </c>
      <c r="AM504" s="51" t="str">
        <f t="shared" si="130"/>
        <v/>
      </c>
      <c r="AN504" t="str">
        <f t="shared" si="131"/>
        <v/>
      </c>
      <c r="AO504" s="50" t="str">
        <f>IF($A504="","",IFERROR(LOOKUP(2,1/($B$9:$B$503=$B504),$AO$9:$AO503),0)+IF($F504="sell_put",$I504*$AE504*$D504,IF($F504="roll",IF($AG504="put",($I504-IF($AF504&gt;0,INDEX($AH$9:$AH$503,$AF504),0))*$AE504*$D504,0),IF(AND(OR($F504="buy_to_close",$F504="expire",$F504="roll",$F504="assignment",$F504="called_away"),$F504&lt;&gt;"roll",$AG504="put"),-IF($AF504&gt;0,INDEX($AH$9:$AH$503,$AF504),0)*$AE504*$D504,0))))</f>
        <v/>
      </c>
      <c r="AP504" s="51" t="str">
        <f>IF($A504="","",IFERROR(LOOKUP(2,1/($B$9:$B$503=$B504),$AP$9:$AP503),0)+IF($F504="sell_put",$AE504*$D504,IF(AND(OR($F504="buy_to_close",$F504="expire",$F504="roll",$F504="assignment",$F504="called_away"),$F504&lt;&gt;"roll",$AG504="put"),-$AE504*$D504,0)))</f>
        <v/>
      </c>
      <c r="AQ504" s="51" t="str">
        <f>IF($A504="","",IFERROR(LOOKUP(2,1/($B$9:$B$503=$B504),$AQ$9:$AQ503),0)+IF(OR($F504="sell_put",$F504="sell_call"),$AE504,0)-IF(AND(OR($F504="buy_to_close",$F504="expire",$F504="roll",$F504="assignment",$F504="called_away"),$F504&lt;&gt;"roll"),$AE504,0))</f>
        <v/>
      </c>
      <c r="AR504" t="str">
        <f t="shared" si="132"/>
        <v/>
      </c>
      <c r="AS504" s="50" t="str">
        <f t="shared" si="133"/>
        <v/>
      </c>
      <c r="AT504" s="50" t="str">
        <f>IF($A504="","",MAX(IF($T504=IFERROR(LOOKUP(2,1/($B$9:$B$503=$B504),$T$9:$T503),0),IFERROR(LOOKUP(2,1/($B$9:$B$503=$B504),$AT$9:$AT503),0),0),$AS504))</f>
        <v/>
      </c>
      <c r="AU504" t="str">
        <f t="shared" si="134"/>
        <v/>
      </c>
      <c r="AV504" s="51">
        <f>IF($AU504="",0,IF(AND(IFERROR(LOOKUP(2,1/($B$9:$B$503=$B504),$AR$9:$AR503),1),NOT(AND(OR($F504="dividend",$F504="fee"),IFERROR(LOOKUP(2,1/($B$9:$B$503=$B504),$T$9:$T503),0)&gt;0))),ROW(),0))</f>
        <v>0</v>
      </c>
      <c r="AW504">
        <f>IF($A504="",0,IF($AV504&gt;0,MAX($AW$9:$AW$503)+1,MAX($AW$9:$AW$503)))</f>
        <v>0</v>
      </c>
      <c r="AX504">
        <f>IF($AU504="",0,IF(AND($AR504,OR(NOT(IFERROR(LOOKUP(2,1/($B$9:$B$503=$B504),$AR$9:$AR503),1)),IFERROR(LOOKUP(2,1/($B$9:$B$503=$B504),$T$9:$T503),0)=0)),ROW(),0))</f>
        <v>0</v>
      </c>
      <c r="AY504" t="str">
        <f t="shared" si="135"/>
        <v/>
      </c>
    </row>
    <row r="505" spans="1:51" ht="15" x14ac:dyDescent="0.25">
      <c r="A505" s="41" t="str">
        <f>IF(Trades!$A505="","",Trades!O505)</f>
        <v/>
      </c>
      <c r="B505" s="41" t="str">
        <f>IF(Trades!$A505="","",Trades!B505)</f>
        <v/>
      </c>
      <c r="C505" s="41" t="str">
        <f>IF(Trades!$A505="","",Trades!C505)</f>
        <v/>
      </c>
      <c r="D505" s="42" t="str">
        <f>IF(Trades!$A505="","",IF(Trades!$L505&gt;0,Trades!$L505,Trades!$C$6))</f>
        <v/>
      </c>
      <c r="E505" s="43" t="str">
        <f>IF(Trades!$A505="","",Trades!A505)</f>
        <v/>
      </c>
      <c r="F505" s="41" t="str">
        <f>IF(Trades!$A505="","",IFERROR(INDEX(Trades!$V$2:$V$14,MATCH(Trades!$E505,Trades!$U$2:$U$14,0)),""))</f>
        <v/>
      </c>
      <c r="G505" s="41" t="str">
        <f>IF(Trades!$A505="","",Trades!N505)</f>
        <v/>
      </c>
      <c r="H505" s="42" t="str">
        <f>IF(Trades!$A505="","",Trades!F505)</f>
        <v/>
      </c>
      <c r="I505" s="44" t="str">
        <f>IF(Trades!$A505="","",Trades!G505)</f>
        <v/>
      </c>
      <c r="J505" s="44" t="str">
        <f>IF(Trades!$A505="","",Trades!I505)</f>
        <v/>
      </c>
      <c r="K505" s="44" t="str">
        <f>IF(Trades!$A505="","",Trades!Q505)</f>
        <v/>
      </c>
      <c r="L505" s="42" t="str">
        <f>IF(Trades!$A505="","",Trades!F505)</f>
        <v/>
      </c>
      <c r="M505" s="44" t="str">
        <f>IF(Trades!$A505="","",Trades!M505)</f>
        <v/>
      </c>
      <c r="N505" s="44" t="str">
        <f>IF(Trades!$A505="","",Trades!R505)</f>
        <v/>
      </c>
      <c r="O505" s="44" t="str">
        <f>IF(Trades!$A505="","",Trades!J505)</f>
        <v/>
      </c>
      <c r="P505" s="43" t="str">
        <f>IF(Trades!$A505="","",Trades!H505)</f>
        <v/>
      </c>
      <c r="Q505" s="41" t="str">
        <f>IF(Trades!$A505="","",Trades!P505)</f>
        <v/>
      </c>
      <c r="R505" s="45" t="str">
        <f t="shared" si="119"/>
        <v/>
      </c>
      <c r="S505" s="45" t="str">
        <f t="shared" si="120"/>
        <v/>
      </c>
      <c r="T505" s="46" t="str">
        <f>IF(OR($A505="",$B505=""),"",IF(AND(IFERROR(LOOKUP(2,1/($B$9:$B$504=$B505),$AR$9:$AR504),1),NOT(AND(OR($F505="dividend",$F505="fee"),IFERROR(LOOKUP(2,1/($B$9:$B$504=$B505),$T$9:$T504),0)&gt;0))),IFERROR(LOOKUP(2,1/($B$9:$B$504=$B505),$T$9:$T504),0)+1,IFERROR(LOOKUP(2,1/($B$9:$B$504=$B505),$T$9:$T504),0)))</f>
        <v/>
      </c>
      <c r="U505" s="47" t="str">
        <f t="shared" si="121"/>
        <v/>
      </c>
      <c r="V505" s="47" t="str">
        <f>IF($A505="","",IF(OR($B505="",$C505="",$D505="",$E505="",$F505=""),"Missing required field",IF(COUNTIFS($A$9:$A505,$A505,$B$9:$B505,$B505)&gt;1,"Duplicate event ID",IF(AND($E505&lt;&gt;IFERROR(LOOKUP(2,1/($B$9:$B$504=$B505),$E$9:$E504),0),IFERROR(LOOKUP(2,1/($B$9:$B$504=$B505),$E$9:$E504),0)&gt;$E505),"Date out of order",IF(AND(OR($F505="buy_to_close",$F505="expire",$F505="roll",$F505="assignment",$F505="called_away"),$AF505=0),"Unknown lot",IF(OR(AND($F505="assignment",$AF505&gt;0,IF($AF505&gt;0,INDEX($AG$9:$AG$504,$AF505),"")&lt;&gt;"put"),AND($F505="called_away",$AF505&gt;0,IF($AF505&gt;0,INDEX($AG$9:$AG$504,$AF505),"")&lt;&gt;"call")),"Wrong option leg",IF(OR(AND(OR($F505="sell_put",$F505="sell_call"),OR($H505&lt;=0,$I505&lt;=0,$J505&lt;0)),AND(OR($F505="buy_to_close",$F505="expire",$F505="assignment",$F505="called_away"),OR($H505&lt;=0,$J505&lt;0)),AND($F505="roll",OR($H505&lt;=0,$I505&lt;=0,$J505&lt;0,$K505&lt;0)),AND(OR($F505="buy_shares",$F505="sell_shares"),OR($L505&lt;=0,$M505&lt;0)),AND(OR($F505="dividend",$F505="fee"),$N505&lt;0)),"Invalid value",IF(AND(OR($F505="sell_shares",$F505="called_away"),$AL505&lt;IF($F505="called_away",$AE505*$D505,$L505)),"Insufficient shares (capped)",IF(AND(OR($F505="buy_to_close",$F505="expire",$F505="roll",$F505="assignment",$F505="called_away"),$AF505&gt;0,$H505&gt;IF($AF505&gt;0,MAX(0,INDEX($AI$9:$AI$504,$AF505)-SUMIFS($AE$9:$AE$504,$G$9:$G$504,$G505,$B$9:$B$504,$B505)),0)),"Close quantity capped","OK")))))))))</f>
        <v/>
      </c>
      <c r="W505" s="48" t="str">
        <f t="shared" si="122"/>
        <v/>
      </c>
      <c r="X505" s="49" t="str">
        <f t="shared" si="123"/>
        <v/>
      </c>
      <c r="Y505" s="50" t="str">
        <f t="shared" si="124"/>
        <v/>
      </c>
      <c r="Z505" s="50" t="str">
        <f t="shared" si="125"/>
        <v/>
      </c>
      <c r="AA505" s="50" t="str">
        <f t="shared" si="126"/>
        <v/>
      </c>
      <c r="AB505" s="50" t="str">
        <f t="shared" si="127"/>
        <v/>
      </c>
      <c r="AC505" s="50" t="str">
        <f>IF($A505="","",IF($F505="assignment",IF($AF505&gt;0,INDEX($AH$9:$AH$504,$AF505),0)*$AE505*$D505,IF($F505="buy_shares",$M505*$AL505,0)))</f>
        <v/>
      </c>
      <c r="AD505" s="50" t="str">
        <f>IF($A505="","",IF($F505="called_away",IF($AF505&gt;0,INDEX($AH$9:$AH$504,$AF505),0)*$AL505,IF($F505="sell_shares",$M505*$AL505,0)))</f>
        <v/>
      </c>
      <c r="AE505" s="51" t="str">
        <f>IF($A505="","",IF(OR($F505="sell_put",$F505="sell_call"),IF(AND($H505&gt;0,$I505&gt;0,$J505&gt;=0),$H505,0),IF(OR($F505="buy_to_close",$F505="expire",$F505="roll",$F505="assignment",$F505="called_away"),IF(AND($AF505&gt;0,$H505&gt;0,IF($F505="assignment",IF($AF505&gt;0,INDEX($AG$9:$AG$504,$AF505),"")="put",TRUE),IF($F505="called_away",IF($AF505&gt;0,INDEX($AG$9:$AG$504,$AF505),"")="call",TRUE)),MIN($H505,IF($AF505&gt;0,MAX(0,INDEX($AI$9:$AI$504,$AF505)-SUMIFS($AE$9:$AE$504,$G$9:$G$504,$G505,$B$9:$B$504,$B505)),0)),0),0)))</f>
        <v/>
      </c>
      <c r="AF505" t="str">
        <f>IF($A505="","",IFERROR(MATCH(LEN($B505)&amp;":"&amp;$B505&amp;$G505,$AY$9:$AY$504,0),0))</f>
        <v/>
      </c>
      <c r="AG505" t="str">
        <f>IF($A505="","",IF($F505="sell_put","put",IF($F505="sell_call","call",IF($F505="roll",IF($AF505&gt;0,IF($AF505&gt;0,INDEX($AG$9:$AG$504,$AF505),""),""),IF($AF505&gt;0,IF($AF505&gt;0,INDEX($AG$9:$AG$504,$AF505),""),"")))))</f>
        <v/>
      </c>
      <c r="AH505" t="str">
        <f>IF($A505="","",IF(OR($F505="sell_put",$F505="sell_call",$F505="roll"),$I505,IF($AF505&gt;0,IF($AF505&gt;0,INDEX($AH$9:$AH$504,$AF505),0),0)))</f>
        <v/>
      </c>
      <c r="AI505" s="51" t="str">
        <f t="shared" si="128"/>
        <v/>
      </c>
      <c r="AJ505" s="51" t="str">
        <f>IF($A505="","",IFERROR(LOOKUP(2,1/($B$9:$B$504=$B505),$AM$9:$AM504),0))</f>
        <v/>
      </c>
      <c r="AK505" t="str">
        <f>IF($A505="","",IFERROR(LOOKUP(2,1/($B$9:$B$504=$B505),$AN$9:$AN504),0))</f>
        <v/>
      </c>
      <c r="AL505" s="51" t="str">
        <f t="shared" si="129"/>
        <v/>
      </c>
      <c r="AM505" s="51" t="str">
        <f t="shared" si="130"/>
        <v/>
      </c>
      <c r="AN505" t="str">
        <f t="shared" si="131"/>
        <v/>
      </c>
      <c r="AO505" s="50" t="str">
        <f>IF($A505="","",IFERROR(LOOKUP(2,1/($B$9:$B$504=$B505),$AO$9:$AO504),0)+IF($F505="sell_put",$I505*$AE505*$D505,IF($F505="roll",IF($AG505="put",($I505-IF($AF505&gt;0,INDEX($AH$9:$AH$504,$AF505),0))*$AE505*$D505,0),IF(AND(OR($F505="buy_to_close",$F505="expire",$F505="roll",$F505="assignment",$F505="called_away"),$F505&lt;&gt;"roll",$AG505="put"),-IF($AF505&gt;0,INDEX($AH$9:$AH$504,$AF505),0)*$AE505*$D505,0))))</f>
        <v/>
      </c>
      <c r="AP505" s="51" t="str">
        <f>IF($A505="","",IFERROR(LOOKUP(2,1/($B$9:$B$504=$B505),$AP$9:$AP504),0)+IF($F505="sell_put",$AE505*$D505,IF(AND(OR($F505="buy_to_close",$F505="expire",$F505="roll",$F505="assignment",$F505="called_away"),$F505&lt;&gt;"roll",$AG505="put"),-$AE505*$D505,0)))</f>
        <v/>
      </c>
      <c r="AQ505" s="51" t="str">
        <f>IF($A505="","",IFERROR(LOOKUP(2,1/($B$9:$B$504=$B505),$AQ$9:$AQ504),0)+IF(OR($F505="sell_put",$F505="sell_call"),$AE505,0)-IF(AND(OR($F505="buy_to_close",$F505="expire",$F505="roll",$F505="assignment",$F505="called_away"),$F505&lt;&gt;"roll"),$AE505,0))</f>
        <v/>
      </c>
      <c r="AR505" t="str">
        <f t="shared" si="132"/>
        <v/>
      </c>
      <c r="AS505" s="50" t="str">
        <f t="shared" si="133"/>
        <v/>
      </c>
      <c r="AT505" s="50" t="str">
        <f>IF($A505="","",MAX(IF($T505=IFERROR(LOOKUP(2,1/($B$9:$B$504=$B505),$T$9:$T504),0),IFERROR(LOOKUP(2,1/($B$9:$B$504=$B505),$AT$9:$AT504),0),0),$AS505))</f>
        <v/>
      </c>
      <c r="AU505" t="str">
        <f t="shared" si="134"/>
        <v/>
      </c>
      <c r="AV505" s="51">
        <f>IF($AU505="",0,IF(AND(IFERROR(LOOKUP(2,1/($B$9:$B$504=$B505),$AR$9:$AR504),1),NOT(AND(OR($F505="dividend",$F505="fee"),IFERROR(LOOKUP(2,1/($B$9:$B$504=$B505),$T$9:$T504),0)&gt;0))),ROW(),0))</f>
        <v>0</v>
      </c>
      <c r="AW505">
        <f>IF($A505="",0,IF($AV505&gt;0,MAX($AW$9:$AW$504)+1,MAX($AW$9:$AW$504)))</f>
        <v>0</v>
      </c>
      <c r="AX505">
        <f>IF($AU505="",0,IF(AND($AR505,OR(NOT(IFERROR(LOOKUP(2,1/($B$9:$B$504=$B505),$AR$9:$AR504),1)),IFERROR(LOOKUP(2,1/($B$9:$B$504=$B505),$T$9:$T504),0)=0)),ROW(),0))</f>
        <v>0</v>
      </c>
      <c r="AY505" t="str">
        <f t="shared" si="135"/>
        <v/>
      </c>
    </row>
    <row r="506" spans="1:51" ht="15" x14ac:dyDescent="0.25">
      <c r="A506" s="52" t="str">
        <f>IF(Trades!$A506="","",Trades!O506)</f>
        <v/>
      </c>
      <c r="B506" s="52" t="str">
        <f>IF(Trades!$A506="","",Trades!B506)</f>
        <v/>
      </c>
      <c r="C506" s="52" t="str">
        <f>IF(Trades!$A506="","",Trades!C506)</f>
        <v/>
      </c>
      <c r="D506" s="53" t="str">
        <f>IF(Trades!$A506="","",IF(Trades!$L506&gt;0,Trades!$L506,Trades!$C$6))</f>
        <v/>
      </c>
      <c r="E506" s="54" t="str">
        <f>IF(Trades!$A506="","",Trades!A506)</f>
        <v/>
      </c>
      <c r="F506" s="52" t="str">
        <f>IF(Trades!$A506="","",IFERROR(INDEX(Trades!$V$2:$V$14,MATCH(Trades!$E506,Trades!$U$2:$U$14,0)),""))</f>
        <v/>
      </c>
      <c r="G506" s="52" t="str">
        <f>IF(Trades!$A506="","",Trades!N506)</f>
        <v/>
      </c>
      <c r="H506" s="53" t="str">
        <f>IF(Trades!$A506="","",Trades!F506)</f>
        <v/>
      </c>
      <c r="I506" s="55" t="str">
        <f>IF(Trades!$A506="","",Trades!G506)</f>
        <v/>
      </c>
      <c r="J506" s="55" t="str">
        <f>IF(Trades!$A506="","",Trades!I506)</f>
        <v/>
      </c>
      <c r="K506" s="55" t="str">
        <f>IF(Trades!$A506="","",Trades!Q506)</f>
        <v/>
      </c>
      <c r="L506" s="53" t="str">
        <f>IF(Trades!$A506="","",Trades!F506)</f>
        <v/>
      </c>
      <c r="M506" s="55" t="str">
        <f>IF(Trades!$A506="","",Trades!M506)</f>
        <v/>
      </c>
      <c r="N506" s="55" t="str">
        <f>IF(Trades!$A506="","",Trades!R506)</f>
        <v/>
      </c>
      <c r="O506" s="55" t="str">
        <f>IF(Trades!$A506="","",Trades!J506)</f>
        <v/>
      </c>
      <c r="P506" s="54" t="str">
        <f>IF(Trades!$A506="","",Trades!H506)</f>
        <v/>
      </c>
      <c r="Q506" s="52" t="str">
        <f>IF(Trades!$A506="","",Trades!P506)</f>
        <v/>
      </c>
      <c r="R506" s="56" t="str">
        <f t="shared" si="119"/>
        <v/>
      </c>
      <c r="S506" s="56" t="str">
        <f t="shared" si="120"/>
        <v/>
      </c>
      <c r="T506" s="57" t="str">
        <f>IF(OR($A506="",$B506=""),"",IF(AND(IFERROR(LOOKUP(2,1/($B$9:$B$505=$B506),$AR$9:$AR505),1),NOT(AND(OR($F506="dividend",$F506="fee"),IFERROR(LOOKUP(2,1/($B$9:$B$505=$B506),$T$9:$T505),0)&gt;0))),IFERROR(LOOKUP(2,1/($B$9:$B$505=$B506),$T$9:$T505),0)+1,IFERROR(LOOKUP(2,1/($B$9:$B$505=$B506),$T$9:$T505),0)))</f>
        <v/>
      </c>
      <c r="U506" s="58" t="str">
        <f t="shared" si="121"/>
        <v/>
      </c>
      <c r="V506" s="58" t="str">
        <f>IF($A506="","",IF(OR($B506="",$C506="",$D506="",$E506="",$F506=""),"Missing required field",IF(COUNTIFS($A$9:$A506,$A506,$B$9:$B506,$B506)&gt;1,"Duplicate event ID",IF(AND($E506&lt;&gt;IFERROR(LOOKUP(2,1/($B$9:$B$505=$B506),$E$9:$E505),0),IFERROR(LOOKUP(2,1/($B$9:$B$505=$B506),$E$9:$E505),0)&gt;$E506),"Date out of order",IF(AND(OR($F506="buy_to_close",$F506="expire",$F506="roll",$F506="assignment",$F506="called_away"),$AF506=0),"Unknown lot",IF(OR(AND($F506="assignment",$AF506&gt;0,IF($AF506&gt;0,INDEX($AG$9:$AG$505,$AF506),"")&lt;&gt;"put"),AND($F506="called_away",$AF506&gt;0,IF($AF506&gt;0,INDEX($AG$9:$AG$505,$AF506),"")&lt;&gt;"call")),"Wrong option leg",IF(OR(AND(OR($F506="sell_put",$F506="sell_call"),OR($H506&lt;=0,$I506&lt;=0,$J506&lt;0)),AND(OR($F506="buy_to_close",$F506="expire",$F506="assignment",$F506="called_away"),OR($H506&lt;=0,$J506&lt;0)),AND($F506="roll",OR($H506&lt;=0,$I506&lt;=0,$J506&lt;0,$K506&lt;0)),AND(OR($F506="buy_shares",$F506="sell_shares"),OR($L506&lt;=0,$M506&lt;0)),AND(OR($F506="dividend",$F506="fee"),$N506&lt;0)),"Invalid value",IF(AND(OR($F506="sell_shares",$F506="called_away"),$AL506&lt;IF($F506="called_away",$AE506*$D506,$L506)),"Insufficient shares (capped)",IF(AND(OR($F506="buy_to_close",$F506="expire",$F506="roll",$F506="assignment",$F506="called_away"),$AF506&gt;0,$H506&gt;IF($AF506&gt;0,MAX(0,INDEX($AI$9:$AI$505,$AF506)-SUMIFS($AE$9:$AE$505,$G$9:$G$505,$G506,$B$9:$B$505,$B506)),0)),"Close quantity capped","OK")))))))))</f>
        <v/>
      </c>
      <c r="W506" s="59" t="str">
        <f t="shared" si="122"/>
        <v/>
      </c>
      <c r="X506" s="60" t="str">
        <f t="shared" si="123"/>
        <v/>
      </c>
      <c r="Y506" s="50" t="str">
        <f t="shared" si="124"/>
        <v/>
      </c>
      <c r="Z506" s="50" t="str">
        <f t="shared" si="125"/>
        <v/>
      </c>
      <c r="AA506" s="50" t="str">
        <f t="shared" si="126"/>
        <v/>
      </c>
      <c r="AB506" s="50" t="str">
        <f t="shared" si="127"/>
        <v/>
      </c>
      <c r="AC506" s="50" t="str">
        <f>IF($A506="","",IF($F506="assignment",IF($AF506&gt;0,INDEX($AH$9:$AH$505,$AF506),0)*$AE506*$D506,IF($F506="buy_shares",$M506*$AL506,0)))</f>
        <v/>
      </c>
      <c r="AD506" s="50" t="str">
        <f>IF($A506="","",IF($F506="called_away",IF($AF506&gt;0,INDEX($AH$9:$AH$505,$AF506),0)*$AL506,IF($F506="sell_shares",$M506*$AL506,0)))</f>
        <v/>
      </c>
      <c r="AE506" s="51" t="str">
        <f>IF($A506="","",IF(OR($F506="sell_put",$F506="sell_call"),IF(AND($H506&gt;0,$I506&gt;0,$J506&gt;=0),$H506,0),IF(OR($F506="buy_to_close",$F506="expire",$F506="roll",$F506="assignment",$F506="called_away"),IF(AND($AF506&gt;0,$H506&gt;0,IF($F506="assignment",IF($AF506&gt;0,INDEX($AG$9:$AG$505,$AF506),"")="put",TRUE),IF($F506="called_away",IF($AF506&gt;0,INDEX($AG$9:$AG$505,$AF506),"")="call",TRUE)),MIN($H506,IF($AF506&gt;0,MAX(0,INDEX($AI$9:$AI$505,$AF506)-SUMIFS($AE$9:$AE$505,$G$9:$G$505,$G506,$B$9:$B$505,$B506)),0)),0),0)))</f>
        <v/>
      </c>
      <c r="AF506" t="str">
        <f>IF($A506="","",IFERROR(MATCH(LEN($B506)&amp;":"&amp;$B506&amp;$G506,$AY$9:$AY$505,0),0))</f>
        <v/>
      </c>
      <c r="AG506" t="str">
        <f>IF($A506="","",IF($F506="sell_put","put",IF($F506="sell_call","call",IF($F506="roll",IF($AF506&gt;0,IF($AF506&gt;0,INDEX($AG$9:$AG$505,$AF506),""),""),IF($AF506&gt;0,IF($AF506&gt;0,INDEX($AG$9:$AG$505,$AF506),""),"")))))</f>
        <v/>
      </c>
      <c r="AH506" t="str">
        <f>IF($A506="","",IF(OR($F506="sell_put",$F506="sell_call",$F506="roll"),$I506,IF($AF506&gt;0,IF($AF506&gt;0,INDEX($AH$9:$AH$505,$AF506),0),0)))</f>
        <v/>
      </c>
      <c r="AI506" s="51" t="str">
        <f t="shared" si="128"/>
        <v/>
      </c>
      <c r="AJ506" s="51" t="str">
        <f>IF($A506="","",IFERROR(LOOKUP(2,1/($B$9:$B$505=$B506),$AM$9:$AM505),0))</f>
        <v/>
      </c>
      <c r="AK506" t="str">
        <f>IF($A506="","",IFERROR(LOOKUP(2,1/($B$9:$B$505=$B506),$AN$9:$AN505),0))</f>
        <v/>
      </c>
      <c r="AL506" s="51" t="str">
        <f t="shared" si="129"/>
        <v/>
      </c>
      <c r="AM506" s="51" t="str">
        <f t="shared" si="130"/>
        <v/>
      </c>
      <c r="AN506" t="str">
        <f t="shared" si="131"/>
        <v/>
      </c>
      <c r="AO506" s="50" t="str">
        <f>IF($A506="","",IFERROR(LOOKUP(2,1/($B$9:$B$505=$B506),$AO$9:$AO505),0)+IF($F506="sell_put",$I506*$AE506*$D506,IF($F506="roll",IF($AG506="put",($I506-IF($AF506&gt;0,INDEX($AH$9:$AH$505,$AF506),0))*$AE506*$D506,0),IF(AND(OR($F506="buy_to_close",$F506="expire",$F506="roll",$F506="assignment",$F506="called_away"),$F506&lt;&gt;"roll",$AG506="put"),-IF($AF506&gt;0,INDEX($AH$9:$AH$505,$AF506),0)*$AE506*$D506,0))))</f>
        <v/>
      </c>
      <c r="AP506" s="51" t="str">
        <f>IF($A506="","",IFERROR(LOOKUP(2,1/($B$9:$B$505=$B506),$AP$9:$AP505),0)+IF($F506="sell_put",$AE506*$D506,IF(AND(OR($F506="buy_to_close",$F506="expire",$F506="roll",$F506="assignment",$F506="called_away"),$F506&lt;&gt;"roll",$AG506="put"),-$AE506*$D506,0)))</f>
        <v/>
      </c>
      <c r="AQ506" s="51" t="str">
        <f>IF($A506="","",IFERROR(LOOKUP(2,1/($B$9:$B$505=$B506),$AQ$9:$AQ505),0)+IF(OR($F506="sell_put",$F506="sell_call"),$AE506,0)-IF(AND(OR($F506="buy_to_close",$F506="expire",$F506="roll",$F506="assignment",$F506="called_away"),$F506&lt;&gt;"roll"),$AE506,0))</f>
        <v/>
      </c>
      <c r="AR506" t="str">
        <f t="shared" si="132"/>
        <v/>
      </c>
      <c r="AS506" s="50" t="str">
        <f t="shared" si="133"/>
        <v/>
      </c>
      <c r="AT506" s="50" t="str">
        <f>IF($A506="","",MAX(IF($T506=IFERROR(LOOKUP(2,1/($B$9:$B$505=$B506),$T$9:$T505),0),IFERROR(LOOKUP(2,1/($B$9:$B$505=$B506),$AT$9:$AT505),0),0),$AS506))</f>
        <v/>
      </c>
      <c r="AU506" t="str">
        <f t="shared" si="134"/>
        <v/>
      </c>
      <c r="AV506" s="51">
        <f>IF($AU506="",0,IF(AND(IFERROR(LOOKUP(2,1/($B$9:$B$505=$B506),$AR$9:$AR505),1),NOT(AND(OR($F506="dividend",$F506="fee"),IFERROR(LOOKUP(2,1/($B$9:$B$505=$B506),$T$9:$T505),0)&gt;0))),ROW(),0))</f>
        <v>0</v>
      </c>
      <c r="AW506">
        <f>IF($A506="",0,IF($AV506&gt;0,MAX($AW$9:$AW$505)+1,MAX($AW$9:$AW$505)))</f>
        <v>0</v>
      </c>
      <c r="AX506">
        <f>IF($AU506="",0,IF(AND($AR506,OR(NOT(IFERROR(LOOKUP(2,1/($B$9:$B$505=$B506),$AR$9:$AR505),1)),IFERROR(LOOKUP(2,1/($B$9:$B$505=$B506),$T$9:$T505),0)=0)),ROW(),0))</f>
        <v>0</v>
      </c>
      <c r="AY506" t="str">
        <f t="shared" si="135"/>
        <v/>
      </c>
    </row>
    <row r="507" spans="1:51" ht="15" x14ac:dyDescent="0.25">
      <c r="A507" s="41" t="str">
        <f>IF(Trades!$A507="","",Trades!O507)</f>
        <v/>
      </c>
      <c r="B507" s="41" t="str">
        <f>IF(Trades!$A507="","",Trades!B507)</f>
        <v/>
      </c>
      <c r="C507" s="41" t="str">
        <f>IF(Trades!$A507="","",Trades!C507)</f>
        <v/>
      </c>
      <c r="D507" s="42" t="str">
        <f>IF(Trades!$A507="","",IF(Trades!$L507&gt;0,Trades!$L507,Trades!$C$6))</f>
        <v/>
      </c>
      <c r="E507" s="43" t="str">
        <f>IF(Trades!$A507="","",Trades!A507)</f>
        <v/>
      </c>
      <c r="F507" s="41" t="str">
        <f>IF(Trades!$A507="","",IFERROR(INDEX(Trades!$V$2:$V$14,MATCH(Trades!$E507,Trades!$U$2:$U$14,0)),""))</f>
        <v/>
      </c>
      <c r="G507" s="41" t="str">
        <f>IF(Trades!$A507="","",Trades!N507)</f>
        <v/>
      </c>
      <c r="H507" s="42" t="str">
        <f>IF(Trades!$A507="","",Trades!F507)</f>
        <v/>
      </c>
      <c r="I507" s="44" t="str">
        <f>IF(Trades!$A507="","",Trades!G507)</f>
        <v/>
      </c>
      <c r="J507" s="44" t="str">
        <f>IF(Trades!$A507="","",Trades!I507)</f>
        <v/>
      </c>
      <c r="K507" s="44" t="str">
        <f>IF(Trades!$A507="","",Trades!Q507)</f>
        <v/>
      </c>
      <c r="L507" s="42" t="str">
        <f>IF(Trades!$A507="","",Trades!F507)</f>
        <v/>
      </c>
      <c r="M507" s="44" t="str">
        <f>IF(Trades!$A507="","",Trades!M507)</f>
        <v/>
      </c>
      <c r="N507" s="44" t="str">
        <f>IF(Trades!$A507="","",Trades!R507)</f>
        <v/>
      </c>
      <c r="O507" s="44" t="str">
        <f>IF(Trades!$A507="","",Trades!J507)</f>
        <v/>
      </c>
      <c r="P507" s="43" t="str">
        <f>IF(Trades!$A507="","",Trades!H507)</f>
        <v/>
      </c>
      <c r="Q507" s="41" t="str">
        <f>IF(Trades!$A507="","",Trades!P507)</f>
        <v/>
      </c>
      <c r="R507" s="45" t="str">
        <f t="shared" si="119"/>
        <v/>
      </c>
      <c r="S507" s="45" t="str">
        <f t="shared" si="120"/>
        <v/>
      </c>
      <c r="T507" s="46" t="str">
        <f>IF(OR($A507="",$B507=""),"",IF(AND(IFERROR(LOOKUP(2,1/($B$9:$B$506=$B507),$AR$9:$AR506),1),NOT(AND(OR($F507="dividend",$F507="fee"),IFERROR(LOOKUP(2,1/($B$9:$B$506=$B507),$T$9:$T506),0)&gt;0))),IFERROR(LOOKUP(2,1/($B$9:$B$506=$B507),$T$9:$T506),0)+1,IFERROR(LOOKUP(2,1/($B$9:$B$506=$B507),$T$9:$T506),0)))</f>
        <v/>
      </c>
      <c r="U507" s="47" t="str">
        <f t="shared" si="121"/>
        <v/>
      </c>
      <c r="V507" s="47" t="str">
        <f>IF($A507="","",IF(OR($B507="",$C507="",$D507="",$E507="",$F507=""),"Missing required field",IF(COUNTIFS($A$9:$A507,$A507,$B$9:$B507,$B507)&gt;1,"Duplicate event ID",IF(AND($E507&lt;&gt;IFERROR(LOOKUP(2,1/($B$9:$B$506=$B507),$E$9:$E506),0),IFERROR(LOOKUP(2,1/($B$9:$B$506=$B507),$E$9:$E506),0)&gt;$E507),"Date out of order",IF(AND(OR($F507="buy_to_close",$F507="expire",$F507="roll",$F507="assignment",$F507="called_away"),$AF507=0),"Unknown lot",IF(OR(AND($F507="assignment",$AF507&gt;0,IF($AF507&gt;0,INDEX($AG$9:$AG$506,$AF507),"")&lt;&gt;"put"),AND($F507="called_away",$AF507&gt;0,IF($AF507&gt;0,INDEX($AG$9:$AG$506,$AF507),"")&lt;&gt;"call")),"Wrong option leg",IF(OR(AND(OR($F507="sell_put",$F507="sell_call"),OR($H507&lt;=0,$I507&lt;=0,$J507&lt;0)),AND(OR($F507="buy_to_close",$F507="expire",$F507="assignment",$F507="called_away"),OR($H507&lt;=0,$J507&lt;0)),AND($F507="roll",OR($H507&lt;=0,$I507&lt;=0,$J507&lt;0,$K507&lt;0)),AND(OR($F507="buy_shares",$F507="sell_shares"),OR($L507&lt;=0,$M507&lt;0)),AND(OR($F507="dividend",$F507="fee"),$N507&lt;0)),"Invalid value",IF(AND(OR($F507="sell_shares",$F507="called_away"),$AL507&lt;IF($F507="called_away",$AE507*$D507,$L507)),"Insufficient shares (capped)",IF(AND(OR($F507="buy_to_close",$F507="expire",$F507="roll",$F507="assignment",$F507="called_away"),$AF507&gt;0,$H507&gt;IF($AF507&gt;0,MAX(0,INDEX($AI$9:$AI$506,$AF507)-SUMIFS($AE$9:$AE$506,$G$9:$G$506,$G507,$B$9:$B$506,$B507)),0)),"Close quantity capped","OK")))))))))</f>
        <v/>
      </c>
      <c r="W507" s="48" t="str">
        <f t="shared" si="122"/>
        <v/>
      </c>
      <c r="X507" s="49" t="str">
        <f t="shared" si="123"/>
        <v/>
      </c>
      <c r="Y507" s="50" t="str">
        <f t="shared" si="124"/>
        <v/>
      </c>
      <c r="Z507" s="50" t="str">
        <f t="shared" si="125"/>
        <v/>
      </c>
      <c r="AA507" s="50" t="str">
        <f t="shared" si="126"/>
        <v/>
      </c>
      <c r="AB507" s="50" t="str">
        <f t="shared" si="127"/>
        <v/>
      </c>
      <c r="AC507" s="50" t="str">
        <f>IF($A507="","",IF($F507="assignment",IF($AF507&gt;0,INDEX($AH$9:$AH$506,$AF507),0)*$AE507*$D507,IF($F507="buy_shares",$M507*$AL507,0)))</f>
        <v/>
      </c>
      <c r="AD507" s="50" t="str">
        <f>IF($A507="","",IF($F507="called_away",IF($AF507&gt;0,INDEX($AH$9:$AH$506,$AF507),0)*$AL507,IF($F507="sell_shares",$M507*$AL507,0)))</f>
        <v/>
      </c>
      <c r="AE507" s="51" t="str">
        <f>IF($A507="","",IF(OR($F507="sell_put",$F507="sell_call"),IF(AND($H507&gt;0,$I507&gt;0,$J507&gt;=0),$H507,0),IF(OR($F507="buy_to_close",$F507="expire",$F507="roll",$F507="assignment",$F507="called_away"),IF(AND($AF507&gt;0,$H507&gt;0,IF($F507="assignment",IF($AF507&gt;0,INDEX($AG$9:$AG$506,$AF507),"")="put",TRUE),IF($F507="called_away",IF($AF507&gt;0,INDEX($AG$9:$AG$506,$AF507),"")="call",TRUE)),MIN($H507,IF($AF507&gt;0,MAX(0,INDEX($AI$9:$AI$506,$AF507)-SUMIFS($AE$9:$AE$506,$G$9:$G$506,$G507,$B$9:$B$506,$B507)),0)),0),0)))</f>
        <v/>
      </c>
      <c r="AF507" t="str">
        <f>IF($A507="","",IFERROR(MATCH(LEN($B507)&amp;":"&amp;$B507&amp;$G507,$AY$9:$AY$506,0),0))</f>
        <v/>
      </c>
      <c r="AG507" t="str">
        <f>IF($A507="","",IF($F507="sell_put","put",IF($F507="sell_call","call",IF($F507="roll",IF($AF507&gt;0,IF($AF507&gt;0,INDEX($AG$9:$AG$506,$AF507),""),""),IF($AF507&gt;0,IF($AF507&gt;0,INDEX($AG$9:$AG$506,$AF507),""),"")))))</f>
        <v/>
      </c>
      <c r="AH507" t="str">
        <f>IF($A507="","",IF(OR($F507="sell_put",$F507="sell_call",$F507="roll"),$I507,IF($AF507&gt;0,IF($AF507&gt;0,INDEX($AH$9:$AH$506,$AF507),0),0)))</f>
        <v/>
      </c>
      <c r="AI507" s="51" t="str">
        <f t="shared" si="128"/>
        <v/>
      </c>
      <c r="AJ507" s="51" t="str">
        <f>IF($A507="","",IFERROR(LOOKUP(2,1/($B$9:$B$506=$B507),$AM$9:$AM506),0))</f>
        <v/>
      </c>
      <c r="AK507" t="str">
        <f>IF($A507="","",IFERROR(LOOKUP(2,1/($B$9:$B$506=$B507),$AN$9:$AN506),0))</f>
        <v/>
      </c>
      <c r="AL507" s="51" t="str">
        <f t="shared" si="129"/>
        <v/>
      </c>
      <c r="AM507" s="51" t="str">
        <f t="shared" si="130"/>
        <v/>
      </c>
      <c r="AN507" t="str">
        <f t="shared" si="131"/>
        <v/>
      </c>
      <c r="AO507" s="50" t="str">
        <f>IF($A507="","",IFERROR(LOOKUP(2,1/($B$9:$B$506=$B507),$AO$9:$AO506),0)+IF($F507="sell_put",$I507*$AE507*$D507,IF($F507="roll",IF($AG507="put",($I507-IF($AF507&gt;0,INDEX($AH$9:$AH$506,$AF507),0))*$AE507*$D507,0),IF(AND(OR($F507="buy_to_close",$F507="expire",$F507="roll",$F507="assignment",$F507="called_away"),$F507&lt;&gt;"roll",$AG507="put"),-IF($AF507&gt;0,INDEX($AH$9:$AH$506,$AF507),0)*$AE507*$D507,0))))</f>
        <v/>
      </c>
      <c r="AP507" s="51" t="str">
        <f>IF($A507="","",IFERROR(LOOKUP(2,1/($B$9:$B$506=$B507),$AP$9:$AP506),0)+IF($F507="sell_put",$AE507*$D507,IF(AND(OR($F507="buy_to_close",$F507="expire",$F507="roll",$F507="assignment",$F507="called_away"),$F507&lt;&gt;"roll",$AG507="put"),-$AE507*$D507,0)))</f>
        <v/>
      </c>
      <c r="AQ507" s="51" t="str">
        <f>IF($A507="","",IFERROR(LOOKUP(2,1/($B$9:$B$506=$B507),$AQ$9:$AQ506),0)+IF(OR($F507="sell_put",$F507="sell_call"),$AE507,0)-IF(AND(OR($F507="buy_to_close",$F507="expire",$F507="roll",$F507="assignment",$F507="called_away"),$F507&lt;&gt;"roll"),$AE507,0))</f>
        <v/>
      </c>
      <c r="AR507" t="str">
        <f t="shared" si="132"/>
        <v/>
      </c>
      <c r="AS507" s="50" t="str">
        <f t="shared" si="133"/>
        <v/>
      </c>
      <c r="AT507" s="50" t="str">
        <f>IF($A507="","",MAX(IF($T507=IFERROR(LOOKUP(2,1/($B$9:$B$506=$B507),$T$9:$T506),0),IFERROR(LOOKUP(2,1/($B$9:$B$506=$B507),$AT$9:$AT506),0),0),$AS507))</f>
        <v/>
      </c>
      <c r="AU507" t="str">
        <f t="shared" si="134"/>
        <v/>
      </c>
      <c r="AV507" s="51">
        <f>IF($AU507="",0,IF(AND(IFERROR(LOOKUP(2,1/($B$9:$B$506=$B507),$AR$9:$AR506),1),NOT(AND(OR($F507="dividend",$F507="fee"),IFERROR(LOOKUP(2,1/($B$9:$B$506=$B507),$T$9:$T506),0)&gt;0))),ROW(),0))</f>
        <v>0</v>
      </c>
      <c r="AW507">
        <f>IF($A507="",0,IF($AV507&gt;0,MAX($AW$9:$AW$506)+1,MAX($AW$9:$AW$506)))</f>
        <v>0</v>
      </c>
      <c r="AX507">
        <f>IF($AU507="",0,IF(AND($AR507,OR(NOT(IFERROR(LOOKUP(2,1/($B$9:$B$506=$B507),$AR$9:$AR506),1)),IFERROR(LOOKUP(2,1/($B$9:$B$506=$B507),$T$9:$T506),0)=0)),ROW(),0))</f>
        <v>0</v>
      </c>
      <c r="AY507" t="str">
        <f t="shared" si="135"/>
        <v/>
      </c>
    </row>
    <row r="508" spans="1:51" ht="15" x14ac:dyDescent="0.25">
      <c r="A508" s="52" t="str">
        <f>IF(Trades!$A508="","",Trades!O508)</f>
        <v/>
      </c>
      <c r="B508" s="52" t="str">
        <f>IF(Trades!$A508="","",Trades!B508)</f>
        <v/>
      </c>
      <c r="C508" s="52" t="str">
        <f>IF(Trades!$A508="","",Trades!C508)</f>
        <v/>
      </c>
      <c r="D508" s="53" t="str">
        <f>IF(Trades!$A508="","",IF(Trades!$L508&gt;0,Trades!$L508,Trades!$C$6))</f>
        <v/>
      </c>
      <c r="E508" s="54" t="str">
        <f>IF(Trades!$A508="","",Trades!A508)</f>
        <v/>
      </c>
      <c r="F508" s="52" t="str">
        <f>IF(Trades!$A508="","",IFERROR(INDEX(Trades!$V$2:$V$14,MATCH(Trades!$E508,Trades!$U$2:$U$14,0)),""))</f>
        <v/>
      </c>
      <c r="G508" s="52" t="str">
        <f>IF(Trades!$A508="","",Trades!N508)</f>
        <v/>
      </c>
      <c r="H508" s="53" t="str">
        <f>IF(Trades!$A508="","",Trades!F508)</f>
        <v/>
      </c>
      <c r="I508" s="55" t="str">
        <f>IF(Trades!$A508="","",Trades!G508)</f>
        <v/>
      </c>
      <c r="J508" s="55" t="str">
        <f>IF(Trades!$A508="","",Trades!I508)</f>
        <v/>
      </c>
      <c r="K508" s="55" t="str">
        <f>IF(Trades!$A508="","",Trades!Q508)</f>
        <v/>
      </c>
      <c r="L508" s="53" t="str">
        <f>IF(Trades!$A508="","",Trades!F508)</f>
        <v/>
      </c>
      <c r="M508" s="55" t="str">
        <f>IF(Trades!$A508="","",Trades!M508)</f>
        <v/>
      </c>
      <c r="N508" s="55" t="str">
        <f>IF(Trades!$A508="","",Trades!R508)</f>
        <v/>
      </c>
      <c r="O508" s="55" t="str">
        <f>IF(Trades!$A508="","",Trades!J508)</f>
        <v/>
      </c>
      <c r="P508" s="54" t="str">
        <f>IF(Trades!$A508="","",Trades!H508)</f>
        <v/>
      </c>
      <c r="Q508" s="52" t="str">
        <f>IF(Trades!$A508="","",Trades!P508)</f>
        <v/>
      </c>
      <c r="R508" s="56" t="str">
        <f t="shared" si="119"/>
        <v/>
      </c>
      <c r="S508" s="56" t="str">
        <f t="shared" si="120"/>
        <v/>
      </c>
      <c r="T508" s="57" t="str">
        <f>IF(OR($A508="",$B508=""),"",IF(AND(IFERROR(LOOKUP(2,1/($B$9:$B$507=$B508),$AR$9:$AR507),1),NOT(AND(OR($F508="dividend",$F508="fee"),IFERROR(LOOKUP(2,1/($B$9:$B$507=$B508),$T$9:$T507),0)&gt;0))),IFERROR(LOOKUP(2,1/($B$9:$B$507=$B508),$T$9:$T507),0)+1,IFERROR(LOOKUP(2,1/($B$9:$B$507=$B508),$T$9:$T507),0)))</f>
        <v/>
      </c>
      <c r="U508" s="58" t="str">
        <f t="shared" si="121"/>
        <v/>
      </c>
      <c r="V508" s="58" t="str">
        <f>IF($A508="","",IF(OR($B508="",$C508="",$D508="",$E508="",$F508=""),"Missing required field",IF(COUNTIFS($A$9:$A508,$A508,$B$9:$B508,$B508)&gt;1,"Duplicate event ID",IF(AND($E508&lt;&gt;IFERROR(LOOKUP(2,1/($B$9:$B$507=$B508),$E$9:$E507),0),IFERROR(LOOKUP(2,1/($B$9:$B$507=$B508),$E$9:$E507),0)&gt;$E508),"Date out of order",IF(AND(OR($F508="buy_to_close",$F508="expire",$F508="roll",$F508="assignment",$F508="called_away"),$AF508=0),"Unknown lot",IF(OR(AND($F508="assignment",$AF508&gt;0,IF($AF508&gt;0,INDEX($AG$9:$AG$507,$AF508),"")&lt;&gt;"put"),AND($F508="called_away",$AF508&gt;0,IF($AF508&gt;0,INDEX($AG$9:$AG$507,$AF508),"")&lt;&gt;"call")),"Wrong option leg",IF(OR(AND(OR($F508="sell_put",$F508="sell_call"),OR($H508&lt;=0,$I508&lt;=0,$J508&lt;0)),AND(OR($F508="buy_to_close",$F508="expire",$F508="assignment",$F508="called_away"),OR($H508&lt;=0,$J508&lt;0)),AND($F508="roll",OR($H508&lt;=0,$I508&lt;=0,$J508&lt;0,$K508&lt;0)),AND(OR($F508="buy_shares",$F508="sell_shares"),OR($L508&lt;=0,$M508&lt;0)),AND(OR($F508="dividend",$F508="fee"),$N508&lt;0)),"Invalid value",IF(AND(OR($F508="sell_shares",$F508="called_away"),$AL508&lt;IF($F508="called_away",$AE508*$D508,$L508)),"Insufficient shares (capped)",IF(AND(OR($F508="buy_to_close",$F508="expire",$F508="roll",$F508="assignment",$F508="called_away"),$AF508&gt;0,$H508&gt;IF($AF508&gt;0,MAX(0,INDEX($AI$9:$AI$507,$AF508)-SUMIFS($AE$9:$AE$507,$G$9:$G$507,$G508,$B$9:$B$507,$B508)),0)),"Close quantity capped","OK")))))))))</f>
        <v/>
      </c>
      <c r="W508" s="59" t="str">
        <f t="shared" si="122"/>
        <v/>
      </c>
      <c r="X508" s="60" t="str">
        <f t="shared" si="123"/>
        <v/>
      </c>
      <c r="Y508" s="50" t="str">
        <f t="shared" si="124"/>
        <v/>
      </c>
      <c r="Z508" s="50" t="str">
        <f t="shared" si="125"/>
        <v/>
      </c>
      <c r="AA508" s="50" t="str">
        <f t="shared" si="126"/>
        <v/>
      </c>
      <c r="AB508" s="50" t="str">
        <f t="shared" si="127"/>
        <v/>
      </c>
      <c r="AC508" s="50" t="str">
        <f>IF($A508="","",IF($F508="assignment",IF($AF508&gt;0,INDEX($AH$9:$AH$507,$AF508),0)*$AE508*$D508,IF($F508="buy_shares",$M508*$AL508,0)))</f>
        <v/>
      </c>
      <c r="AD508" s="50" t="str">
        <f>IF($A508="","",IF($F508="called_away",IF($AF508&gt;0,INDEX($AH$9:$AH$507,$AF508),0)*$AL508,IF($F508="sell_shares",$M508*$AL508,0)))</f>
        <v/>
      </c>
      <c r="AE508" s="51" t="str">
        <f>IF($A508="","",IF(OR($F508="sell_put",$F508="sell_call"),IF(AND($H508&gt;0,$I508&gt;0,$J508&gt;=0),$H508,0),IF(OR($F508="buy_to_close",$F508="expire",$F508="roll",$F508="assignment",$F508="called_away"),IF(AND($AF508&gt;0,$H508&gt;0,IF($F508="assignment",IF($AF508&gt;0,INDEX($AG$9:$AG$507,$AF508),"")="put",TRUE),IF($F508="called_away",IF($AF508&gt;0,INDEX($AG$9:$AG$507,$AF508),"")="call",TRUE)),MIN($H508,IF($AF508&gt;0,MAX(0,INDEX($AI$9:$AI$507,$AF508)-SUMIFS($AE$9:$AE$507,$G$9:$G$507,$G508,$B$9:$B$507,$B508)),0)),0),0)))</f>
        <v/>
      </c>
      <c r="AF508" t="str">
        <f>IF($A508="","",IFERROR(MATCH(LEN($B508)&amp;":"&amp;$B508&amp;$G508,$AY$9:$AY$507,0),0))</f>
        <v/>
      </c>
      <c r="AG508" t="str">
        <f>IF($A508="","",IF($F508="sell_put","put",IF($F508="sell_call","call",IF($F508="roll",IF($AF508&gt;0,IF($AF508&gt;0,INDEX($AG$9:$AG$507,$AF508),""),""),IF($AF508&gt;0,IF($AF508&gt;0,INDEX($AG$9:$AG$507,$AF508),""),"")))))</f>
        <v/>
      </c>
      <c r="AH508" t="str">
        <f>IF($A508="","",IF(OR($F508="sell_put",$F508="sell_call",$F508="roll"),$I508,IF($AF508&gt;0,IF($AF508&gt;0,INDEX($AH$9:$AH$507,$AF508),0),0)))</f>
        <v/>
      </c>
      <c r="AI508" s="51" t="str">
        <f t="shared" si="128"/>
        <v/>
      </c>
      <c r="AJ508" s="51" t="str">
        <f>IF($A508="","",IFERROR(LOOKUP(2,1/($B$9:$B$507=$B508),$AM$9:$AM507),0))</f>
        <v/>
      </c>
      <c r="AK508" t="str">
        <f>IF($A508="","",IFERROR(LOOKUP(2,1/($B$9:$B$507=$B508),$AN$9:$AN507),0))</f>
        <v/>
      </c>
      <c r="AL508" s="51" t="str">
        <f t="shared" si="129"/>
        <v/>
      </c>
      <c r="AM508" s="51" t="str">
        <f t="shared" si="130"/>
        <v/>
      </c>
      <c r="AN508" t="str">
        <f t="shared" si="131"/>
        <v/>
      </c>
      <c r="AO508" s="50" t="str">
        <f>IF($A508="","",IFERROR(LOOKUP(2,1/($B$9:$B$507=$B508),$AO$9:$AO507),0)+IF($F508="sell_put",$I508*$AE508*$D508,IF($F508="roll",IF($AG508="put",($I508-IF($AF508&gt;0,INDEX($AH$9:$AH$507,$AF508),0))*$AE508*$D508,0),IF(AND(OR($F508="buy_to_close",$F508="expire",$F508="roll",$F508="assignment",$F508="called_away"),$F508&lt;&gt;"roll",$AG508="put"),-IF($AF508&gt;0,INDEX($AH$9:$AH$507,$AF508),0)*$AE508*$D508,0))))</f>
        <v/>
      </c>
      <c r="AP508" s="51" t="str">
        <f>IF($A508="","",IFERROR(LOOKUP(2,1/($B$9:$B$507=$B508),$AP$9:$AP507),0)+IF($F508="sell_put",$AE508*$D508,IF(AND(OR($F508="buy_to_close",$F508="expire",$F508="roll",$F508="assignment",$F508="called_away"),$F508&lt;&gt;"roll",$AG508="put"),-$AE508*$D508,0)))</f>
        <v/>
      </c>
      <c r="AQ508" s="51" t="str">
        <f>IF($A508="","",IFERROR(LOOKUP(2,1/($B$9:$B$507=$B508),$AQ$9:$AQ507),0)+IF(OR($F508="sell_put",$F508="sell_call"),$AE508,0)-IF(AND(OR($F508="buy_to_close",$F508="expire",$F508="roll",$F508="assignment",$F508="called_away"),$F508&lt;&gt;"roll"),$AE508,0))</f>
        <v/>
      </c>
      <c r="AR508" t="str">
        <f t="shared" si="132"/>
        <v/>
      </c>
      <c r="AS508" s="50" t="str">
        <f t="shared" si="133"/>
        <v/>
      </c>
      <c r="AT508" s="50" t="str">
        <f>IF($A508="","",MAX(IF($T508=IFERROR(LOOKUP(2,1/($B$9:$B$507=$B508),$T$9:$T507),0),IFERROR(LOOKUP(2,1/($B$9:$B$507=$B508),$AT$9:$AT507),0),0),$AS508))</f>
        <v/>
      </c>
      <c r="AU508" t="str">
        <f t="shared" si="134"/>
        <v/>
      </c>
      <c r="AV508" s="51">
        <f>IF($AU508="",0,IF(AND(IFERROR(LOOKUP(2,1/($B$9:$B$507=$B508),$AR$9:$AR507),1),NOT(AND(OR($F508="dividend",$F508="fee"),IFERROR(LOOKUP(2,1/($B$9:$B$507=$B508),$T$9:$T507),0)&gt;0))),ROW(),0))</f>
        <v>0</v>
      </c>
      <c r="AW508">
        <f>IF($A508="",0,IF($AV508&gt;0,MAX($AW$9:$AW$507)+1,MAX($AW$9:$AW$507)))</f>
        <v>0</v>
      </c>
      <c r="AX508">
        <f>IF($AU508="",0,IF(AND($AR508,OR(NOT(IFERROR(LOOKUP(2,1/($B$9:$B$507=$B508),$AR$9:$AR507),1)),IFERROR(LOOKUP(2,1/($B$9:$B$507=$B508),$T$9:$T507),0)=0)),ROW(),0))</f>
        <v>0</v>
      </c>
      <c r="AY508" t="str">
        <f t="shared" si="135"/>
        <v/>
      </c>
    </row>
  </sheetData>
  <autoFilter ref="A8:X508" xr:uid="{00000000-0009-0000-0000-000004000000}"/>
  <mergeCells count="3">
    <mergeCell ref="A4:X4"/>
    <mergeCell ref="A5:X5"/>
    <mergeCell ref="A6:X6"/>
  </mergeCells>
  <dataValidations count="6">
    <dataValidation type="list" sqref="B3" xr:uid="{00000000-0002-0000-0400-000000000000}">
      <formula1>"USD,EUR"</formula1>
    </dataValidation>
    <dataValidation type="list" allowBlank="1" sqref="D9:D508" xr:uid="{00000000-0002-0000-0400-000001000000}">
      <formula1>"10,100"</formula1>
    </dataValidation>
    <dataValidation type="date" showErrorMessage="1" errorTitle="Invalid date" error="Enter a valid reporting date." sqref="E3" xr:uid="{00000000-0002-0000-0400-000002000000}">
      <formula1>25569.0000000115</formula1>
      <formula2>25569.0008497106</formula2>
    </dataValidation>
    <dataValidation type="date" allowBlank="1" sqref="E9:E508" xr:uid="{00000000-0002-0000-0400-000003000000}">
      <formula1>25569.0000000115</formula1>
      <formula2>25569.0008497106</formula2>
    </dataValidation>
    <dataValidation type="list" allowBlank="1" sqref="F9:F508" xr:uid="{00000000-0002-0000-0400-000004000000}">
      <formula1>"sell_put,sell_call,buy_to_close,expire,roll,assignment,called_away,buy_shares,sell_shares,dividend,fee"</formula1>
    </dataValidation>
    <dataValidation type="decimal" operator="greaterThanOrEqual" allowBlank="1" sqref="H9:O508" xr:uid="{00000000-0002-0000-0400-000005000000}">
      <formula1>0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400-000001000000}">
            <xm:f>NOT(ISERROR(SEARCH("OK",V9)))</xm:f>
            <x14:dxf>
              <font>
                <b/>
                <color rgb="FF047857"/>
              </font>
            </x14:dxf>
          </x14:cfRule>
          <x14:cfRule type="containsText" priority="2" operator="containsText" id="{00000000-000E-0000-0400-000002000000}">
            <xm:f>ISNUMBER(SEARCH("Date out of order",V9))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14:cfRule type="containsText" priority="3" operator="containsText" id="{00000000-000E-0000-0400-000003000000}">
            <xm:f>ISNUMBER(SEARCH("Unknown lot",V9))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m:sqref>V9:V508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4" hidden="1" customWidth="1"/>
    <col min="2" max="2" width="17" customWidth="1"/>
    <col min="3" max="3" width="8" customWidth="1"/>
    <col min="4" max="5" width="12" customWidth="1"/>
    <col min="6" max="7" width="13" customWidth="1"/>
    <col min="8" max="8" width="16" customWidth="1"/>
    <col min="9" max="9" width="14" customWidth="1"/>
    <col min="10" max="10" width="16" customWidth="1"/>
    <col min="11" max="12" width="13" customWidth="1"/>
    <col min="13" max="14" width="14" customWidth="1"/>
    <col min="15" max="15" width="15" customWidth="1"/>
    <col min="16" max="16" width="10" customWidth="1"/>
    <col min="17" max="18" width="15" customWidth="1"/>
    <col min="19" max="19" width="16" customWidth="1"/>
    <col min="20" max="22" width="15" customWidth="1"/>
    <col min="23" max="23" width="10" customWidth="1"/>
    <col min="24" max="24" width="17" customWidth="1"/>
    <col min="25" max="26" width="18" customWidth="1"/>
    <col min="27" max="28" width="16" customWidth="1"/>
    <col min="29" max="29" width="14" customWidth="1"/>
    <col min="30" max="30" width="18" customWidth="1"/>
    <col min="31" max="32" width="16" customWidth="1"/>
    <col min="33" max="33" width="34" hidden="1" customWidth="1"/>
    <col min="34" max="34" width="12" customWidth="1"/>
  </cols>
  <sheetData>
    <row r="1" spans="1:33" ht="20.25" x14ac:dyDescent="0.25">
      <c r="A1" s="35" t="s">
        <v>179</v>
      </c>
    </row>
    <row r="2" spans="1:33" ht="21.95" customHeight="1" x14ac:dyDescent="0.25">
      <c r="A2" s="107" t="s">
        <v>180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</row>
    <row r="8" spans="1:33" ht="33.950000000000003" customHeight="1" x14ac:dyDescent="0.25">
      <c r="A8" s="40" t="s">
        <v>175</v>
      </c>
      <c r="B8" s="40" t="s">
        <v>181</v>
      </c>
      <c r="C8" s="40" t="s">
        <v>182</v>
      </c>
      <c r="D8" s="40" t="s">
        <v>168</v>
      </c>
      <c r="E8" s="40" t="s">
        <v>129</v>
      </c>
      <c r="F8" s="40" t="s">
        <v>183</v>
      </c>
      <c r="G8" s="40" t="s">
        <v>184</v>
      </c>
      <c r="H8" s="40" t="s">
        <v>185</v>
      </c>
      <c r="I8" s="40" t="s">
        <v>123</v>
      </c>
      <c r="J8" s="40" t="s">
        <v>17</v>
      </c>
      <c r="K8" s="40" t="s">
        <v>186</v>
      </c>
      <c r="L8" s="40" t="s">
        <v>61</v>
      </c>
      <c r="M8" s="40" t="s">
        <v>187</v>
      </c>
      <c r="N8" s="40" t="s">
        <v>188</v>
      </c>
      <c r="O8" s="40" t="s">
        <v>189</v>
      </c>
      <c r="P8" s="40" t="s">
        <v>120</v>
      </c>
      <c r="Q8" s="40" t="s">
        <v>122</v>
      </c>
      <c r="R8" s="40" t="s">
        <v>190</v>
      </c>
      <c r="S8" s="40" t="s">
        <v>178</v>
      </c>
      <c r="T8" s="40" t="s">
        <v>191</v>
      </c>
      <c r="U8" s="40" t="s">
        <v>124</v>
      </c>
      <c r="V8" s="40" t="s">
        <v>192</v>
      </c>
      <c r="W8" s="40" t="s">
        <v>131</v>
      </c>
      <c r="X8" s="40" t="s">
        <v>193</v>
      </c>
      <c r="Y8" s="40" t="s">
        <v>128</v>
      </c>
      <c r="Z8" s="40" t="s">
        <v>132</v>
      </c>
      <c r="AA8" s="40" t="s">
        <v>133</v>
      </c>
      <c r="AB8" s="40" t="s">
        <v>194</v>
      </c>
      <c r="AC8" s="40" t="s">
        <v>135</v>
      </c>
      <c r="AD8" s="40" t="s">
        <v>195</v>
      </c>
      <c r="AE8" s="40" t="s">
        <v>125</v>
      </c>
      <c r="AF8" s="40" t="s">
        <v>196</v>
      </c>
    </row>
    <row r="9" spans="1:33" ht="15" x14ac:dyDescent="0.25">
      <c r="A9" s="61" t="str">
        <f>IF($AG9="","",IFERROR(INDEX(_EngineTrades!$AU$9:$AU$508,MATCH($AG9,_EngineTrades!$AV$9:$AV$508,0)),""))</f>
        <v>sample-xyz¦1</v>
      </c>
      <c r="B9" s="61" t="str">
        <f>IF($A9="","",INDEX(_EngineTrades!$B$9:$B$508,MATCH($AG9,_EngineTrades!$AV$9:$AV$508,0)))</f>
        <v>sample-xyz</v>
      </c>
      <c r="C9" s="61">
        <f>IF($A9="","",INDEX(_EngineTrades!$T$9:$T$508,MATCH($AG9,_EngineTrades!$AV$9:$AV$508,0)))</f>
        <v>1</v>
      </c>
      <c r="D9" s="47" t="str">
        <f>IF($A9="","",INDEX(_EngineTrades!$C$9:$C$508,MATCH($AG9,_EngineTrades!$AV$9:$AV$508,0)))</f>
        <v>XYZ</v>
      </c>
      <c r="E9" s="62" t="str">
        <f>IF($A9="","",IF(IFERROR(LOOKUP(2,1/(_EngineTrades!$AU$9:$AU$508=$A9),_EngineTrades!$AR$9:$AR$508),FALSE),"Closed","Open"))</f>
        <v>Closed</v>
      </c>
      <c r="F9" s="63">
        <f>IF($A9="","",INDEX(_EngineTrades!$E$9:$E$508,$AG9-8))</f>
        <v>46193</v>
      </c>
      <c r="G9" s="63">
        <f>IF(OR($A9="",$E9&lt;&gt;"Closed"),"",IFERROR(INDEX(_EngineTrades!$E$9:$E$508,SUMIFS(_EngineTrades!$AX$9:$AX$508,_EngineTrades!$AU$9:$AU$508,$A9)-8),""))</f>
        <v>46274</v>
      </c>
      <c r="H9" s="49">
        <f>IF($A9="","",ROUND(SUMIFS(_EngineTrades!$Y$9:$Y$508,_EngineTrades!$AU$9:$AU$508,$A9),4))</f>
        <v>370</v>
      </c>
      <c r="I9" s="49">
        <f>IF($A9="","",ROUND(SUMIFS(_EngineTrades!$Z$9:$Z$508,_EngineTrades!$AU$9:$AU$508,$A9),4))</f>
        <v>0</v>
      </c>
      <c r="J9" s="45">
        <f t="shared" ref="J9:J40" si="0">IF($A9="","",$H9-$I9)</f>
        <v>370</v>
      </c>
      <c r="K9" s="49">
        <f>IF($A9="","",ROUND(SUMIFS(_EngineTrades!$AA$9:$AA$508,_EngineTrades!$AU$9:$AU$508,$A9),4))</f>
        <v>24</v>
      </c>
      <c r="L9" s="49">
        <f>IF($A9="","",ROUND(SUMIFS(_EngineTrades!$AB$9:$AB$508,_EngineTrades!$AU$9:$AU$508,$A9),4))</f>
        <v>1.95</v>
      </c>
      <c r="M9" s="49">
        <f>IF($A9="","",ROUND(SUMIFS(_EngineTrades!$AC$9:$AC$508,_EngineTrades!$AU$9:$AU$508,$A9),4))</f>
        <v>5000</v>
      </c>
      <c r="N9" s="49">
        <f>IF($A9="","",ROUND(SUMIFS(_EngineTrades!$AD$9:$AD$508,_EngineTrades!$AU$9:$AU$508,$A9),4))</f>
        <v>5100</v>
      </c>
      <c r="O9" s="45">
        <f t="shared" ref="O9:O40" si="1">IF($A9="","",ROUND($J9+$K9-$L9-$M9+$N9,4))</f>
        <v>492.05</v>
      </c>
      <c r="P9" s="61">
        <f>IF(OR($A9="",$E9&lt;&gt;"Open"),0,IFERROR(LOOKUP(2,1/(_EngineTrades!$AU$9:$AU$508=$A9),_EngineTrades!$AM$9:$AM$508),0))</f>
        <v>0</v>
      </c>
      <c r="Q9" s="49" t="str">
        <f>IF(OR($A9="",$P9=0),"",ROUND(IFERROR(LOOKUP(2,1/(_EngineTrades!$AU$9:$AU$508=$A9),_EngineTrades!$AN$9:$AN$508),0)/$P9,4))</f>
        <v/>
      </c>
      <c r="R9" s="49">
        <f>IF(OR($A9="",$E9&lt;&gt;"Open"),0,IFERROR(LOOKUP(2,1/(_EngineTrades!$AU$9:$AU$508=$A9),_EngineTrades!$AO$9:$AO$508),0))</f>
        <v>0</v>
      </c>
      <c r="S9" s="49">
        <f>IF(OR($A9="",$E9&lt;&gt;"Open"),0,ROUND($R9+IFERROR(LOOKUP(2,1/(_EngineTrades!$AU$9:$AU$508=$A9),_EngineTrades!$AN$9:$AN$508),0),4))</f>
        <v>0</v>
      </c>
      <c r="T9" s="49">
        <f>IF($A9="","",ROUND(IFERROR(LOOKUP(2,1/(_EngineTrades!$AU$9:$AU$508=$A9),_EngineTrades!$AT$9:$AT$508),0),4))</f>
        <v>5000</v>
      </c>
      <c r="U9" s="49" t="str">
        <f t="shared" ref="U9:U40" si="2">IF(AND($A9&lt;&gt;"",$E9="Open",$P9&gt;0),ROUND(-$O9/$P9,4),"")</f>
        <v/>
      </c>
      <c r="V9" s="49" t="str">
        <f>IF(AND($A9&lt;&gt;"",$E9="Open",$P9+N(IFERROR(LOOKUP(2,1/(_EngineTrades!$AU$9:$AU$508=$A9),_EngineTrades!$AP$9:$AP$508),0))&gt;0),ROUND(($R9-$O9)/($P9+N(IFERROR(LOOKUP(2,1/(_EngineTrades!$AU$9:$AU$508=$A9),_EngineTrades!$AP$9:$AP$508),0))),4),"")</f>
        <v/>
      </c>
      <c r="W9" s="64">
        <f>IF($A9="","",MAX(1,IF($G9="",_EngineTrades!$E$3-$F9,$G9-$F9)))</f>
        <v>81</v>
      </c>
      <c r="X9" s="65">
        <f t="shared" ref="X9:X40" si="3">IF(OR($A9="",$T9=0),"",ROUND(IF($E9="Open",($J9+$K9-$L9)/$T9,$O9/$T9),6))</f>
        <v>9.8409999999999997E-2</v>
      </c>
      <c r="Y9" s="65">
        <f t="shared" ref="Y9:Y40" si="4">IF(OR($A9="",$T9=0),"",ROUND(IF($E9="Open",($J9+$K9-$L9)/$T9,$O9/$T9)*365/$W9,6))</f>
        <v>0.44345200000000001</v>
      </c>
      <c r="Z9" s="44">
        <f>IF(Cycles!U9="",0,Cycles!U9)</f>
        <v>0</v>
      </c>
      <c r="AA9" s="44">
        <f>IF(Cycles!V9="",0,Cycles!V9)</f>
        <v>0</v>
      </c>
      <c r="AB9" s="44">
        <f>IF(Cycles!W9="",0,Cycles!W9)</f>
        <v>0</v>
      </c>
      <c r="AC9" s="44">
        <f>IF(Cycles!X9="",0,Cycles!X9)</f>
        <v>0</v>
      </c>
      <c r="AD9" s="49" t="str">
        <f t="shared" ref="AD9:AD40" si="5">IF(AND($A9&lt;&gt;"",$E9="Open",$P9&gt;0),ROUND($U9-IF($Z9&gt;=0,$Z9,0)+IF($AA9&gt;=0,$AA9,0)/$P9+IF(ISNUMBER($AB9),$AB9,0),4),"")</f>
        <v/>
      </c>
      <c r="AE9" s="49" t="str">
        <f t="shared" ref="AE9:AE40" si="6">IF($AD9="","",ROUND(MAX(0,IF($AC9&gt;0,ROUNDUP(ROUND($AD9/$AC9,9),0)*$AC9,$AD9)),4))</f>
        <v/>
      </c>
      <c r="AF9" s="49" t="str">
        <f t="shared" ref="AF9:AF40" si="7">IF($AE9="","",ROUND($P9*($AE9+IF($Z9&gt;=0,$Z9,0)-$U9)-IF($AA9&gt;=0,$AA9,0),4))</f>
        <v/>
      </c>
      <c r="AG9">
        <f>IFERROR(MATCH(ROWS($AG$9:AG9),_EngineTrades!$AW$9:$AW$508,0)+8,"")</f>
        <v>9</v>
      </c>
    </row>
    <row r="10" spans="1:33" ht="15" x14ac:dyDescent="0.25">
      <c r="A10" s="66" t="str">
        <f>IF($AG10="","",IFERROR(INDEX(_EngineTrades!$AU$9:$AU$508,MATCH($AG10,_EngineTrades!$AV$9:$AV$508,0)),""))</f>
        <v>demo-loss¦1</v>
      </c>
      <c r="B10" s="66" t="str">
        <f>IF($A10="","",INDEX(_EngineTrades!$B$9:$B$508,MATCH($AG10,_EngineTrades!$AV$9:$AV$508,0)))</f>
        <v>demo-loss</v>
      </c>
      <c r="C10" s="66">
        <f>IF($A10="","",INDEX(_EngineTrades!$T$9:$T$508,MATCH($AG10,_EngineTrades!$AV$9:$AV$508,0)))</f>
        <v>1</v>
      </c>
      <c r="D10" s="67" t="str">
        <f>IF($A10="","",INDEX(_EngineTrades!$C$9:$C$508,MATCH($AG10,_EngineTrades!$AV$9:$AV$508,0)))</f>
        <v>MNO</v>
      </c>
      <c r="E10" s="68" t="str">
        <f>IF($A10="","",IF(IFERROR(LOOKUP(2,1/(_EngineTrades!$AU$9:$AU$508=$A10),_EngineTrades!$AR$9:$AR$508),FALSE),"Closed","Open"))</f>
        <v>Closed</v>
      </c>
      <c r="F10" s="69">
        <f>IF($A10="","",INDEX(_EngineTrades!$E$9:$E$508,$AG10-8))</f>
        <v>46228</v>
      </c>
      <c r="G10" s="69">
        <f>IF(OR($A10="",$E10&lt;&gt;"Closed"),"",IFERROR(INDEX(_EngineTrades!$E$9:$E$508,SUMIFS(_EngineTrades!$AX$9:$AX$508,_EngineTrades!$AU$9:$AU$508,$A10)-8),""))</f>
        <v>46255</v>
      </c>
      <c r="H10" s="70">
        <f>IF($A10="","",ROUND(SUMIFS(_EngineTrades!$Y$9:$Y$508,_EngineTrades!$AU$9:$AU$508,$A10),4))</f>
        <v>20</v>
      </c>
      <c r="I10" s="70">
        <f>IF($A10="","",ROUND(SUMIFS(_EngineTrades!$Z$9:$Z$508,_EngineTrades!$AU$9:$AU$508,$A10),4))</f>
        <v>0</v>
      </c>
      <c r="J10" s="71">
        <f t="shared" si="0"/>
        <v>20</v>
      </c>
      <c r="K10" s="70">
        <f>IF($A10="","",ROUND(SUMIFS(_EngineTrades!$AA$9:$AA$508,_EngineTrades!$AU$9:$AU$508,$A10),4))</f>
        <v>0</v>
      </c>
      <c r="L10" s="70">
        <f>IF($A10="","",ROUND(SUMIFS(_EngineTrades!$AB$9:$AB$508,_EngineTrades!$AU$9:$AU$508,$A10),4))</f>
        <v>2.2999999999999998</v>
      </c>
      <c r="M10" s="70">
        <f>IF($A10="","",ROUND(SUMIFS(_EngineTrades!$AC$9:$AC$508,_EngineTrades!$AU$9:$AU$508,$A10),4))</f>
        <v>4000</v>
      </c>
      <c r="N10" s="70">
        <f>IF($A10="","",ROUND(SUMIFS(_EngineTrades!$AD$9:$AD$508,_EngineTrades!$AU$9:$AU$508,$A10),4))</f>
        <v>3900</v>
      </c>
      <c r="O10" s="71">
        <f t="shared" si="1"/>
        <v>-82.3</v>
      </c>
      <c r="P10" s="66">
        <f>IF(OR($A10="",$E10&lt;&gt;"Open"),0,IFERROR(LOOKUP(2,1/(_EngineTrades!$AU$9:$AU$508=$A10),_EngineTrades!$AM$9:$AM$508),0))</f>
        <v>0</v>
      </c>
      <c r="Q10" s="70" t="str">
        <f>IF(OR($A10="",$P10=0),"",ROUND(IFERROR(LOOKUP(2,1/(_EngineTrades!$AU$9:$AU$508=$A10),_EngineTrades!$AN$9:$AN$508),0)/$P10,4))</f>
        <v/>
      </c>
      <c r="R10" s="70">
        <f>IF(OR($A10="",$E10&lt;&gt;"Open"),0,IFERROR(LOOKUP(2,1/(_EngineTrades!$AU$9:$AU$508=$A10),_EngineTrades!$AO$9:$AO$508),0))</f>
        <v>0</v>
      </c>
      <c r="S10" s="70">
        <f>IF(OR($A10="",$E10&lt;&gt;"Open"),0,ROUND($R10+IFERROR(LOOKUP(2,1/(_EngineTrades!$AU$9:$AU$508=$A10),_EngineTrades!$AN$9:$AN$508),0),4))</f>
        <v>0</v>
      </c>
      <c r="T10" s="70">
        <f>IF($A10="","",ROUND(IFERROR(LOOKUP(2,1/(_EngineTrades!$AU$9:$AU$508=$A10),_EngineTrades!$AT$9:$AT$508),0),4))</f>
        <v>4000</v>
      </c>
      <c r="U10" s="70" t="str">
        <f t="shared" si="2"/>
        <v/>
      </c>
      <c r="V10" s="70" t="str">
        <f>IF(AND($A10&lt;&gt;"",$E10="Open",$P10+N(IFERROR(LOOKUP(2,1/(_EngineTrades!$AU$9:$AU$508=$A10),_EngineTrades!$AP$9:$AP$508),0))&gt;0),ROUND(($R10-$O10)/($P10+N(IFERROR(LOOKUP(2,1/(_EngineTrades!$AU$9:$AU$508=$A10),_EngineTrades!$AP$9:$AP$508),0))),4),"")</f>
        <v/>
      </c>
      <c r="W10" s="72">
        <f>IF($A10="","",MAX(1,IF($G10="",_EngineTrades!$E$3-$F10,$G10-$F10)))</f>
        <v>27</v>
      </c>
      <c r="X10" s="73">
        <f t="shared" si="3"/>
        <v>-2.0575E-2</v>
      </c>
      <c r="Y10" s="73">
        <f t="shared" si="4"/>
        <v>-0.278144</v>
      </c>
      <c r="Z10" s="44">
        <f>IF(Cycles!U10="",0,Cycles!U10)</f>
        <v>0</v>
      </c>
      <c r="AA10" s="44">
        <f>IF(Cycles!V10="",0,Cycles!V10)</f>
        <v>0</v>
      </c>
      <c r="AB10" s="44">
        <f>IF(Cycles!W10="",0,Cycles!W10)</f>
        <v>0</v>
      </c>
      <c r="AC10" s="44">
        <f>IF(Cycles!X10="",0,Cycles!X10)</f>
        <v>0</v>
      </c>
      <c r="AD10" s="70" t="str">
        <f t="shared" si="5"/>
        <v/>
      </c>
      <c r="AE10" s="70" t="str">
        <f t="shared" si="6"/>
        <v/>
      </c>
      <c r="AF10" s="70" t="str">
        <f t="shared" si="7"/>
        <v/>
      </c>
      <c r="AG10">
        <f>IFERROR(MATCH(ROWS($AG$9:AG10),_EngineTrades!$AW$9:$AW$508,0)+8,"")</f>
        <v>12</v>
      </c>
    </row>
    <row r="11" spans="1:33" ht="15" x14ac:dyDescent="0.25">
      <c r="A11" s="61" t="str">
        <f>IF($AG11="","",IFERROR(INDEX(_EngineTrades!$AU$9:$AU$508,MATCH($AG11,_EngineTrades!$AV$9:$AV$508,0)),""))</f>
        <v>demo-direct¦1</v>
      </c>
      <c r="B11" s="61" t="str">
        <f>IF($A11="","",INDEX(_EngineTrades!$B$9:$B$508,MATCH($AG11,_EngineTrades!$AV$9:$AV$508,0)))</f>
        <v>demo-direct</v>
      </c>
      <c r="C11" s="61">
        <f>IF($A11="","",INDEX(_EngineTrades!$T$9:$T$508,MATCH($AG11,_EngineTrades!$AV$9:$AV$508,0)))</f>
        <v>1</v>
      </c>
      <c r="D11" s="47" t="str">
        <f>IF($A11="","",INDEX(_EngineTrades!$C$9:$C$508,MATCH($AG11,_EngineTrades!$AV$9:$AV$508,0)))</f>
        <v>DEF</v>
      </c>
      <c r="E11" s="62" t="str">
        <f>IF($A11="","",IF(IFERROR(LOOKUP(2,1/(_EngineTrades!$AU$9:$AU$508=$A11),_EngineTrades!$AR$9:$AR$508),FALSE),"Closed","Open"))</f>
        <v>Closed</v>
      </c>
      <c r="F11" s="63">
        <f>IF($A11="","",INDEX(_EngineTrades!$E$9:$E$508,$AG11-8))</f>
        <v>46243</v>
      </c>
      <c r="G11" s="63">
        <f>IF(OR($A11="",$E11&lt;&gt;"Closed"),"",IFERROR(INDEX(_EngineTrades!$E$9:$E$508,SUMIFS(_EngineTrades!$AX$9:$AX$508,_EngineTrades!$AU$9:$AU$508,$A11)-8),""))</f>
        <v>46271</v>
      </c>
      <c r="H11" s="49">
        <f>IF($A11="","",ROUND(SUMIFS(_EngineTrades!$Y$9:$Y$508,_EngineTrades!$AU$9:$AU$508,$A11),4))</f>
        <v>50</v>
      </c>
      <c r="I11" s="49">
        <f>IF($A11="","",ROUND(SUMIFS(_EngineTrades!$Z$9:$Z$508,_EngineTrades!$AU$9:$AU$508,$A11),4))</f>
        <v>10</v>
      </c>
      <c r="J11" s="45">
        <f t="shared" si="0"/>
        <v>40</v>
      </c>
      <c r="K11" s="49">
        <f>IF($A11="","",ROUND(SUMIFS(_EngineTrades!$AA$9:$AA$508,_EngineTrades!$AU$9:$AU$508,$A11),4))</f>
        <v>0</v>
      </c>
      <c r="L11" s="49">
        <f>IF($A11="","",ROUND(SUMIFS(_EngineTrades!$AB$9:$AB$508,_EngineTrades!$AU$9:$AU$508,$A11),4))</f>
        <v>3.3</v>
      </c>
      <c r="M11" s="49">
        <f>IF($A11="","",ROUND(SUMIFS(_EngineTrades!$AC$9:$AC$508,_EngineTrades!$AU$9:$AU$508,$A11),4))</f>
        <v>2500</v>
      </c>
      <c r="N11" s="49">
        <f>IF($A11="","",ROUND(SUMIFS(_EngineTrades!$AD$9:$AD$508,_EngineTrades!$AU$9:$AU$508,$A11),4))</f>
        <v>2600</v>
      </c>
      <c r="O11" s="45">
        <f t="shared" si="1"/>
        <v>136.69999999999999</v>
      </c>
      <c r="P11" s="61">
        <f>IF(OR($A11="",$E11&lt;&gt;"Open"),0,IFERROR(LOOKUP(2,1/(_EngineTrades!$AU$9:$AU$508=$A11),_EngineTrades!$AM$9:$AM$508),0))</f>
        <v>0</v>
      </c>
      <c r="Q11" s="49" t="str">
        <f>IF(OR($A11="",$P11=0),"",ROUND(IFERROR(LOOKUP(2,1/(_EngineTrades!$AU$9:$AU$508=$A11),_EngineTrades!$AN$9:$AN$508),0)/$P11,4))</f>
        <v/>
      </c>
      <c r="R11" s="49">
        <f>IF(OR($A11="",$E11&lt;&gt;"Open"),0,IFERROR(LOOKUP(2,1/(_EngineTrades!$AU$9:$AU$508=$A11),_EngineTrades!$AO$9:$AO$508),0))</f>
        <v>0</v>
      </c>
      <c r="S11" s="49">
        <f>IF(OR($A11="",$E11&lt;&gt;"Open"),0,ROUND($R11+IFERROR(LOOKUP(2,1/(_EngineTrades!$AU$9:$AU$508=$A11),_EngineTrades!$AN$9:$AN$508),0),4))</f>
        <v>0</v>
      </c>
      <c r="T11" s="49">
        <f>IF($A11="","",ROUND(IFERROR(LOOKUP(2,1/(_EngineTrades!$AU$9:$AU$508=$A11),_EngineTrades!$AT$9:$AT$508),0),4))</f>
        <v>2500</v>
      </c>
      <c r="U11" s="49" t="str">
        <f t="shared" si="2"/>
        <v/>
      </c>
      <c r="V11" s="49" t="str">
        <f>IF(AND($A11&lt;&gt;"",$E11="Open",$P11+N(IFERROR(LOOKUP(2,1/(_EngineTrades!$AU$9:$AU$508=$A11),_EngineTrades!$AP$9:$AP$508),0))&gt;0),ROUND(($R11-$O11)/($P11+N(IFERROR(LOOKUP(2,1/(_EngineTrades!$AU$9:$AU$508=$A11),_EngineTrades!$AP$9:$AP$508),0))),4),"")</f>
        <v/>
      </c>
      <c r="W11" s="64">
        <f>IF($A11="","",MAX(1,IF($G11="",_EngineTrades!$E$3-$F11,$G11-$F11)))</f>
        <v>28</v>
      </c>
      <c r="X11" s="65">
        <f t="shared" si="3"/>
        <v>5.4679999999999999E-2</v>
      </c>
      <c r="Y11" s="65">
        <f t="shared" si="4"/>
        <v>0.71279300000000001</v>
      </c>
      <c r="Z11" s="44">
        <f>IF(Cycles!U11="",0,Cycles!U11)</f>
        <v>0</v>
      </c>
      <c r="AA11" s="44">
        <f>IF(Cycles!V11="",0,Cycles!V11)</f>
        <v>0</v>
      </c>
      <c r="AB11" s="44">
        <f>IF(Cycles!W11="",0,Cycles!W11)</f>
        <v>0</v>
      </c>
      <c r="AC11" s="44">
        <f>IF(Cycles!X11="",0,Cycles!X11)</f>
        <v>0</v>
      </c>
      <c r="AD11" s="49" t="str">
        <f t="shared" si="5"/>
        <v/>
      </c>
      <c r="AE11" s="49" t="str">
        <f t="shared" si="6"/>
        <v/>
      </c>
      <c r="AF11" s="49" t="str">
        <f t="shared" si="7"/>
        <v/>
      </c>
      <c r="AG11">
        <f>IFERROR(MATCH(ROWS($AG$9:AG11),_EngineTrades!$AW$9:$AW$508,0)+8,"")</f>
        <v>14</v>
      </c>
    </row>
    <row r="12" spans="1:33" ht="15" x14ac:dyDescent="0.25">
      <c r="A12" s="66" t="str">
        <f>IF($AG12="","",IFERROR(INDEX(_EngineTrades!$AU$9:$AU$508,MATCH($AG12,_EngineTrades!$AV$9:$AV$508,0)),""))</f>
        <v>demo-eur¦1</v>
      </c>
      <c r="B12" s="66" t="str">
        <f>IF($A12="","",INDEX(_EngineTrades!$B$9:$B$508,MATCH($AG12,_EngineTrades!$AV$9:$AV$508,0)))</f>
        <v>demo-eur</v>
      </c>
      <c r="C12" s="66">
        <f>IF($A12="","",INDEX(_EngineTrades!$T$9:$T$508,MATCH($AG12,_EngineTrades!$AV$9:$AV$508,0)))</f>
        <v>1</v>
      </c>
      <c r="D12" s="67" t="str">
        <f>IF($A12="","",INDEX(_EngineTrades!$C$9:$C$508,MATCH($AG12,_EngineTrades!$AV$9:$AV$508,0)))</f>
        <v>EURX</v>
      </c>
      <c r="E12" s="68" t="str">
        <f>IF($A12="","",IF(IFERROR(LOOKUP(2,1/(_EngineTrades!$AU$9:$AU$508=$A12),_EngineTrades!$AR$9:$AR$508),FALSE),"Closed","Open"))</f>
        <v>Closed</v>
      </c>
      <c r="F12" s="69">
        <f>IF($A12="","",INDEX(_EngineTrades!$E$9:$E$508,$AG12-8))</f>
        <v>46265</v>
      </c>
      <c r="G12" s="69">
        <f>IF(OR($A12="",$E12&lt;&gt;"Closed"),"",IFERROR(INDEX(_EngineTrades!$E$9:$E$508,SUMIFS(_EngineTrades!$AX$9:$AX$508,_EngineTrades!$AU$9:$AU$508,$A12)-8),""))</f>
        <v>46293</v>
      </c>
      <c r="H12" s="70">
        <f>IF($A12="","",ROUND(SUMIFS(_EngineTrades!$Y$9:$Y$508,_EngineTrades!$AU$9:$AU$508,$A12),4))</f>
        <v>60</v>
      </c>
      <c r="I12" s="70">
        <f>IF($A12="","",ROUND(SUMIFS(_EngineTrades!$Z$9:$Z$508,_EngineTrades!$AU$9:$AU$508,$A12),4))</f>
        <v>0</v>
      </c>
      <c r="J12" s="71">
        <f t="shared" si="0"/>
        <v>60</v>
      </c>
      <c r="K12" s="70">
        <f>IF($A12="","",ROUND(SUMIFS(_EngineTrades!$AA$9:$AA$508,_EngineTrades!$AU$9:$AU$508,$A12),4))</f>
        <v>0</v>
      </c>
      <c r="L12" s="70">
        <f>IF($A12="","",ROUND(SUMIFS(_EngineTrades!$AB$9:$AB$508,_EngineTrades!$AU$9:$AU$508,$A12),4))</f>
        <v>0.65</v>
      </c>
      <c r="M12" s="70">
        <f>IF($A12="","",ROUND(SUMIFS(_EngineTrades!$AC$9:$AC$508,_EngineTrades!$AU$9:$AU$508,$A12),4))</f>
        <v>0</v>
      </c>
      <c r="N12" s="70">
        <f>IF($A12="","",ROUND(SUMIFS(_EngineTrades!$AD$9:$AD$508,_EngineTrades!$AU$9:$AU$508,$A12),4))</f>
        <v>0</v>
      </c>
      <c r="O12" s="71">
        <f t="shared" si="1"/>
        <v>59.35</v>
      </c>
      <c r="P12" s="66">
        <f>IF(OR($A12="",$E12&lt;&gt;"Open"),0,IFERROR(LOOKUP(2,1/(_EngineTrades!$AU$9:$AU$508=$A12),_EngineTrades!$AM$9:$AM$508),0))</f>
        <v>0</v>
      </c>
      <c r="Q12" s="70" t="str">
        <f>IF(OR($A12="",$P12=0),"",ROUND(IFERROR(LOOKUP(2,1/(_EngineTrades!$AU$9:$AU$508=$A12),_EngineTrades!$AN$9:$AN$508),0)/$P12,4))</f>
        <v/>
      </c>
      <c r="R12" s="70">
        <f>IF(OR($A12="",$E12&lt;&gt;"Open"),0,IFERROR(LOOKUP(2,1/(_EngineTrades!$AU$9:$AU$508=$A12),_EngineTrades!$AO$9:$AO$508),0))</f>
        <v>0</v>
      </c>
      <c r="S12" s="70">
        <f>IF(OR($A12="",$E12&lt;&gt;"Open"),0,ROUND($R12+IFERROR(LOOKUP(2,1/(_EngineTrades!$AU$9:$AU$508=$A12),_EngineTrades!$AN$9:$AN$508),0),4))</f>
        <v>0</v>
      </c>
      <c r="T12" s="70">
        <f>IF($A12="","",ROUND(IFERROR(LOOKUP(2,1/(_EngineTrades!$AU$9:$AU$508=$A12),_EngineTrades!$AT$9:$AT$508),0),4))</f>
        <v>3500</v>
      </c>
      <c r="U12" s="70" t="str">
        <f t="shared" si="2"/>
        <v/>
      </c>
      <c r="V12" s="70" t="str">
        <f>IF(AND($A12&lt;&gt;"",$E12="Open",$P12+N(IFERROR(LOOKUP(2,1/(_EngineTrades!$AU$9:$AU$508=$A12),_EngineTrades!$AP$9:$AP$508),0))&gt;0),ROUND(($R12-$O12)/($P12+N(IFERROR(LOOKUP(2,1/(_EngineTrades!$AU$9:$AU$508=$A12),_EngineTrades!$AP$9:$AP$508),0))),4),"")</f>
        <v/>
      </c>
      <c r="W12" s="72">
        <f>IF($A12="","",MAX(1,IF($G12="",_EngineTrades!$E$3-$F12,$G12-$F12)))</f>
        <v>28</v>
      </c>
      <c r="X12" s="73">
        <f t="shared" si="3"/>
        <v>1.6957E-2</v>
      </c>
      <c r="Y12" s="73">
        <f t="shared" si="4"/>
        <v>0.22104799999999999</v>
      </c>
      <c r="Z12" s="44">
        <f>IF(Cycles!U12="",0,Cycles!U12)</f>
        <v>0</v>
      </c>
      <c r="AA12" s="44">
        <f>IF(Cycles!V12="",0,Cycles!V12)</f>
        <v>0</v>
      </c>
      <c r="AB12" s="44">
        <f>IF(Cycles!W12="",0,Cycles!W12)</f>
        <v>0</v>
      </c>
      <c r="AC12" s="44">
        <f>IF(Cycles!X12="",0,Cycles!X12)</f>
        <v>0</v>
      </c>
      <c r="AD12" s="70" t="str">
        <f t="shared" si="5"/>
        <v/>
      </c>
      <c r="AE12" s="70" t="str">
        <f t="shared" si="6"/>
        <v/>
      </c>
      <c r="AF12" s="70" t="str">
        <f t="shared" si="7"/>
        <v/>
      </c>
      <c r="AG12">
        <f>IFERROR(MATCH(ROWS($AG$9:AG12),_EngineTrades!$AW$9:$AW$508,0)+8,"")</f>
        <v>20</v>
      </c>
    </row>
    <row r="13" spans="1:33" ht="15" x14ac:dyDescent="0.25">
      <c r="A13" s="61" t="str">
        <f>IF($AG13="","",IFERROR(INDEX(_EngineTrades!$AU$9:$AU$508,MATCH($AG13,_EngineTrades!$AV$9:$AV$508,0)),""))</f>
        <v>sample-abc¦1</v>
      </c>
      <c r="B13" s="61" t="str">
        <f>IF($A13="","",INDEX(_EngineTrades!$B$9:$B$508,MATCH($AG13,_EngineTrades!$AV$9:$AV$508,0)))</f>
        <v>sample-abc</v>
      </c>
      <c r="C13" s="61">
        <f>IF($A13="","",INDEX(_EngineTrades!$T$9:$T$508,MATCH($AG13,_EngineTrades!$AV$9:$AV$508,0)))</f>
        <v>1</v>
      </c>
      <c r="D13" s="47" t="str">
        <f>IF($A13="","",INDEX(_EngineTrades!$C$9:$C$508,MATCH($AG13,_EngineTrades!$AV$9:$AV$508,0)))</f>
        <v>ABC</v>
      </c>
      <c r="E13" s="62" t="str">
        <f>IF($A13="","",IF(IFERROR(LOOKUP(2,1/(_EngineTrades!$AU$9:$AU$508=$A13),_EngineTrades!$AR$9:$AR$508),FALSE),"Closed","Open"))</f>
        <v>Closed</v>
      </c>
      <c r="F13" s="63">
        <f>IF($A13="","",INDEX(_EngineTrades!$E$9:$E$508,$AG13-8))</f>
        <v>46268</v>
      </c>
      <c r="G13" s="63">
        <f>IF(OR($A13="",$E13&lt;&gt;"Closed"),"",IFERROR(INDEX(_EngineTrades!$E$9:$E$508,SUMIFS(_EngineTrades!$AX$9:$AX$508,_EngineTrades!$AU$9:$AU$508,$A13)-8),""))</f>
        <v>46287</v>
      </c>
      <c r="H13" s="49">
        <f>IF($A13="","",ROUND(SUMIFS(_EngineTrades!$Y$9:$Y$508,_EngineTrades!$AU$9:$AU$508,$A13),4))</f>
        <v>90</v>
      </c>
      <c r="I13" s="49">
        <f>IF($A13="","",ROUND(SUMIFS(_EngineTrades!$Z$9:$Z$508,_EngineTrades!$AU$9:$AU$508,$A13),4))</f>
        <v>20</v>
      </c>
      <c r="J13" s="45">
        <f t="shared" si="0"/>
        <v>70</v>
      </c>
      <c r="K13" s="49">
        <f>IF($A13="","",ROUND(SUMIFS(_EngineTrades!$AA$9:$AA$508,_EngineTrades!$AU$9:$AU$508,$A13),4))</f>
        <v>0</v>
      </c>
      <c r="L13" s="49">
        <f>IF($A13="","",ROUND(SUMIFS(_EngineTrades!$AB$9:$AB$508,_EngineTrades!$AU$9:$AU$508,$A13),4))</f>
        <v>2.6</v>
      </c>
      <c r="M13" s="49">
        <f>IF($A13="","",ROUND(SUMIFS(_EngineTrades!$AC$9:$AC$508,_EngineTrades!$AU$9:$AU$508,$A13),4))</f>
        <v>0</v>
      </c>
      <c r="N13" s="49">
        <f>IF($A13="","",ROUND(SUMIFS(_EngineTrades!$AD$9:$AD$508,_EngineTrades!$AU$9:$AU$508,$A13),4))</f>
        <v>0</v>
      </c>
      <c r="O13" s="45">
        <f t="shared" si="1"/>
        <v>67.400000000000006</v>
      </c>
      <c r="P13" s="61">
        <f>IF(OR($A13="",$E13&lt;&gt;"Open"),0,IFERROR(LOOKUP(2,1/(_EngineTrades!$AU$9:$AU$508=$A13),_EngineTrades!$AM$9:$AM$508),0))</f>
        <v>0</v>
      </c>
      <c r="Q13" s="49" t="str">
        <f>IF(OR($A13="",$P13=0),"",ROUND(IFERROR(LOOKUP(2,1/(_EngineTrades!$AU$9:$AU$508=$A13),_EngineTrades!$AN$9:$AN$508),0)/$P13,4))</f>
        <v/>
      </c>
      <c r="R13" s="49">
        <f>IF(OR($A13="",$E13&lt;&gt;"Open"),0,IFERROR(LOOKUP(2,1/(_EngineTrades!$AU$9:$AU$508=$A13),_EngineTrades!$AO$9:$AO$508),0))</f>
        <v>0</v>
      </c>
      <c r="S13" s="49">
        <f>IF(OR($A13="",$E13&lt;&gt;"Open"),0,ROUND($R13+IFERROR(LOOKUP(2,1/(_EngineTrades!$AU$9:$AU$508=$A13),_EngineTrades!$AN$9:$AN$508),0),4))</f>
        <v>0</v>
      </c>
      <c r="T13" s="49">
        <f>IF($A13="","",ROUND(IFERROR(LOOKUP(2,1/(_EngineTrades!$AU$9:$AU$508=$A13),_EngineTrades!$AT$9:$AT$508),0),4))</f>
        <v>4000</v>
      </c>
      <c r="U13" s="49" t="str">
        <f t="shared" si="2"/>
        <v/>
      </c>
      <c r="V13" s="49" t="str">
        <f>IF(AND($A13&lt;&gt;"",$E13="Open",$P13+N(IFERROR(LOOKUP(2,1/(_EngineTrades!$AU$9:$AU$508=$A13),_EngineTrades!$AP$9:$AP$508),0))&gt;0),ROUND(($R13-$O13)/($P13+N(IFERROR(LOOKUP(2,1/(_EngineTrades!$AU$9:$AU$508=$A13),_EngineTrades!$AP$9:$AP$508),0))),4),"")</f>
        <v/>
      </c>
      <c r="W13" s="64">
        <f>IF($A13="","",MAX(1,IF($G13="",_EngineTrades!$E$3-$F13,$G13-$F13)))</f>
        <v>19</v>
      </c>
      <c r="X13" s="65">
        <f t="shared" si="3"/>
        <v>1.685E-2</v>
      </c>
      <c r="Y13" s="65">
        <f t="shared" si="4"/>
        <v>0.32369700000000001</v>
      </c>
      <c r="Z13" s="44">
        <f>IF(Cycles!U13="",0,Cycles!U13)</f>
        <v>0</v>
      </c>
      <c r="AA13" s="44">
        <f>IF(Cycles!V13="",0,Cycles!V13)</f>
        <v>0</v>
      </c>
      <c r="AB13" s="44">
        <f>IF(Cycles!W13="",0,Cycles!W13)</f>
        <v>0</v>
      </c>
      <c r="AC13" s="44">
        <f>IF(Cycles!X13="",0,Cycles!X13)</f>
        <v>0</v>
      </c>
      <c r="AD13" s="49" t="str">
        <f t="shared" si="5"/>
        <v/>
      </c>
      <c r="AE13" s="49" t="str">
        <f t="shared" si="6"/>
        <v/>
      </c>
      <c r="AF13" s="49" t="str">
        <f t="shared" si="7"/>
        <v/>
      </c>
      <c r="AG13">
        <f>IFERROR(MATCH(ROWS($AG$9:AG13),_EngineTrades!$AW$9:$AW$508,0)+8,"")</f>
        <v>21</v>
      </c>
    </row>
    <row r="14" spans="1:33" ht="15" x14ac:dyDescent="0.25">
      <c r="A14" s="66" t="str">
        <f>IF($AG14="","",IFERROR(INDEX(_EngineTrades!$AU$9:$AU$508,MATCH($AG14,_EngineTrades!$AV$9:$AV$508,0)),""))</f>
        <v>demo-held¦1</v>
      </c>
      <c r="B14" s="66" t="str">
        <f>IF($A14="","",INDEX(_EngineTrades!$B$9:$B$508,MATCH($AG14,_EngineTrades!$AV$9:$AV$508,0)))</f>
        <v>demo-held</v>
      </c>
      <c r="C14" s="66">
        <f>IF($A14="","",INDEX(_EngineTrades!$T$9:$T$508,MATCH($AG14,_EngineTrades!$AV$9:$AV$508,0)))</f>
        <v>1</v>
      </c>
      <c r="D14" s="67" t="str">
        <f>IF($A14="","",INDEX(_EngineTrades!$C$9:$C$508,MATCH($AG14,_EngineTrades!$AV$9:$AV$508,0)))</f>
        <v>GHI</v>
      </c>
      <c r="E14" s="68" t="str">
        <f>IF($A14="","",IF(IFERROR(LOOKUP(2,1/(_EngineTrades!$AU$9:$AU$508=$A14),_EngineTrades!$AR$9:$AR$508),FALSE),"Closed","Open"))</f>
        <v>Open</v>
      </c>
      <c r="F14" s="69">
        <f>IF($A14="","",INDEX(_EngineTrades!$E$9:$E$508,$AG14-8))</f>
        <v>46283</v>
      </c>
      <c r="G14" s="69" t="str">
        <f>IF(OR($A14="",$E14&lt;&gt;"Closed"),"",IFERROR(INDEX(_EngineTrades!$E$9:$E$508,SUMIFS(_EngineTrades!$AX$9:$AX$508,_EngineTrades!$AU$9:$AU$508,$A14)-8),""))</f>
        <v/>
      </c>
      <c r="H14" s="70">
        <f>IF($A14="","",ROUND(SUMIFS(_EngineTrades!$Y$9:$Y$508,_EngineTrades!$AU$9:$AU$508,$A14),4))</f>
        <v>80</v>
      </c>
      <c r="I14" s="70">
        <f>IF($A14="","",ROUND(SUMIFS(_EngineTrades!$Z$9:$Z$508,_EngineTrades!$AU$9:$AU$508,$A14),4))</f>
        <v>0</v>
      </c>
      <c r="J14" s="71">
        <f t="shared" si="0"/>
        <v>80</v>
      </c>
      <c r="K14" s="70">
        <f>IF($A14="","",ROUND(SUMIFS(_EngineTrades!$AA$9:$AA$508,_EngineTrades!$AU$9:$AU$508,$A14),4))</f>
        <v>0</v>
      </c>
      <c r="L14" s="70">
        <f>IF($A14="","",ROUND(SUMIFS(_EngineTrades!$AB$9:$AB$508,_EngineTrades!$AU$9:$AU$508,$A14),4))</f>
        <v>1.3</v>
      </c>
      <c r="M14" s="70">
        <f>IF($A14="","",ROUND(SUMIFS(_EngineTrades!$AC$9:$AC$508,_EngineTrades!$AU$9:$AU$508,$A14),4))</f>
        <v>3000</v>
      </c>
      <c r="N14" s="70">
        <f>IF($A14="","",ROUND(SUMIFS(_EngineTrades!$AD$9:$AD$508,_EngineTrades!$AU$9:$AU$508,$A14),4))</f>
        <v>0</v>
      </c>
      <c r="O14" s="71">
        <f t="shared" si="1"/>
        <v>-2921.3</v>
      </c>
      <c r="P14" s="66">
        <f>IF(OR($A14="",$E14&lt;&gt;"Open"),0,IFERROR(LOOKUP(2,1/(_EngineTrades!$AU$9:$AU$508=$A14),_EngineTrades!$AM$9:$AM$508),0))</f>
        <v>100</v>
      </c>
      <c r="Q14" s="70">
        <f>IF(OR($A14="",$P14=0),"",ROUND(IFERROR(LOOKUP(2,1/(_EngineTrades!$AU$9:$AU$508=$A14),_EngineTrades!$AN$9:$AN$508),0)/$P14,4))</f>
        <v>30</v>
      </c>
      <c r="R14" s="70">
        <f>IF(OR($A14="",$E14&lt;&gt;"Open"),0,IFERROR(LOOKUP(2,1/(_EngineTrades!$AU$9:$AU$508=$A14),_EngineTrades!$AO$9:$AO$508),0))</f>
        <v>0</v>
      </c>
      <c r="S14" s="70">
        <f>IF(OR($A14="",$E14&lt;&gt;"Open"),0,ROUND($R14+IFERROR(LOOKUP(2,1/(_EngineTrades!$AU$9:$AU$508=$A14),_EngineTrades!$AN$9:$AN$508),0),4))</f>
        <v>3000</v>
      </c>
      <c r="T14" s="70">
        <f>IF($A14="","",ROUND(IFERROR(LOOKUP(2,1/(_EngineTrades!$AU$9:$AU$508=$A14),_EngineTrades!$AT$9:$AT$508),0),4))</f>
        <v>3000</v>
      </c>
      <c r="U14" s="70">
        <f t="shared" si="2"/>
        <v>29.213000000000001</v>
      </c>
      <c r="V14" s="70">
        <f>IF(AND($A14&lt;&gt;"",$E14="Open",$P14+N(IFERROR(LOOKUP(2,1/(_EngineTrades!$AU$9:$AU$508=$A14),_EngineTrades!$AP$9:$AP$508),0))&gt;0),ROUND(($R14-$O14)/($P14+N(IFERROR(LOOKUP(2,1/(_EngineTrades!$AU$9:$AU$508=$A14),_EngineTrades!$AP$9:$AP$508),0))),4),"")</f>
        <v>29.213000000000001</v>
      </c>
      <c r="W14" s="72">
        <f>IF($A14="","",MAX(1,IF($G14="",_EngineTrades!$E$3-$F14,$G14-$F14)))</f>
        <v>30</v>
      </c>
      <c r="X14" s="73">
        <f t="shared" si="3"/>
        <v>2.6232999999999999E-2</v>
      </c>
      <c r="Y14" s="73">
        <f t="shared" si="4"/>
        <v>0.31917200000000001</v>
      </c>
      <c r="Z14" s="44">
        <f>IF(Cycles!U14="",0,Cycles!U14)</f>
        <v>0</v>
      </c>
      <c r="AA14" s="44">
        <f>IF(Cycles!V14="",0,Cycles!V14)</f>
        <v>0</v>
      </c>
      <c r="AB14" s="44">
        <f>IF(Cycles!W14="",0,Cycles!W14)</f>
        <v>0</v>
      </c>
      <c r="AC14" s="44">
        <f>IF(Cycles!X14="",0,Cycles!X14)</f>
        <v>0</v>
      </c>
      <c r="AD14" s="70">
        <f t="shared" si="5"/>
        <v>29.213000000000001</v>
      </c>
      <c r="AE14" s="70">
        <f t="shared" si="6"/>
        <v>29.213000000000001</v>
      </c>
      <c r="AF14" s="70">
        <f t="shared" si="7"/>
        <v>0</v>
      </c>
      <c r="AG14">
        <f>IFERROR(MATCH(ROWS($AG$9:AG14),_EngineTrades!$AW$9:$AW$508,0)+8,"")</f>
        <v>25</v>
      </c>
    </row>
    <row r="15" spans="1:33" ht="15" x14ac:dyDescent="0.25">
      <c r="A15" s="61" t="str">
        <f>IF($AG15="","",IFERROR(INDEX(_EngineTrades!$AU$9:$AU$508,MATCH($AG15,_EngineTrades!$AV$9:$AV$508,0)),""))</f>
        <v>sample-xyz¦2</v>
      </c>
      <c r="B15" s="61" t="str">
        <f>IF($A15="","",INDEX(_EngineTrades!$B$9:$B$508,MATCH($AG15,_EngineTrades!$AV$9:$AV$508,0)))</f>
        <v>sample-xyz</v>
      </c>
      <c r="C15" s="61">
        <f>IF($A15="","",INDEX(_EngineTrades!$T$9:$T$508,MATCH($AG15,_EngineTrades!$AV$9:$AV$508,0)))</f>
        <v>2</v>
      </c>
      <c r="D15" s="47" t="str">
        <f>IF($A15="","",INDEX(_EngineTrades!$C$9:$C$508,MATCH($AG15,_EngineTrades!$AV$9:$AV$508,0)))</f>
        <v>XYZ</v>
      </c>
      <c r="E15" s="62" t="str">
        <f>IF($A15="","",IF(IFERROR(LOOKUP(2,1/(_EngineTrades!$AU$9:$AU$508=$A15),_EngineTrades!$AR$9:$AR$508),FALSE),"Closed","Open"))</f>
        <v>Open</v>
      </c>
      <c r="F15" s="63">
        <f>IF($A15="","",INDEX(_EngineTrades!$E$9:$E$508,$AG15-8))</f>
        <v>46288</v>
      </c>
      <c r="G15" s="63" t="str">
        <f>IF(OR($A15="",$E15&lt;&gt;"Closed"),"",IFERROR(INDEX(_EngineTrades!$E$9:$E$508,SUMIFS(_EngineTrades!$AX$9:$AX$508,_EngineTrades!$AU$9:$AU$508,$A15)-8),""))</f>
        <v/>
      </c>
      <c r="H15" s="49">
        <f>IF($A15="","",ROUND(SUMIFS(_EngineTrades!$Y$9:$Y$508,_EngineTrades!$AU$9:$AU$508,$A15),4))</f>
        <v>270</v>
      </c>
      <c r="I15" s="49">
        <f>IF($A15="","",ROUND(SUMIFS(_EngineTrades!$Z$9:$Z$508,_EngineTrades!$AU$9:$AU$508,$A15),4))</f>
        <v>90</v>
      </c>
      <c r="J15" s="45">
        <f t="shared" si="0"/>
        <v>180</v>
      </c>
      <c r="K15" s="49">
        <f>IF($A15="","",ROUND(SUMIFS(_EngineTrades!$AA$9:$AA$508,_EngineTrades!$AU$9:$AU$508,$A15),4))</f>
        <v>0</v>
      </c>
      <c r="L15" s="49">
        <f>IF($A15="","",ROUND(SUMIFS(_EngineTrades!$AB$9:$AB$508,_EngineTrades!$AU$9:$AU$508,$A15),4))</f>
        <v>1.95</v>
      </c>
      <c r="M15" s="49">
        <f>IF($A15="","",ROUND(SUMIFS(_EngineTrades!$AC$9:$AC$508,_EngineTrades!$AU$9:$AU$508,$A15),4))</f>
        <v>0</v>
      </c>
      <c r="N15" s="49">
        <f>IF($A15="","",ROUND(SUMIFS(_EngineTrades!$AD$9:$AD$508,_EngineTrades!$AU$9:$AU$508,$A15),4))</f>
        <v>0</v>
      </c>
      <c r="O15" s="45">
        <f t="shared" si="1"/>
        <v>178.05</v>
      </c>
      <c r="P15" s="61">
        <f>IF(OR($A15="",$E15&lt;&gt;"Open"),0,IFERROR(LOOKUP(2,1/(_EngineTrades!$AU$9:$AU$508=$A15),_EngineTrades!$AM$9:$AM$508),0))</f>
        <v>0</v>
      </c>
      <c r="Q15" s="49" t="str">
        <f>IF(OR($A15="",$P15=0),"",ROUND(IFERROR(LOOKUP(2,1/(_EngineTrades!$AU$9:$AU$508=$A15),_EngineTrades!$AN$9:$AN$508),0)/$P15,4))</f>
        <v/>
      </c>
      <c r="R15" s="49">
        <f>IF(OR($A15="",$E15&lt;&gt;"Open"),0,IFERROR(LOOKUP(2,1/(_EngineTrades!$AU$9:$AU$508=$A15),_EngineTrades!$AO$9:$AO$508),0))</f>
        <v>4800</v>
      </c>
      <c r="S15" s="49">
        <f>IF(OR($A15="",$E15&lt;&gt;"Open"),0,ROUND($R15+IFERROR(LOOKUP(2,1/(_EngineTrades!$AU$9:$AU$508=$A15),_EngineTrades!$AN$9:$AN$508),0),4))</f>
        <v>4800</v>
      </c>
      <c r="T15" s="49">
        <f>IF($A15="","",ROUND(IFERROR(LOOKUP(2,1/(_EngineTrades!$AU$9:$AU$508=$A15),_EngineTrades!$AT$9:$AT$508),0),4))</f>
        <v>4900</v>
      </c>
      <c r="U15" s="49" t="str">
        <f t="shared" si="2"/>
        <v/>
      </c>
      <c r="V15" s="49">
        <f>IF(AND($A15&lt;&gt;"",$E15="Open",$P15+N(IFERROR(LOOKUP(2,1/(_EngineTrades!$AU$9:$AU$508=$A15),_EngineTrades!$AP$9:$AP$508),0))&gt;0),ROUND(($R15-$O15)/($P15+N(IFERROR(LOOKUP(2,1/(_EngineTrades!$AU$9:$AU$508=$A15),_EngineTrades!$AP$9:$AP$508),0))),4),"")</f>
        <v>46.219499999999996</v>
      </c>
      <c r="W15" s="64">
        <f>IF($A15="","",MAX(1,IF($G15="",_EngineTrades!$E$3-$F15,$G15-$F15)))</f>
        <v>25</v>
      </c>
      <c r="X15" s="65">
        <f t="shared" si="3"/>
        <v>3.6337000000000001E-2</v>
      </c>
      <c r="Y15" s="65">
        <f t="shared" si="4"/>
        <v>0.53051599999999999</v>
      </c>
      <c r="Z15" s="44">
        <f>IF(Cycles!U15="",0,Cycles!U15)</f>
        <v>0</v>
      </c>
      <c r="AA15" s="44">
        <f>IF(Cycles!V15="",0,Cycles!V15)</f>
        <v>0</v>
      </c>
      <c r="AB15" s="44">
        <f>IF(Cycles!W15="",0,Cycles!W15)</f>
        <v>0</v>
      </c>
      <c r="AC15" s="44">
        <f>IF(Cycles!X15="",0,Cycles!X15)</f>
        <v>0</v>
      </c>
      <c r="AD15" s="49" t="str">
        <f t="shared" si="5"/>
        <v/>
      </c>
      <c r="AE15" s="49" t="str">
        <f t="shared" si="6"/>
        <v/>
      </c>
      <c r="AF15" s="49" t="str">
        <f t="shared" si="7"/>
        <v/>
      </c>
      <c r="AG15">
        <f>IFERROR(MATCH(ROWS($AG$9:AG15),_EngineTrades!$AW$9:$AW$508,0)+8,"")</f>
        <v>27</v>
      </c>
    </row>
    <row r="16" spans="1:33" ht="15" x14ac:dyDescent="0.25">
      <c r="A16" s="66" t="str">
        <f>IF($AG16="","",IFERROR(INDEX(_EngineTrades!$AU$9:$AU$508,MATCH($AG16,_EngineTrades!$AV$9:$AV$508,0)),""))</f>
        <v>demo-covered¦1</v>
      </c>
      <c r="B16" s="66" t="str">
        <f>IF($A16="","",INDEX(_EngineTrades!$B$9:$B$508,MATCH($AG16,_EngineTrades!$AV$9:$AV$508,0)))</f>
        <v>demo-covered</v>
      </c>
      <c r="C16" s="66">
        <f>IF($A16="","",INDEX(_EngineTrades!$T$9:$T$508,MATCH($AG16,_EngineTrades!$AV$9:$AV$508,0)))</f>
        <v>1</v>
      </c>
      <c r="D16" s="67" t="str">
        <f>IF($A16="","",INDEX(_EngineTrades!$C$9:$C$508,MATCH($AG16,_EngineTrades!$AV$9:$AV$508,0)))</f>
        <v>JKL</v>
      </c>
      <c r="E16" s="68" t="str">
        <f>IF($A16="","",IF(IFERROR(LOOKUP(2,1/(_EngineTrades!$AU$9:$AU$508=$A16),_EngineTrades!$AR$9:$AR$508),FALSE),"Closed","Open"))</f>
        <v>Open</v>
      </c>
      <c r="F16" s="69">
        <f>IF($A16="","",INDEX(_EngineTrades!$E$9:$E$508,$AG16-8))</f>
        <v>46295</v>
      </c>
      <c r="G16" s="69" t="str">
        <f>IF(OR($A16="",$E16&lt;&gt;"Closed"),"",IFERROR(INDEX(_EngineTrades!$E$9:$E$508,SUMIFS(_EngineTrades!$AX$9:$AX$508,_EngineTrades!$AU$9:$AU$508,$A16)-8),""))</f>
        <v/>
      </c>
      <c r="H16" s="70">
        <f>IF($A16="","",ROUND(SUMIFS(_EngineTrades!$Y$9:$Y$508,_EngineTrades!$AU$9:$AU$508,$A16),4))</f>
        <v>110</v>
      </c>
      <c r="I16" s="70">
        <f>IF($A16="","",ROUND(SUMIFS(_EngineTrades!$Z$9:$Z$508,_EngineTrades!$AU$9:$AU$508,$A16),4))</f>
        <v>0</v>
      </c>
      <c r="J16" s="71">
        <f t="shared" si="0"/>
        <v>110</v>
      </c>
      <c r="K16" s="70">
        <f>IF($A16="","",ROUND(SUMIFS(_EngineTrades!$AA$9:$AA$508,_EngineTrades!$AU$9:$AU$508,$A16),4))</f>
        <v>0</v>
      </c>
      <c r="L16" s="70">
        <f>IF($A16="","",ROUND(SUMIFS(_EngineTrades!$AB$9:$AB$508,_EngineTrades!$AU$9:$AU$508,$A16),4))</f>
        <v>1.65</v>
      </c>
      <c r="M16" s="70">
        <f>IF($A16="","",ROUND(SUMIFS(_EngineTrades!$AC$9:$AC$508,_EngineTrades!$AU$9:$AU$508,$A16),4))</f>
        <v>4500</v>
      </c>
      <c r="N16" s="70">
        <f>IF($A16="","",ROUND(SUMIFS(_EngineTrades!$AD$9:$AD$508,_EngineTrades!$AU$9:$AU$508,$A16),4))</f>
        <v>0</v>
      </c>
      <c r="O16" s="71">
        <f t="shared" si="1"/>
        <v>-4391.6499999999996</v>
      </c>
      <c r="P16" s="66">
        <f>IF(OR($A16="",$E16&lt;&gt;"Open"),0,IFERROR(LOOKUP(2,1/(_EngineTrades!$AU$9:$AU$508=$A16),_EngineTrades!$AM$9:$AM$508),0))</f>
        <v>100</v>
      </c>
      <c r="Q16" s="70">
        <f>IF(OR($A16="",$P16=0),"",ROUND(IFERROR(LOOKUP(2,1/(_EngineTrades!$AU$9:$AU$508=$A16),_EngineTrades!$AN$9:$AN$508),0)/$P16,4))</f>
        <v>45</v>
      </c>
      <c r="R16" s="70">
        <f>IF(OR($A16="",$E16&lt;&gt;"Open"),0,IFERROR(LOOKUP(2,1/(_EngineTrades!$AU$9:$AU$508=$A16),_EngineTrades!$AO$9:$AO$508),0))</f>
        <v>0</v>
      </c>
      <c r="S16" s="70">
        <f>IF(OR($A16="",$E16&lt;&gt;"Open"),0,ROUND($R16+IFERROR(LOOKUP(2,1/(_EngineTrades!$AU$9:$AU$508=$A16),_EngineTrades!$AN$9:$AN$508),0),4))</f>
        <v>4500</v>
      </c>
      <c r="T16" s="70">
        <f>IF($A16="","",ROUND(IFERROR(LOOKUP(2,1/(_EngineTrades!$AU$9:$AU$508=$A16),_EngineTrades!$AT$9:$AT$508),0),4))</f>
        <v>4500</v>
      </c>
      <c r="U16" s="70">
        <f t="shared" si="2"/>
        <v>43.916499999999999</v>
      </c>
      <c r="V16" s="70">
        <f>IF(AND($A16&lt;&gt;"",$E16="Open",$P16+N(IFERROR(LOOKUP(2,1/(_EngineTrades!$AU$9:$AU$508=$A16),_EngineTrades!$AP$9:$AP$508),0))&gt;0),ROUND(($R16-$O16)/($P16+N(IFERROR(LOOKUP(2,1/(_EngineTrades!$AU$9:$AU$508=$A16),_EngineTrades!$AP$9:$AP$508),0))),4),"")</f>
        <v>43.916499999999999</v>
      </c>
      <c r="W16" s="72">
        <f>IF($A16="","",MAX(1,IF($G16="",_EngineTrades!$E$3-$F16,$G16-$F16)))</f>
        <v>18</v>
      </c>
      <c r="X16" s="73">
        <f t="shared" si="3"/>
        <v>2.4077999999999999E-2</v>
      </c>
      <c r="Y16" s="73">
        <f t="shared" si="4"/>
        <v>0.48824400000000001</v>
      </c>
      <c r="Z16" s="44">
        <f>IF(Cycles!U16="",0,Cycles!U16)</f>
        <v>0</v>
      </c>
      <c r="AA16" s="44">
        <f>IF(Cycles!V16="",0,Cycles!V16)</f>
        <v>0</v>
      </c>
      <c r="AB16" s="44">
        <f>IF(Cycles!W16="",0,Cycles!W16)</f>
        <v>0</v>
      </c>
      <c r="AC16" s="44">
        <f>IF(Cycles!X16="",0,Cycles!X16)</f>
        <v>0</v>
      </c>
      <c r="AD16" s="70">
        <f t="shared" si="5"/>
        <v>43.916499999999999</v>
      </c>
      <c r="AE16" s="70">
        <f t="shared" si="6"/>
        <v>43.916499999999999</v>
      </c>
      <c r="AF16" s="70">
        <f t="shared" si="7"/>
        <v>0</v>
      </c>
      <c r="AG16">
        <f>IFERROR(MATCH(ROWS($AG$9:AG16),_EngineTrades!$AW$9:$AW$508,0)+8,"")</f>
        <v>29</v>
      </c>
    </row>
    <row r="17" spans="1:33" ht="15" x14ac:dyDescent="0.25">
      <c r="A17" s="61" t="str">
        <f>IF($AG17="","",IFERROR(INDEX(_EngineTrades!$AU$9:$AU$508,MATCH($AG17,_EngineTrades!$AV$9:$AV$508,0)),""))</f>
        <v>sample-abc¦2</v>
      </c>
      <c r="B17" s="61" t="str">
        <f>IF($A17="","",INDEX(_EngineTrades!$B$9:$B$508,MATCH($AG17,_EngineTrades!$AV$9:$AV$508,0)))</f>
        <v>sample-abc</v>
      </c>
      <c r="C17" s="61">
        <f>IF($A17="","",INDEX(_EngineTrades!$T$9:$T$508,MATCH($AG17,_EngineTrades!$AV$9:$AV$508,0)))</f>
        <v>2</v>
      </c>
      <c r="D17" s="47" t="str">
        <f>IF($A17="","",INDEX(_EngineTrades!$C$9:$C$508,MATCH($AG17,_EngineTrades!$AV$9:$AV$508,0)))</f>
        <v>ABC</v>
      </c>
      <c r="E17" s="62" t="str">
        <f>IF($A17="","",IF(IFERROR(LOOKUP(2,1/(_EngineTrades!$AU$9:$AU$508=$A17),_EngineTrades!$AR$9:$AR$508),FALSE),"Closed","Open"))</f>
        <v>Open</v>
      </c>
      <c r="F17" s="63">
        <f>IF($A17="","",INDEX(_EngineTrades!$E$9:$E$508,$AG17-8))</f>
        <v>46310</v>
      </c>
      <c r="G17" s="63" t="str">
        <f>IF(OR($A17="",$E17&lt;&gt;"Closed"),"",IFERROR(INDEX(_EngineTrades!$E$9:$E$508,SUMIFS(_EngineTrades!$AX$9:$AX$508,_EngineTrades!$AU$9:$AU$508,$A17)-8),""))</f>
        <v/>
      </c>
      <c r="H17" s="49">
        <f>IF($A17="","",ROUND(SUMIFS(_EngineTrades!$Y$9:$Y$508,_EngineTrades!$AU$9:$AU$508,$A17),4))</f>
        <v>100</v>
      </c>
      <c r="I17" s="49">
        <f>IF($A17="","",ROUND(SUMIFS(_EngineTrades!$Z$9:$Z$508,_EngineTrades!$AU$9:$AU$508,$A17),4))</f>
        <v>0</v>
      </c>
      <c r="J17" s="45">
        <f t="shared" si="0"/>
        <v>100</v>
      </c>
      <c r="K17" s="49">
        <f>IF($A17="","",ROUND(SUMIFS(_EngineTrades!$AA$9:$AA$508,_EngineTrades!$AU$9:$AU$508,$A17),4))</f>
        <v>0</v>
      </c>
      <c r="L17" s="49">
        <f>IF($A17="","",ROUND(SUMIFS(_EngineTrades!$AB$9:$AB$508,_EngineTrades!$AU$9:$AU$508,$A17),4))</f>
        <v>1.3</v>
      </c>
      <c r="M17" s="49">
        <f>IF($A17="","",ROUND(SUMIFS(_EngineTrades!$AC$9:$AC$508,_EngineTrades!$AU$9:$AU$508,$A17),4))</f>
        <v>0</v>
      </c>
      <c r="N17" s="49">
        <f>IF($A17="","",ROUND(SUMIFS(_EngineTrades!$AD$9:$AD$508,_EngineTrades!$AU$9:$AU$508,$A17),4))</f>
        <v>0</v>
      </c>
      <c r="O17" s="45">
        <f t="shared" si="1"/>
        <v>98.7</v>
      </c>
      <c r="P17" s="61">
        <f>IF(OR($A17="",$E17&lt;&gt;"Open"),0,IFERROR(LOOKUP(2,1/(_EngineTrades!$AU$9:$AU$508=$A17),_EngineTrades!$AM$9:$AM$508),0))</f>
        <v>0</v>
      </c>
      <c r="Q17" s="49" t="str">
        <f>IF(OR($A17="",$P17=0),"",ROUND(IFERROR(LOOKUP(2,1/(_EngineTrades!$AU$9:$AU$508=$A17),_EngineTrades!$AN$9:$AN$508),0)/$P17,4))</f>
        <v/>
      </c>
      <c r="R17" s="49">
        <f>IF(OR($A17="",$E17&lt;&gt;"Open"),0,IFERROR(LOOKUP(2,1/(_EngineTrades!$AU$9:$AU$508=$A17),_EngineTrades!$AO$9:$AO$508),0))</f>
        <v>3800</v>
      </c>
      <c r="S17" s="49">
        <f>IF(OR($A17="",$E17&lt;&gt;"Open"),0,ROUND($R17+IFERROR(LOOKUP(2,1/(_EngineTrades!$AU$9:$AU$508=$A17),_EngineTrades!$AN$9:$AN$508),0),4))</f>
        <v>3800</v>
      </c>
      <c r="T17" s="49">
        <f>IF($A17="","",ROUND(IFERROR(LOOKUP(2,1/(_EngineTrades!$AU$9:$AU$508=$A17),_EngineTrades!$AT$9:$AT$508),0),4))</f>
        <v>3800</v>
      </c>
      <c r="U17" s="49" t="str">
        <f t="shared" si="2"/>
        <v/>
      </c>
      <c r="V17" s="49">
        <f>IF(AND($A17&lt;&gt;"",$E17="Open",$P17+N(IFERROR(LOOKUP(2,1/(_EngineTrades!$AU$9:$AU$508=$A17),_EngineTrades!$AP$9:$AP$508),0))&gt;0),ROUND(($R17-$O17)/($P17+N(IFERROR(LOOKUP(2,1/(_EngineTrades!$AU$9:$AU$508=$A17),_EngineTrades!$AP$9:$AP$508),0))),4),"")</f>
        <v>18.506499999999999</v>
      </c>
      <c r="W17" s="64">
        <f>IF($A17="","",MAX(1,IF($G17="",_EngineTrades!$E$3-$F17,$G17-$F17)))</f>
        <v>3</v>
      </c>
      <c r="X17" s="65">
        <f t="shared" si="3"/>
        <v>2.5974000000000001E-2</v>
      </c>
      <c r="Y17" s="65">
        <f t="shared" si="4"/>
        <v>3.1601319999999999</v>
      </c>
      <c r="Z17" s="44">
        <f>IF(Cycles!U17="",0,Cycles!U17)</f>
        <v>0</v>
      </c>
      <c r="AA17" s="44">
        <f>IF(Cycles!V17="",0,Cycles!V17)</f>
        <v>0</v>
      </c>
      <c r="AB17" s="44">
        <f>IF(Cycles!W17="",0,Cycles!W17)</f>
        <v>0</v>
      </c>
      <c r="AC17" s="44">
        <f>IF(Cycles!X17="",0,Cycles!X17)</f>
        <v>0</v>
      </c>
      <c r="AD17" s="49" t="str">
        <f t="shared" si="5"/>
        <v/>
      </c>
      <c r="AE17" s="49" t="str">
        <f t="shared" si="6"/>
        <v/>
      </c>
      <c r="AF17" s="49" t="str">
        <f t="shared" si="7"/>
        <v/>
      </c>
      <c r="AG17">
        <f>IFERROR(MATCH(ROWS($AG$9:AG17),_EngineTrades!$AW$9:$AW$508,0)+8,"")</f>
        <v>33</v>
      </c>
    </row>
    <row r="18" spans="1:33" ht="15" x14ac:dyDescent="0.25">
      <c r="A18" s="66" t="str">
        <f>IF($AG18="","",IFERROR(INDEX(_EngineTrades!$AU$9:$AU$508,MATCH($AG18,_EngineTrades!$AV$9:$AV$508,0)),""))</f>
        <v/>
      </c>
      <c r="B18" s="66" t="str">
        <f>IF($A18="","",INDEX(_EngineTrades!$B$9:$B$508,MATCH($AG18,_EngineTrades!$AV$9:$AV$508,0)))</f>
        <v/>
      </c>
      <c r="C18" s="66" t="str">
        <f>IF($A18="","",INDEX(_EngineTrades!$T$9:$T$508,MATCH($AG18,_EngineTrades!$AV$9:$AV$508,0)))</f>
        <v/>
      </c>
      <c r="D18" s="67" t="str">
        <f>IF($A18="","",INDEX(_EngineTrades!$C$9:$C$508,MATCH($AG18,_EngineTrades!$AV$9:$AV$508,0)))</f>
        <v/>
      </c>
      <c r="E18" s="68" t="str">
        <f>IF($A18="","",IF(IFERROR(LOOKUP(2,1/(_EngineTrades!$AU$9:$AU$508=$A18),_EngineTrades!$AR$9:$AR$508),FALSE),"Closed","Open"))</f>
        <v/>
      </c>
      <c r="F18" s="69" t="str">
        <f>IF($A18="","",INDEX(_EngineTrades!$E$9:$E$508,$AG18-8))</f>
        <v/>
      </c>
      <c r="G18" s="69" t="str">
        <f>IF(OR($A18="",$E18&lt;&gt;"Closed"),"",IFERROR(INDEX(_EngineTrades!$E$9:$E$508,SUMIFS(_EngineTrades!$AX$9:$AX$508,_EngineTrades!$AU$9:$AU$508,$A18)-8),""))</f>
        <v/>
      </c>
      <c r="H18" s="70" t="str">
        <f>IF($A18="","",ROUND(SUMIFS(_EngineTrades!$Y$9:$Y$508,_EngineTrades!$AU$9:$AU$508,$A18),4))</f>
        <v/>
      </c>
      <c r="I18" s="70" t="str">
        <f>IF($A18="","",ROUND(SUMIFS(_EngineTrades!$Z$9:$Z$508,_EngineTrades!$AU$9:$AU$508,$A18),4))</f>
        <v/>
      </c>
      <c r="J18" s="71" t="str">
        <f t="shared" si="0"/>
        <v/>
      </c>
      <c r="K18" s="70" t="str">
        <f>IF($A18="","",ROUND(SUMIFS(_EngineTrades!$AA$9:$AA$508,_EngineTrades!$AU$9:$AU$508,$A18),4))</f>
        <v/>
      </c>
      <c r="L18" s="70" t="str">
        <f>IF($A18="","",ROUND(SUMIFS(_EngineTrades!$AB$9:$AB$508,_EngineTrades!$AU$9:$AU$508,$A18),4))</f>
        <v/>
      </c>
      <c r="M18" s="70" t="str">
        <f>IF($A18="","",ROUND(SUMIFS(_EngineTrades!$AC$9:$AC$508,_EngineTrades!$AU$9:$AU$508,$A18),4))</f>
        <v/>
      </c>
      <c r="N18" s="70" t="str">
        <f>IF($A18="","",ROUND(SUMIFS(_EngineTrades!$AD$9:$AD$508,_EngineTrades!$AU$9:$AU$508,$A18),4))</f>
        <v/>
      </c>
      <c r="O18" s="71" t="str">
        <f t="shared" si="1"/>
        <v/>
      </c>
      <c r="P18" s="66">
        <f>IF(OR($A18="",$E18&lt;&gt;"Open"),0,IFERROR(LOOKUP(2,1/(_EngineTrades!$AU$9:$AU$508=$A18),_EngineTrades!$AM$9:$AM$508),0))</f>
        <v>0</v>
      </c>
      <c r="Q18" s="70" t="str">
        <f>IF(OR($A18="",$P18=0),"",ROUND(IFERROR(LOOKUP(2,1/(_EngineTrades!$AU$9:$AU$508=$A18),_EngineTrades!$AN$9:$AN$508),0)/$P18,4))</f>
        <v/>
      </c>
      <c r="R18" s="70">
        <f>IF(OR($A18="",$E18&lt;&gt;"Open"),0,IFERROR(LOOKUP(2,1/(_EngineTrades!$AU$9:$AU$508=$A18),_EngineTrades!$AO$9:$AO$508),0))</f>
        <v>0</v>
      </c>
      <c r="S18" s="70">
        <f>IF(OR($A18="",$E18&lt;&gt;"Open"),0,ROUND($R18+IFERROR(LOOKUP(2,1/(_EngineTrades!$AU$9:$AU$508=$A18),_EngineTrades!$AN$9:$AN$508),0),4))</f>
        <v>0</v>
      </c>
      <c r="T18" s="70" t="str">
        <f>IF($A18="","",ROUND(IFERROR(LOOKUP(2,1/(_EngineTrades!$AU$9:$AU$508=$A18),_EngineTrades!$AT$9:$AT$508),0),4))</f>
        <v/>
      </c>
      <c r="U18" s="70" t="str">
        <f t="shared" si="2"/>
        <v/>
      </c>
      <c r="V18" s="70" t="str">
        <f>IF(AND($A18&lt;&gt;"",$E18="Open",$P18+N(IFERROR(LOOKUP(2,1/(_EngineTrades!$AU$9:$AU$508=$A18),_EngineTrades!$AP$9:$AP$508),0))&gt;0),ROUND(($R18-$O18)/($P18+N(IFERROR(LOOKUP(2,1/(_EngineTrades!$AU$9:$AU$508=$A18),_EngineTrades!$AP$9:$AP$508),0))),4),"")</f>
        <v/>
      </c>
      <c r="W18" s="72" t="str">
        <f>IF($A18="","",MAX(1,IF($G18="",_EngineTrades!$E$3-$F18,$G18-$F18)))</f>
        <v/>
      </c>
      <c r="X18" s="73" t="str">
        <f t="shared" si="3"/>
        <v/>
      </c>
      <c r="Y18" s="73" t="str">
        <f t="shared" si="4"/>
        <v/>
      </c>
      <c r="Z18" s="44">
        <f>IF(Cycles!U18="",0,Cycles!U18)</f>
        <v>0</v>
      </c>
      <c r="AA18" s="44">
        <f>IF(Cycles!V18="",0,Cycles!V18)</f>
        <v>0</v>
      </c>
      <c r="AB18" s="44">
        <f>IF(Cycles!W18="",0,Cycles!W18)</f>
        <v>0</v>
      </c>
      <c r="AC18" s="44">
        <f>IF(Cycles!X18="",0,Cycles!X18)</f>
        <v>0</v>
      </c>
      <c r="AD18" s="70" t="str">
        <f t="shared" si="5"/>
        <v/>
      </c>
      <c r="AE18" s="70" t="str">
        <f t="shared" si="6"/>
        <v/>
      </c>
      <c r="AF18" s="70" t="str">
        <f t="shared" si="7"/>
        <v/>
      </c>
      <c r="AG18" t="str">
        <f>IFERROR(MATCH(ROWS($AG$9:AG18),_EngineTrades!$AW$9:$AW$508,0)+8,"")</f>
        <v/>
      </c>
    </row>
    <row r="19" spans="1:33" ht="15" x14ac:dyDescent="0.25">
      <c r="A19" s="61" t="str">
        <f>IF($AG19="","",IFERROR(INDEX(_EngineTrades!$AU$9:$AU$508,MATCH($AG19,_EngineTrades!$AV$9:$AV$508,0)),""))</f>
        <v/>
      </c>
      <c r="B19" s="61" t="str">
        <f>IF($A19="","",INDEX(_EngineTrades!$B$9:$B$508,MATCH($AG19,_EngineTrades!$AV$9:$AV$508,0)))</f>
        <v/>
      </c>
      <c r="C19" s="61" t="str">
        <f>IF($A19="","",INDEX(_EngineTrades!$T$9:$T$508,MATCH($AG19,_EngineTrades!$AV$9:$AV$508,0)))</f>
        <v/>
      </c>
      <c r="D19" s="47" t="str">
        <f>IF($A19="","",INDEX(_EngineTrades!$C$9:$C$508,MATCH($AG19,_EngineTrades!$AV$9:$AV$508,0)))</f>
        <v/>
      </c>
      <c r="E19" s="62" t="str">
        <f>IF($A19="","",IF(IFERROR(LOOKUP(2,1/(_EngineTrades!$AU$9:$AU$508=$A19),_EngineTrades!$AR$9:$AR$508),FALSE),"Closed","Open"))</f>
        <v/>
      </c>
      <c r="F19" s="63" t="str">
        <f>IF($A19="","",INDEX(_EngineTrades!$E$9:$E$508,$AG19-8))</f>
        <v/>
      </c>
      <c r="G19" s="63" t="str">
        <f>IF(OR($A19="",$E19&lt;&gt;"Closed"),"",IFERROR(INDEX(_EngineTrades!$E$9:$E$508,SUMIFS(_EngineTrades!$AX$9:$AX$508,_EngineTrades!$AU$9:$AU$508,$A19)-8),""))</f>
        <v/>
      </c>
      <c r="H19" s="49" t="str">
        <f>IF($A19="","",ROUND(SUMIFS(_EngineTrades!$Y$9:$Y$508,_EngineTrades!$AU$9:$AU$508,$A19),4))</f>
        <v/>
      </c>
      <c r="I19" s="49" t="str">
        <f>IF($A19="","",ROUND(SUMIFS(_EngineTrades!$Z$9:$Z$508,_EngineTrades!$AU$9:$AU$508,$A19),4))</f>
        <v/>
      </c>
      <c r="J19" s="45" t="str">
        <f t="shared" si="0"/>
        <v/>
      </c>
      <c r="K19" s="49" t="str">
        <f>IF($A19="","",ROUND(SUMIFS(_EngineTrades!$AA$9:$AA$508,_EngineTrades!$AU$9:$AU$508,$A19),4))</f>
        <v/>
      </c>
      <c r="L19" s="49" t="str">
        <f>IF($A19="","",ROUND(SUMIFS(_EngineTrades!$AB$9:$AB$508,_EngineTrades!$AU$9:$AU$508,$A19),4))</f>
        <v/>
      </c>
      <c r="M19" s="49" t="str">
        <f>IF($A19="","",ROUND(SUMIFS(_EngineTrades!$AC$9:$AC$508,_EngineTrades!$AU$9:$AU$508,$A19),4))</f>
        <v/>
      </c>
      <c r="N19" s="49" t="str">
        <f>IF($A19="","",ROUND(SUMIFS(_EngineTrades!$AD$9:$AD$508,_EngineTrades!$AU$9:$AU$508,$A19),4))</f>
        <v/>
      </c>
      <c r="O19" s="45" t="str">
        <f t="shared" si="1"/>
        <v/>
      </c>
      <c r="P19" s="61">
        <f>IF(OR($A19="",$E19&lt;&gt;"Open"),0,IFERROR(LOOKUP(2,1/(_EngineTrades!$AU$9:$AU$508=$A19),_EngineTrades!$AM$9:$AM$508),0))</f>
        <v>0</v>
      </c>
      <c r="Q19" s="49" t="str">
        <f>IF(OR($A19="",$P19=0),"",ROUND(IFERROR(LOOKUP(2,1/(_EngineTrades!$AU$9:$AU$508=$A19),_EngineTrades!$AN$9:$AN$508),0)/$P19,4))</f>
        <v/>
      </c>
      <c r="R19" s="49">
        <f>IF(OR($A19="",$E19&lt;&gt;"Open"),0,IFERROR(LOOKUP(2,1/(_EngineTrades!$AU$9:$AU$508=$A19),_EngineTrades!$AO$9:$AO$508),0))</f>
        <v>0</v>
      </c>
      <c r="S19" s="49">
        <f>IF(OR($A19="",$E19&lt;&gt;"Open"),0,ROUND($R19+IFERROR(LOOKUP(2,1/(_EngineTrades!$AU$9:$AU$508=$A19),_EngineTrades!$AN$9:$AN$508),0),4))</f>
        <v>0</v>
      </c>
      <c r="T19" s="49" t="str">
        <f>IF($A19="","",ROUND(IFERROR(LOOKUP(2,1/(_EngineTrades!$AU$9:$AU$508=$A19),_EngineTrades!$AT$9:$AT$508),0),4))</f>
        <v/>
      </c>
      <c r="U19" s="49" t="str">
        <f t="shared" si="2"/>
        <v/>
      </c>
      <c r="V19" s="49" t="str">
        <f>IF(AND($A19&lt;&gt;"",$E19="Open",$P19+N(IFERROR(LOOKUP(2,1/(_EngineTrades!$AU$9:$AU$508=$A19),_EngineTrades!$AP$9:$AP$508),0))&gt;0),ROUND(($R19-$O19)/($P19+N(IFERROR(LOOKUP(2,1/(_EngineTrades!$AU$9:$AU$508=$A19),_EngineTrades!$AP$9:$AP$508),0))),4),"")</f>
        <v/>
      </c>
      <c r="W19" s="64" t="str">
        <f>IF($A19="","",MAX(1,IF($G19="",_EngineTrades!$E$3-$F19,$G19-$F19)))</f>
        <v/>
      </c>
      <c r="X19" s="65" t="str">
        <f t="shared" si="3"/>
        <v/>
      </c>
      <c r="Y19" s="65" t="str">
        <f t="shared" si="4"/>
        <v/>
      </c>
      <c r="Z19" s="44">
        <f>IF(Cycles!U19="",0,Cycles!U19)</f>
        <v>0</v>
      </c>
      <c r="AA19" s="44">
        <f>IF(Cycles!V19="",0,Cycles!V19)</f>
        <v>0</v>
      </c>
      <c r="AB19" s="44">
        <f>IF(Cycles!W19="",0,Cycles!W19)</f>
        <v>0</v>
      </c>
      <c r="AC19" s="44">
        <f>IF(Cycles!X19="",0,Cycles!X19)</f>
        <v>0</v>
      </c>
      <c r="AD19" s="49" t="str">
        <f t="shared" si="5"/>
        <v/>
      </c>
      <c r="AE19" s="49" t="str">
        <f t="shared" si="6"/>
        <v/>
      </c>
      <c r="AF19" s="49" t="str">
        <f t="shared" si="7"/>
        <v/>
      </c>
      <c r="AG19" t="str">
        <f>IFERROR(MATCH(ROWS($AG$9:AG19),_EngineTrades!$AW$9:$AW$508,0)+8,"")</f>
        <v/>
      </c>
    </row>
    <row r="20" spans="1:33" ht="15" x14ac:dyDescent="0.25">
      <c r="A20" s="66" t="str">
        <f>IF($AG20="","",IFERROR(INDEX(_EngineTrades!$AU$9:$AU$508,MATCH($AG20,_EngineTrades!$AV$9:$AV$508,0)),""))</f>
        <v/>
      </c>
      <c r="B20" s="66" t="str">
        <f>IF($A20="","",INDEX(_EngineTrades!$B$9:$B$508,MATCH($AG20,_EngineTrades!$AV$9:$AV$508,0)))</f>
        <v/>
      </c>
      <c r="C20" s="66" t="str">
        <f>IF($A20="","",INDEX(_EngineTrades!$T$9:$T$508,MATCH($AG20,_EngineTrades!$AV$9:$AV$508,0)))</f>
        <v/>
      </c>
      <c r="D20" s="67" t="str">
        <f>IF($A20="","",INDEX(_EngineTrades!$C$9:$C$508,MATCH($AG20,_EngineTrades!$AV$9:$AV$508,0)))</f>
        <v/>
      </c>
      <c r="E20" s="68" t="str">
        <f>IF($A20="","",IF(IFERROR(LOOKUP(2,1/(_EngineTrades!$AU$9:$AU$508=$A20),_EngineTrades!$AR$9:$AR$508),FALSE),"Closed","Open"))</f>
        <v/>
      </c>
      <c r="F20" s="69" t="str">
        <f>IF($A20="","",INDEX(_EngineTrades!$E$9:$E$508,$AG20-8))</f>
        <v/>
      </c>
      <c r="G20" s="69" t="str">
        <f>IF(OR($A20="",$E20&lt;&gt;"Closed"),"",IFERROR(INDEX(_EngineTrades!$E$9:$E$508,SUMIFS(_EngineTrades!$AX$9:$AX$508,_EngineTrades!$AU$9:$AU$508,$A20)-8),""))</f>
        <v/>
      </c>
      <c r="H20" s="70" t="str">
        <f>IF($A20="","",ROUND(SUMIFS(_EngineTrades!$Y$9:$Y$508,_EngineTrades!$AU$9:$AU$508,$A20),4))</f>
        <v/>
      </c>
      <c r="I20" s="70" t="str">
        <f>IF($A20="","",ROUND(SUMIFS(_EngineTrades!$Z$9:$Z$508,_EngineTrades!$AU$9:$AU$508,$A20),4))</f>
        <v/>
      </c>
      <c r="J20" s="71" t="str">
        <f t="shared" si="0"/>
        <v/>
      </c>
      <c r="K20" s="70" t="str">
        <f>IF($A20="","",ROUND(SUMIFS(_EngineTrades!$AA$9:$AA$508,_EngineTrades!$AU$9:$AU$508,$A20),4))</f>
        <v/>
      </c>
      <c r="L20" s="70" t="str">
        <f>IF($A20="","",ROUND(SUMIFS(_EngineTrades!$AB$9:$AB$508,_EngineTrades!$AU$9:$AU$508,$A20),4))</f>
        <v/>
      </c>
      <c r="M20" s="70" t="str">
        <f>IF($A20="","",ROUND(SUMIFS(_EngineTrades!$AC$9:$AC$508,_EngineTrades!$AU$9:$AU$508,$A20),4))</f>
        <v/>
      </c>
      <c r="N20" s="70" t="str">
        <f>IF($A20="","",ROUND(SUMIFS(_EngineTrades!$AD$9:$AD$508,_EngineTrades!$AU$9:$AU$508,$A20),4))</f>
        <v/>
      </c>
      <c r="O20" s="71" t="str">
        <f t="shared" si="1"/>
        <v/>
      </c>
      <c r="P20" s="66">
        <f>IF(OR($A20="",$E20&lt;&gt;"Open"),0,IFERROR(LOOKUP(2,1/(_EngineTrades!$AU$9:$AU$508=$A20),_EngineTrades!$AM$9:$AM$508),0))</f>
        <v>0</v>
      </c>
      <c r="Q20" s="70" t="str">
        <f>IF(OR($A20="",$P20=0),"",ROUND(IFERROR(LOOKUP(2,1/(_EngineTrades!$AU$9:$AU$508=$A20),_EngineTrades!$AN$9:$AN$508),0)/$P20,4))</f>
        <v/>
      </c>
      <c r="R20" s="70">
        <f>IF(OR($A20="",$E20&lt;&gt;"Open"),0,IFERROR(LOOKUP(2,1/(_EngineTrades!$AU$9:$AU$508=$A20),_EngineTrades!$AO$9:$AO$508),0))</f>
        <v>0</v>
      </c>
      <c r="S20" s="70">
        <f>IF(OR($A20="",$E20&lt;&gt;"Open"),0,ROUND($R20+IFERROR(LOOKUP(2,1/(_EngineTrades!$AU$9:$AU$508=$A20),_EngineTrades!$AN$9:$AN$508),0),4))</f>
        <v>0</v>
      </c>
      <c r="T20" s="70" t="str">
        <f>IF($A20="","",ROUND(IFERROR(LOOKUP(2,1/(_EngineTrades!$AU$9:$AU$508=$A20),_EngineTrades!$AT$9:$AT$508),0),4))</f>
        <v/>
      </c>
      <c r="U20" s="70" t="str">
        <f t="shared" si="2"/>
        <v/>
      </c>
      <c r="V20" s="70" t="str">
        <f>IF(AND($A20&lt;&gt;"",$E20="Open",$P20+N(IFERROR(LOOKUP(2,1/(_EngineTrades!$AU$9:$AU$508=$A20),_EngineTrades!$AP$9:$AP$508),0))&gt;0),ROUND(($R20-$O20)/($P20+N(IFERROR(LOOKUP(2,1/(_EngineTrades!$AU$9:$AU$508=$A20),_EngineTrades!$AP$9:$AP$508),0))),4),"")</f>
        <v/>
      </c>
      <c r="W20" s="72" t="str">
        <f>IF($A20="","",MAX(1,IF($G20="",_EngineTrades!$E$3-$F20,$G20-$F20)))</f>
        <v/>
      </c>
      <c r="X20" s="73" t="str">
        <f t="shared" si="3"/>
        <v/>
      </c>
      <c r="Y20" s="73" t="str">
        <f t="shared" si="4"/>
        <v/>
      </c>
      <c r="Z20" s="44">
        <f>IF(Cycles!U20="",0,Cycles!U20)</f>
        <v>0</v>
      </c>
      <c r="AA20" s="44">
        <f>IF(Cycles!V20="",0,Cycles!V20)</f>
        <v>0</v>
      </c>
      <c r="AB20" s="44">
        <f>IF(Cycles!W20="",0,Cycles!W20)</f>
        <v>0</v>
      </c>
      <c r="AC20" s="44">
        <f>IF(Cycles!X20="",0,Cycles!X20)</f>
        <v>0</v>
      </c>
      <c r="AD20" s="70" t="str">
        <f t="shared" si="5"/>
        <v/>
      </c>
      <c r="AE20" s="70" t="str">
        <f t="shared" si="6"/>
        <v/>
      </c>
      <c r="AF20" s="70" t="str">
        <f t="shared" si="7"/>
        <v/>
      </c>
      <c r="AG20" t="str">
        <f>IFERROR(MATCH(ROWS($AG$9:AG20),_EngineTrades!$AW$9:$AW$508,0)+8,"")</f>
        <v/>
      </c>
    </row>
    <row r="21" spans="1:33" ht="15" x14ac:dyDescent="0.25">
      <c r="A21" s="61" t="str">
        <f>IF($AG21="","",IFERROR(INDEX(_EngineTrades!$AU$9:$AU$508,MATCH($AG21,_EngineTrades!$AV$9:$AV$508,0)),""))</f>
        <v/>
      </c>
      <c r="B21" s="61" t="str">
        <f>IF($A21="","",INDEX(_EngineTrades!$B$9:$B$508,MATCH($AG21,_EngineTrades!$AV$9:$AV$508,0)))</f>
        <v/>
      </c>
      <c r="C21" s="61" t="str">
        <f>IF($A21="","",INDEX(_EngineTrades!$T$9:$T$508,MATCH($AG21,_EngineTrades!$AV$9:$AV$508,0)))</f>
        <v/>
      </c>
      <c r="D21" s="47" t="str">
        <f>IF($A21="","",INDEX(_EngineTrades!$C$9:$C$508,MATCH($AG21,_EngineTrades!$AV$9:$AV$508,0)))</f>
        <v/>
      </c>
      <c r="E21" s="62" t="str">
        <f>IF($A21="","",IF(IFERROR(LOOKUP(2,1/(_EngineTrades!$AU$9:$AU$508=$A21),_EngineTrades!$AR$9:$AR$508),FALSE),"Closed","Open"))</f>
        <v/>
      </c>
      <c r="F21" s="63" t="str">
        <f>IF($A21="","",INDEX(_EngineTrades!$E$9:$E$508,$AG21-8))</f>
        <v/>
      </c>
      <c r="G21" s="63" t="str">
        <f>IF(OR($A21="",$E21&lt;&gt;"Closed"),"",IFERROR(INDEX(_EngineTrades!$E$9:$E$508,SUMIFS(_EngineTrades!$AX$9:$AX$508,_EngineTrades!$AU$9:$AU$508,$A21)-8),""))</f>
        <v/>
      </c>
      <c r="H21" s="49" t="str">
        <f>IF($A21="","",ROUND(SUMIFS(_EngineTrades!$Y$9:$Y$508,_EngineTrades!$AU$9:$AU$508,$A21),4))</f>
        <v/>
      </c>
      <c r="I21" s="49" t="str">
        <f>IF($A21="","",ROUND(SUMIFS(_EngineTrades!$Z$9:$Z$508,_EngineTrades!$AU$9:$AU$508,$A21),4))</f>
        <v/>
      </c>
      <c r="J21" s="45" t="str">
        <f t="shared" si="0"/>
        <v/>
      </c>
      <c r="K21" s="49" t="str">
        <f>IF($A21="","",ROUND(SUMIFS(_EngineTrades!$AA$9:$AA$508,_EngineTrades!$AU$9:$AU$508,$A21),4))</f>
        <v/>
      </c>
      <c r="L21" s="49" t="str">
        <f>IF($A21="","",ROUND(SUMIFS(_EngineTrades!$AB$9:$AB$508,_EngineTrades!$AU$9:$AU$508,$A21),4))</f>
        <v/>
      </c>
      <c r="M21" s="49" t="str">
        <f>IF($A21="","",ROUND(SUMIFS(_EngineTrades!$AC$9:$AC$508,_EngineTrades!$AU$9:$AU$508,$A21),4))</f>
        <v/>
      </c>
      <c r="N21" s="49" t="str">
        <f>IF($A21="","",ROUND(SUMIFS(_EngineTrades!$AD$9:$AD$508,_EngineTrades!$AU$9:$AU$508,$A21),4))</f>
        <v/>
      </c>
      <c r="O21" s="45" t="str">
        <f t="shared" si="1"/>
        <v/>
      </c>
      <c r="P21" s="61">
        <f>IF(OR($A21="",$E21&lt;&gt;"Open"),0,IFERROR(LOOKUP(2,1/(_EngineTrades!$AU$9:$AU$508=$A21),_EngineTrades!$AM$9:$AM$508),0))</f>
        <v>0</v>
      </c>
      <c r="Q21" s="49" t="str">
        <f>IF(OR($A21="",$P21=0),"",ROUND(IFERROR(LOOKUP(2,1/(_EngineTrades!$AU$9:$AU$508=$A21),_EngineTrades!$AN$9:$AN$508),0)/$P21,4))</f>
        <v/>
      </c>
      <c r="R21" s="49">
        <f>IF(OR($A21="",$E21&lt;&gt;"Open"),0,IFERROR(LOOKUP(2,1/(_EngineTrades!$AU$9:$AU$508=$A21),_EngineTrades!$AO$9:$AO$508),0))</f>
        <v>0</v>
      </c>
      <c r="S21" s="49">
        <f>IF(OR($A21="",$E21&lt;&gt;"Open"),0,ROUND($R21+IFERROR(LOOKUP(2,1/(_EngineTrades!$AU$9:$AU$508=$A21),_EngineTrades!$AN$9:$AN$508),0),4))</f>
        <v>0</v>
      </c>
      <c r="T21" s="49" t="str">
        <f>IF($A21="","",ROUND(IFERROR(LOOKUP(2,1/(_EngineTrades!$AU$9:$AU$508=$A21),_EngineTrades!$AT$9:$AT$508),0),4))</f>
        <v/>
      </c>
      <c r="U21" s="49" t="str">
        <f t="shared" si="2"/>
        <v/>
      </c>
      <c r="V21" s="49" t="str">
        <f>IF(AND($A21&lt;&gt;"",$E21="Open",$P21+N(IFERROR(LOOKUP(2,1/(_EngineTrades!$AU$9:$AU$508=$A21),_EngineTrades!$AP$9:$AP$508),0))&gt;0),ROUND(($R21-$O21)/($P21+N(IFERROR(LOOKUP(2,1/(_EngineTrades!$AU$9:$AU$508=$A21),_EngineTrades!$AP$9:$AP$508),0))),4),"")</f>
        <v/>
      </c>
      <c r="W21" s="64" t="str">
        <f>IF($A21="","",MAX(1,IF($G21="",_EngineTrades!$E$3-$F21,$G21-$F21)))</f>
        <v/>
      </c>
      <c r="X21" s="65" t="str">
        <f t="shared" si="3"/>
        <v/>
      </c>
      <c r="Y21" s="65" t="str">
        <f t="shared" si="4"/>
        <v/>
      </c>
      <c r="Z21" s="44">
        <f>IF(Cycles!U21="",0,Cycles!U21)</f>
        <v>0</v>
      </c>
      <c r="AA21" s="44">
        <f>IF(Cycles!V21="",0,Cycles!V21)</f>
        <v>0</v>
      </c>
      <c r="AB21" s="44">
        <f>IF(Cycles!W21="",0,Cycles!W21)</f>
        <v>0</v>
      </c>
      <c r="AC21" s="44">
        <f>IF(Cycles!X21="",0,Cycles!X21)</f>
        <v>0</v>
      </c>
      <c r="AD21" s="49" t="str">
        <f t="shared" si="5"/>
        <v/>
      </c>
      <c r="AE21" s="49" t="str">
        <f t="shared" si="6"/>
        <v/>
      </c>
      <c r="AF21" s="49" t="str">
        <f t="shared" si="7"/>
        <v/>
      </c>
      <c r="AG21" t="str">
        <f>IFERROR(MATCH(ROWS($AG$9:AG21),_EngineTrades!$AW$9:$AW$508,0)+8,"")</f>
        <v/>
      </c>
    </row>
    <row r="22" spans="1:33" ht="15" x14ac:dyDescent="0.25">
      <c r="A22" s="66" t="str">
        <f>IF($AG22="","",IFERROR(INDEX(_EngineTrades!$AU$9:$AU$508,MATCH($AG22,_EngineTrades!$AV$9:$AV$508,0)),""))</f>
        <v/>
      </c>
      <c r="B22" s="66" t="str">
        <f>IF($A22="","",INDEX(_EngineTrades!$B$9:$B$508,MATCH($AG22,_EngineTrades!$AV$9:$AV$508,0)))</f>
        <v/>
      </c>
      <c r="C22" s="66" t="str">
        <f>IF($A22="","",INDEX(_EngineTrades!$T$9:$T$508,MATCH($AG22,_EngineTrades!$AV$9:$AV$508,0)))</f>
        <v/>
      </c>
      <c r="D22" s="67" t="str">
        <f>IF($A22="","",INDEX(_EngineTrades!$C$9:$C$508,MATCH($AG22,_EngineTrades!$AV$9:$AV$508,0)))</f>
        <v/>
      </c>
      <c r="E22" s="68" t="str">
        <f>IF($A22="","",IF(IFERROR(LOOKUP(2,1/(_EngineTrades!$AU$9:$AU$508=$A22),_EngineTrades!$AR$9:$AR$508),FALSE),"Closed","Open"))</f>
        <v/>
      </c>
      <c r="F22" s="69" t="str">
        <f>IF($A22="","",INDEX(_EngineTrades!$E$9:$E$508,$AG22-8))</f>
        <v/>
      </c>
      <c r="G22" s="69" t="str">
        <f>IF(OR($A22="",$E22&lt;&gt;"Closed"),"",IFERROR(INDEX(_EngineTrades!$E$9:$E$508,SUMIFS(_EngineTrades!$AX$9:$AX$508,_EngineTrades!$AU$9:$AU$508,$A22)-8),""))</f>
        <v/>
      </c>
      <c r="H22" s="70" t="str">
        <f>IF($A22="","",ROUND(SUMIFS(_EngineTrades!$Y$9:$Y$508,_EngineTrades!$AU$9:$AU$508,$A22),4))</f>
        <v/>
      </c>
      <c r="I22" s="70" t="str">
        <f>IF($A22="","",ROUND(SUMIFS(_EngineTrades!$Z$9:$Z$508,_EngineTrades!$AU$9:$AU$508,$A22),4))</f>
        <v/>
      </c>
      <c r="J22" s="71" t="str">
        <f t="shared" si="0"/>
        <v/>
      </c>
      <c r="K22" s="70" t="str">
        <f>IF($A22="","",ROUND(SUMIFS(_EngineTrades!$AA$9:$AA$508,_EngineTrades!$AU$9:$AU$508,$A22),4))</f>
        <v/>
      </c>
      <c r="L22" s="70" t="str">
        <f>IF($A22="","",ROUND(SUMIFS(_EngineTrades!$AB$9:$AB$508,_EngineTrades!$AU$9:$AU$508,$A22),4))</f>
        <v/>
      </c>
      <c r="M22" s="70" t="str">
        <f>IF($A22="","",ROUND(SUMIFS(_EngineTrades!$AC$9:$AC$508,_EngineTrades!$AU$9:$AU$508,$A22),4))</f>
        <v/>
      </c>
      <c r="N22" s="70" t="str">
        <f>IF($A22="","",ROUND(SUMIFS(_EngineTrades!$AD$9:$AD$508,_EngineTrades!$AU$9:$AU$508,$A22),4))</f>
        <v/>
      </c>
      <c r="O22" s="71" t="str">
        <f t="shared" si="1"/>
        <v/>
      </c>
      <c r="P22" s="66">
        <f>IF(OR($A22="",$E22&lt;&gt;"Open"),0,IFERROR(LOOKUP(2,1/(_EngineTrades!$AU$9:$AU$508=$A22),_EngineTrades!$AM$9:$AM$508),0))</f>
        <v>0</v>
      </c>
      <c r="Q22" s="70" t="str">
        <f>IF(OR($A22="",$P22=0),"",ROUND(IFERROR(LOOKUP(2,1/(_EngineTrades!$AU$9:$AU$508=$A22),_EngineTrades!$AN$9:$AN$508),0)/$P22,4))</f>
        <v/>
      </c>
      <c r="R22" s="70">
        <f>IF(OR($A22="",$E22&lt;&gt;"Open"),0,IFERROR(LOOKUP(2,1/(_EngineTrades!$AU$9:$AU$508=$A22),_EngineTrades!$AO$9:$AO$508),0))</f>
        <v>0</v>
      </c>
      <c r="S22" s="70">
        <f>IF(OR($A22="",$E22&lt;&gt;"Open"),0,ROUND($R22+IFERROR(LOOKUP(2,1/(_EngineTrades!$AU$9:$AU$508=$A22),_EngineTrades!$AN$9:$AN$508),0),4))</f>
        <v>0</v>
      </c>
      <c r="T22" s="70" t="str">
        <f>IF($A22="","",ROUND(IFERROR(LOOKUP(2,1/(_EngineTrades!$AU$9:$AU$508=$A22),_EngineTrades!$AT$9:$AT$508),0),4))</f>
        <v/>
      </c>
      <c r="U22" s="70" t="str">
        <f t="shared" si="2"/>
        <v/>
      </c>
      <c r="V22" s="70" t="str">
        <f>IF(AND($A22&lt;&gt;"",$E22="Open",$P22+N(IFERROR(LOOKUP(2,1/(_EngineTrades!$AU$9:$AU$508=$A22),_EngineTrades!$AP$9:$AP$508),0))&gt;0),ROUND(($R22-$O22)/($P22+N(IFERROR(LOOKUP(2,1/(_EngineTrades!$AU$9:$AU$508=$A22),_EngineTrades!$AP$9:$AP$508),0))),4),"")</f>
        <v/>
      </c>
      <c r="W22" s="72" t="str">
        <f>IF($A22="","",MAX(1,IF($G22="",_EngineTrades!$E$3-$F22,$G22-$F22)))</f>
        <v/>
      </c>
      <c r="X22" s="73" t="str">
        <f t="shared" si="3"/>
        <v/>
      </c>
      <c r="Y22" s="73" t="str">
        <f t="shared" si="4"/>
        <v/>
      </c>
      <c r="Z22" s="44">
        <f>IF(Cycles!U22="",0,Cycles!U22)</f>
        <v>0</v>
      </c>
      <c r="AA22" s="44">
        <f>IF(Cycles!V22="",0,Cycles!V22)</f>
        <v>0</v>
      </c>
      <c r="AB22" s="44">
        <f>IF(Cycles!W22="",0,Cycles!W22)</f>
        <v>0</v>
      </c>
      <c r="AC22" s="44">
        <f>IF(Cycles!X22="",0,Cycles!X22)</f>
        <v>0</v>
      </c>
      <c r="AD22" s="70" t="str">
        <f t="shared" si="5"/>
        <v/>
      </c>
      <c r="AE22" s="70" t="str">
        <f t="shared" si="6"/>
        <v/>
      </c>
      <c r="AF22" s="70" t="str">
        <f t="shared" si="7"/>
        <v/>
      </c>
      <c r="AG22" t="str">
        <f>IFERROR(MATCH(ROWS($AG$9:AG22),_EngineTrades!$AW$9:$AW$508,0)+8,"")</f>
        <v/>
      </c>
    </row>
    <row r="23" spans="1:33" ht="15" x14ac:dyDescent="0.25">
      <c r="A23" s="61" t="str">
        <f>IF($AG23="","",IFERROR(INDEX(_EngineTrades!$AU$9:$AU$508,MATCH($AG23,_EngineTrades!$AV$9:$AV$508,0)),""))</f>
        <v/>
      </c>
      <c r="B23" s="61" t="str">
        <f>IF($A23="","",INDEX(_EngineTrades!$B$9:$B$508,MATCH($AG23,_EngineTrades!$AV$9:$AV$508,0)))</f>
        <v/>
      </c>
      <c r="C23" s="61" t="str">
        <f>IF($A23="","",INDEX(_EngineTrades!$T$9:$T$508,MATCH($AG23,_EngineTrades!$AV$9:$AV$508,0)))</f>
        <v/>
      </c>
      <c r="D23" s="47" t="str">
        <f>IF($A23="","",INDEX(_EngineTrades!$C$9:$C$508,MATCH($AG23,_EngineTrades!$AV$9:$AV$508,0)))</f>
        <v/>
      </c>
      <c r="E23" s="62" t="str">
        <f>IF($A23="","",IF(IFERROR(LOOKUP(2,1/(_EngineTrades!$AU$9:$AU$508=$A23),_EngineTrades!$AR$9:$AR$508),FALSE),"Closed","Open"))</f>
        <v/>
      </c>
      <c r="F23" s="63" t="str">
        <f>IF($A23="","",INDEX(_EngineTrades!$E$9:$E$508,$AG23-8))</f>
        <v/>
      </c>
      <c r="G23" s="63" t="str">
        <f>IF(OR($A23="",$E23&lt;&gt;"Closed"),"",IFERROR(INDEX(_EngineTrades!$E$9:$E$508,SUMIFS(_EngineTrades!$AX$9:$AX$508,_EngineTrades!$AU$9:$AU$508,$A23)-8),""))</f>
        <v/>
      </c>
      <c r="H23" s="49" t="str">
        <f>IF($A23="","",ROUND(SUMIFS(_EngineTrades!$Y$9:$Y$508,_EngineTrades!$AU$9:$AU$508,$A23),4))</f>
        <v/>
      </c>
      <c r="I23" s="49" t="str">
        <f>IF($A23="","",ROUND(SUMIFS(_EngineTrades!$Z$9:$Z$508,_EngineTrades!$AU$9:$AU$508,$A23),4))</f>
        <v/>
      </c>
      <c r="J23" s="45" t="str">
        <f t="shared" si="0"/>
        <v/>
      </c>
      <c r="K23" s="49" t="str">
        <f>IF($A23="","",ROUND(SUMIFS(_EngineTrades!$AA$9:$AA$508,_EngineTrades!$AU$9:$AU$508,$A23),4))</f>
        <v/>
      </c>
      <c r="L23" s="49" t="str">
        <f>IF($A23="","",ROUND(SUMIFS(_EngineTrades!$AB$9:$AB$508,_EngineTrades!$AU$9:$AU$508,$A23),4))</f>
        <v/>
      </c>
      <c r="M23" s="49" t="str">
        <f>IF($A23="","",ROUND(SUMIFS(_EngineTrades!$AC$9:$AC$508,_EngineTrades!$AU$9:$AU$508,$A23),4))</f>
        <v/>
      </c>
      <c r="N23" s="49" t="str">
        <f>IF($A23="","",ROUND(SUMIFS(_EngineTrades!$AD$9:$AD$508,_EngineTrades!$AU$9:$AU$508,$A23),4))</f>
        <v/>
      </c>
      <c r="O23" s="45" t="str">
        <f t="shared" si="1"/>
        <v/>
      </c>
      <c r="P23" s="61">
        <f>IF(OR($A23="",$E23&lt;&gt;"Open"),0,IFERROR(LOOKUP(2,1/(_EngineTrades!$AU$9:$AU$508=$A23),_EngineTrades!$AM$9:$AM$508),0))</f>
        <v>0</v>
      </c>
      <c r="Q23" s="49" t="str">
        <f>IF(OR($A23="",$P23=0),"",ROUND(IFERROR(LOOKUP(2,1/(_EngineTrades!$AU$9:$AU$508=$A23),_EngineTrades!$AN$9:$AN$508),0)/$P23,4))</f>
        <v/>
      </c>
      <c r="R23" s="49">
        <f>IF(OR($A23="",$E23&lt;&gt;"Open"),0,IFERROR(LOOKUP(2,1/(_EngineTrades!$AU$9:$AU$508=$A23),_EngineTrades!$AO$9:$AO$508),0))</f>
        <v>0</v>
      </c>
      <c r="S23" s="49">
        <f>IF(OR($A23="",$E23&lt;&gt;"Open"),0,ROUND($R23+IFERROR(LOOKUP(2,1/(_EngineTrades!$AU$9:$AU$508=$A23),_EngineTrades!$AN$9:$AN$508),0),4))</f>
        <v>0</v>
      </c>
      <c r="T23" s="49" t="str">
        <f>IF($A23="","",ROUND(IFERROR(LOOKUP(2,1/(_EngineTrades!$AU$9:$AU$508=$A23),_EngineTrades!$AT$9:$AT$508),0),4))</f>
        <v/>
      </c>
      <c r="U23" s="49" t="str">
        <f t="shared" si="2"/>
        <v/>
      </c>
      <c r="V23" s="49" t="str">
        <f>IF(AND($A23&lt;&gt;"",$E23="Open",$P23+N(IFERROR(LOOKUP(2,1/(_EngineTrades!$AU$9:$AU$508=$A23),_EngineTrades!$AP$9:$AP$508),0))&gt;0),ROUND(($R23-$O23)/($P23+N(IFERROR(LOOKUP(2,1/(_EngineTrades!$AU$9:$AU$508=$A23),_EngineTrades!$AP$9:$AP$508),0))),4),"")</f>
        <v/>
      </c>
      <c r="W23" s="64" t="str">
        <f>IF($A23="","",MAX(1,IF($G23="",_EngineTrades!$E$3-$F23,$G23-$F23)))</f>
        <v/>
      </c>
      <c r="X23" s="65" t="str">
        <f t="shared" si="3"/>
        <v/>
      </c>
      <c r="Y23" s="65" t="str">
        <f t="shared" si="4"/>
        <v/>
      </c>
      <c r="Z23" s="44">
        <f>IF(Cycles!U23="",0,Cycles!U23)</f>
        <v>0</v>
      </c>
      <c r="AA23" s="44">
        <f>IF(Cycles!V23="",0,Cycles!V23)</f>
        <v>0</v>
      </c>
      <c r="AB23" s="44">
        <f>IF(Cycles!W23="",0,Cycles!W23)</f>
        <v>0</v>
      </c>
      <c r="AC23" s="44">
        <f>IF(Cycles!X23="",0,Cycles!X23)</f>
        <v>0</v>
      </c>
      <c r="AD23" s="49" t="str">
        <f t="shared" si="5"/>
        <v/>
      </c>
      <c r="AE23" s="49" t="str">
        <f t="shared" si="6"/>
        <v/>
      </c>
      <c r="AF23" s="49" t="str">
        <f t="shared" si="7"/>
        <v/>
      </c>
      <c r="AG23" t="str">
        <f>IFERROR(MATCH(ROWS($AG$9:AG23),_EngineTrades!$AW$9:$AW$508,0)+8,"")</f>
        <v/>
      </c>
    </row>
    <row r="24" spans="1:33" ht="15" x14ac:dyDescent="0.25">
      <c r="A24" s="66" t="str">
        <f>IF($AG24="","",IFERROR(INDEX(_EngineTrades!$AU$9:$AU$508,MATCH($AG24,_EngineTrades!$AV$9:$AV$508,0)),""))</f>
        <v/>
      </c>
      <c r="B24" s="66" t="str">
        <f>IF($A24="","",INDEX(_EngineTrades!$B$9:$B$508,MATCH($AG24,_EngineTrades!$AV$9:$AV$508,0)))</f>
        <v/>
      </c>
      <c r="C24" s="66" t="str">
        <f>IF($A24="","",INDEX(_EngineTrades!$T$9:$T$508,MATCH($AG24,_EngineTrades!$AV$9:$AV$508,0)))</f>
        <v/>
      </c>
      <c r="D24" s="67" t="str">
        <f>IF($A24="","",INDEX(_EngineTrades!$C$9:$C$508,MATCH($AG24,_EngineTrades!$AV$9:$AV$508,0)))</f>
        <v/>
      </c>
      <c r="E24" s="68" t="str">
        <f>IF($A24="","",IF(IFERROR(LOOKUP(2,1/(_EngineTrades!$AU$9:$AU$508=$A24),_EngineTrades!$AR$9:$AR$508),FALSE),"Closed","Open"))</f>
        <v/>
      </c>
      <c r="F24" s="69" t="str">
        <f>IF($A24="","",INDEX(_EngineTrades!$E$9:$E$508,$AG24-8))</f>
        <v/>
      </c>
      <c r="G24" s="69" t="str">
        <f>IF(OR($A24="",$E24&lt;&gt;"Closed"),"",IFERROR(INDEX(_EngineTrades!$E$9:$E$508,SUMIFS(_EngineTrades!$AX$9:$AX$508,_EngineTrades!$AU$9:$AU$508,$A24)-8),""))</f>
        <v/>
      </c>
      <c r="H24" s="70" t="str">
        <f>IF($A24="","",ROUND(SUMIFS(_EngineTrades!$Y$9:$Y$508,_EngineTrades!$AU$9:$AU$508,$A24),4))</f>
        <v/>
      </c>
      <c r="I24" s="70" t="str">
        <f>IF($A24="","",ROUND(SUMIFS(_EngineTrades!$Z$9:$Z$508,_EngineTrades!$AU$9:$AU$508,$A24),4))</f>
        <v/>
      </c>
      <c r="J24" s="71" t="str">
        <f t="shared" si="0"/>
        <v/>
      </c>
      <c r="K24" s="70" t="str">
        <f>IF($A24="","",ROUND(SUMIFS(_EngineTrades!$AA$9:$AA$508,_EngineTrades!$AU$9:$AU$508,$A24),4))</f>
        <v/>
      </c>
      <c r="L24" s="70" t="str">
        <f>IF($A24="","",ROUND(SUMIFS(_EngineTrades!$AB$9:$AB$508,_EngineTrades!$AU$9:$AU$508,$A24),4))</f>
        <v/>
      </c>
      <c r="M24" s="70" t="str">
        <f>IF($A24="","",ROUND(SUMIFS(_EngineTrades!$AC$9:$AC$508,_EngineTrades!$AU$9:$AU$508,$A24),4))</f>
        <v/>
      </c>
      <c r="N24" s="70" t="str">
        <f>IF($A24="","",ROUND(SUMIFS(_EngineTrades!$AD$9:$AD$508,_EngineTrades!$AU$9:$AU$508,$A24),4))</f>
        <v/>
      </c>
      <c r="O24" s="71" t="str">
        <f t="shared" si="1"/>
        <v/>
      </c>
      <c r="P24" s="66">
        <f>IF(OR($A24="",$E24&lt;&gt;"Open"),0,IFERROR(LOOKUP(2,1/(_EngineTrades!$AU$9:$AU$508=$A24),_EngineTrades!$AM$9:$AM$508),0))</f>
        <v>0</v>
      </c>
      <c r="Q24" s="70" t="str">
        <f>IF(OR($A24="",$P24=0),"",ROUND(IFERROR(LOOKUP(2,1/(_EngineTrades!$AU$9:$AU$508=$A24),_EngineTrades!$AN$9:$AN$508),0)/$P24,4))</f>
        <v/>
      </c>
      <c r="R24" s="70">
        <f>IF(OR($A24="",$E24&lt;&gt;"Open"),0,IFERROR(LOOKUP(2,1/(_EngineTrades!$AU$9:$AU$508=$A24),_EngineTrades!$AO$9:$AO$508),0))</f>
        <v>0</v>
      </c>
      <c r="S24" s="70">
        <f>IF(OR($A24="",$E24&lt;&gt;"Open"),0,ROUND($R24+IFERROR(LOOKUP(2,1/(_EngineTrades!$AU$9:$AU$508=$A24),_EngineTrades!$AN$9:$AN$508),0),4))</f>
        <v>0</v>
      </c>
      <c r="T24" s="70" t="str">
        <f>IF($A24="","",ROUND(IFERROR(LOOKUP(2,1/(_EngineTrades!$AU$9:$AU$508=$A24),_EngineTrades!$AT$9:$AT$508),0),4))</f>
        <v/>
      </c>
      <c r="U24" s="70" t="str">
        <f t="shared" si="2"/>
        <v/>
      </c>
      <c r="V24" s="70" t="str">
        <f>IF(AND($A24&lt;&gt;"",$E24="Open",$P24+N(IFERROR(LOOKUP(2,1/(_EngineTrades!$AU$9:$AU$508=$A24),_EngineTrades!$AP$9:$AP$508),0))&gt;0),ROUND(($R24-$O24)/($P24+N(IFERROR(LOOKUP(2,1/(_EngineTrades!$AU$9:$AU$508=$A24),_EngineTrades!$AP$9:$AP$508),0))),4),"")</f>
        <v/>
      </c>
      <c r="W24" s="72" t="str">
        <f>IF($A24="","",MAX(1,IF($G24="",_EngineTrades!$E$3-$F24,$G24-$F24)))</f>
        <v/>
      </c>
      <c r="X24" s="73" t="str">
        <f t="shared" si="3"/>
        <v/>
      </c>
      <c r="Y24" s="73" t="str">
        <f t="shared" si="4"/>
        <v/>
      </c>
      <c r="Z24" s="44">
        <f>IF(Cycles!U24="",0,Cycles!U24)</f>
        <v>0</v>
      </c>
      <c r="AA24" s="44">
        <f>IF(Cycles!V24="",0,Cycles!V24)</f>
        <v>0</v>
      </c>
      <c r="AB24" s="44">
        <f>IF(Cycles!W24="",0,Cycles!W24)</f>
        <v>0</v>
      </c>
      <c r="AC24" s="44">
        <f>IF(Cycles!X24="",0,Cycles!X24)</f>
        <v>0</v>
      </c>
      <c r="AD24" s="70" t="str">
        <f t="shared" si="5"/>
        <v/>
      </c>
      <c r="AE24" s="70" t="str">
        <f t="shared" si="6"/>
        <v/>
      </c>
      <c r="AF24" s="70" t="str">
        <f t="shared" si="7"/>
        <v/>
      </c>
      <c r="AG24" t="str">
        <f>IFERROR(MATCH(ROWS($AG$9:AG24),_EngineTrades!$AW$9:$AW$508,0)+8,"")</f>
        <v/>
      </c>
    </row>
    <row r="25" spans="1:33" ht="15" x14ac:dyDescent="0.25">
      <c r="A25" s="61" t="str">
        <f>IF($AG25="","",IFERROR(INDEX(_EngineTrades!$AU$9:$AU$508,MATCH($AG25,_EngineTrades!$AV$9:$AV$508,0)),""))</f>
        <v/>
      </c>
      <c r="B25" s="61" t="str">
        <f>IF($A25="","",INDEX(_EngineTrades!$B$9:$B$508,MATCH($AG25,_EngineTrades!$AV$9:$AV$508,0)))</f>
        <v/>
      </c>
      <c r="C25" s="61" t="str">
        <f>IF($A25="","",INDEX(_EngineTrades!$T$9:$T$508,MATCH($AG25,_EngineTrades!$AV$9:$AV$508,0)))</f>
        <v/>
      </c>
      <c r="D25" s="47" t="str">
        <f>IF($A25="","",INDEX(_EngineTrades!$C$9:$C$508,MATCH($AG25,_EngineTrades!$AV$9:$AV$508,0)))</f>
        <v/>
      </c>
      <c r="E25" s="62" t="str">
        <f>IF($A25="","",IF(IFERROR(LOOKUP(2,1/(_EngineTrades!$AU$9:$AU$508=$A25),_EngineTrades!$AR$9:$AR$508),FALSE),"Closed","Open"))</f>
        <v/>
      </c>
      <c r="F25" s="63" t="str">
        <f>IF($A25="","",INDEX(_EngineTrades!$E$9:$E$508,$AG25-8))</f>
        <v/>
      </c>
      <c r="G25" s="63" t="str">
        <f>IF(OR($A25="",$E25&lt;&gt;"Closed"),"",IFERROR(INDEX(_EngineTrades!$E$9:$E$508,SUMIFS(_EngineTrades!$AX$9:$AX$508,_EngineTrades!$AU$9:$AU$508,$A25)-8),""))</f>
        <v/>
      </c>
      <c r="H25" s="49" t="str">
        <f>IF($A25="","",ROUND(SUMIFS(_EngineTrades!$Y$9:$Y$508,_EngineTrades!$AU$9:$AU$508,$A25),4))</f>
        <v/>
      </c>
      <c r="I25" s="49" t="str">
        <f>IF($A25="","",ROUND(SUMIFS(_EngineTrades!$Z$9:$Z$508,_EngineTrades!$AU$9:$AU$508,$A25),4))</f>
        <v/>
      </c>
      <c r="J25" s="45" t="str">
        <f t="shared" si="0"/>
        <v/>
      </c>
      <c r="K25" s="49" t="str">
        <f>IF($A25="","",ROUND(SUMIFS(_EngineTrades!$AA$9:$AA$508,_EngineTrades!$AU$9:$AU$508,$A25),4))</f>
        <v/>
      </c>
      <c r="L25" s="49" t="str">
        <f>IF($A25="","",ROUND(SUMIFS(_EngineTrades!$AB$9:$AB$508,_EngineTrades!$AU$9:$AU$508,$A25),4))</f>
        <v/>
      </c>
      <c r="M25" s="49" t="str">
        <f>IF($A25="","",ROUND(SUMIFS(_EngineTrades!$AC$9:$AC$508,_EngineTrades!$AU$9:$AU$508,$A25),4))</f>
        <v/>
      </c>
      <c r="N25" s="49" t="str">
        <f>IF($A25="","",ROUND(SUMIFS(_EngineTrades!$AD$9:$AD$508,_EngineTrades!$AU$9:$AU$508,$A25),4))</f>
        <v/>
      </c>
      <c r="O25" s="45" t="str">
        <f t="shared" si="1"/>
        <v/>
      </c>
      <c r="P25" s="61">
        <f>IF(OR($A25="",$E25&lt;&gt;"Open"),0,IFERROR(LOOKUP(2,1/(_EngineTrades!$AU$9:$AU$508=$A25),_EngineTrades!$AM$9:$AM$508),0))</f>
        <v>0</v>
      </c>
      <c r="Q25" s="49" t="str">
        <f>IF(OR($A25="",$P25=0),"",ROUND(IFERROR(LOOKUP(2,1/(_EngineTrades!$AU$9:$AU$508=$A25),_EngineTrades!$AN$9:$AN$508),0)/$P25,4))</f>
        <v/>
      </c>
      <c r="R25" s="49">
        <f>IF(OR($A25="",$E25&lt;&gt;"Open"),0,IFERROR(LOOKUP(2,1/(_EngineTrades!$AU$9:$AU$508=$A25),_EngineTrades!$AO$9:$AO$508),0))</f>
        <v>0</v>
      </c>
      <c r="S25" s="49">
        <f>IF(OR($A25="",$E25&lt;&gt;"Open"),0,ROUND($R25+IFERROR(LOOKUP(2,1/(_EngineTrades!$AU$9:$AU$508=$A25),_EngineTrades!$AN$9:$AN$508),0),4))</f>
        <v>0</v>
      </c>
      <c r="T25" s="49" t="str">
        <f>IF($A25="","",ROUND(IFERROR(LOOKUP(2,1/(_EngineTrades!$AU$9:$AU$508=$A25),_EngineTrades!$AT$9:$AT$508),0),4))</f>
        <v/>
      </c>
      <c r="U25" s="49" t="str">
        <f t="shared" si="2"/>
        <v/>
      </c>
      <c r="V25" s="49" t="str">
        <f>IF(AND($A25&lt;&gt;"",$E25="Open",$P25+N(IFERROR(LOOKUP(2,1/(_EngineTrades!$AU$9:$AU$508=$A25),_EngineTrades!$AP$9:$AP$508),0))&gt;0),ROUND(($R25-$O25)/($P25+N(IFERROR(LOOKUP(2,1/(_EngineTrades!$AU$9:$AU$508=$A25),_EngineTrades!$AP$9:$AP$508),0))),4),"")</f>
        <v/>
      </c>
      <c r="W25" s="64" t="str">
        <f>IF($A25="","",MAX(1,IF($G25="",_EngineTrades!$E$3-$F25,$G25-$F25)))</f>
        <v/>
      </c>
      <c r="X25" s="65" t="str">
        <f t="shared" si="3"/>
        <v/>
      </c>
      <c r="Y25" s="65" t="str">
        <f t="shared" si="4"/>
        <v/>
      </c>
      <c r="Z25" s="44">
        <f>IF(Cycles!U25="",0,Cycles!U25)</f>
        <v>0</v>
      </c>
      <c r="AA25" s="44">
        <f>IF(Cycles!V25="",0,Cycles!V25)</f>
        <v>0</v>
      </c>
      <c r="AB25" s="44">
        <f>IF(Cycles!W25="",0,Cycles!W25)</f>
        <v>0</v>
      </c>
      <c r="AC25" s="44">
        <f>IF(Cycles!X25="",0,Cycles!X25)</f>
        <v>0</v>
      </c>
      <c r="AD25" s="49" t="str">
        <f t="shared" si="5"/>
        <v/>
      </c>
      <c r="AE25" s="49" t="str">
        <f t="shared" si="6"/>
        <v/>
      </c>
      <c r="AF25" s="49" t="str">
        <f t="shared" si="7"/>
        <v/>
      </c>
      <c r="AG25" t="str">
        <f>IFERROR(MATCH(ROWS($AG$9:AG25),_EngineTrades!$AW$9:$AW$508,0)+8,"")</f>
        <v/>
      </c>
    </row>
    <row r="26" spans="1:33" ht="15" x14ac:dyDescent="0.25">
      <c r="A26" s="66" t="str">
        <f>IF($AG26="","",IFERROR(INDEX(_EngineTrades!$AU$9:$AU$508,MATCH($AG26,_EngineTrades!$AV$9:$AV$508,0)),""))</f>
        <v/>
      </c>
      <c r="B26" s="66" t="str">
        <f>IF($A26="","",INDEX(_EngineTrades!$B$9:$B$508,MATCH($AG26,_EngineTrades!$AV$9:$AV$508,0)))</f>
        <v/>
      </c>
      <c r="C26" s="66" t="str">
        <f>IF($A26="","",INDEX(_EngineTrades!$T$9:$T$508,MATCH($AG26,_EngineTrades!$AV$9:$AV$508,0)))</f>
        <v/>
      </c>
      <c r="D26" s="67" t="str">
        <f>IF($A26="","",INDEX(_EngineTrades!$C$9:$C$508,MATCH($AG26,_EngineTrades!$AV$9:$AV$508,0)))</f>
        <v/>
      </c>
      <c r="E26" s="68" t="str">
        <f>IF($A26="","",IF(IFERROR(LOOKUP(2,1/(_EngineTrades!$AU$9:$AU$508=$A26),_EngineTrades!$AR$9:$AR$508),FALSE),"Closed","Open"))</f>
        <v/>
      </c>
      <c r="F26" s="69" t="str">
        <f>IF($A26="","",INDEX(_EngineTrades!$E$9:$E$508,$AG26-8))</f>
        <v/>
      </c>
      <c r="G26" s="69" t="str">
        <f>IF(OR($A26="",$E26&lt;&gt;"Closed"),"",IFERROR(INDEX(_EngineTrades!$E$9:$E$508,SUMIFS(_EngineTrades!$AX$9:$AX$508,_EngineTrades!$AU$9:$AU$508,$A26)-8),""))</f>
        <v/>
      </c>
      <c r="H26" s="70" t="str">
        <f>IF($A26="","",ROUND(SUMIFS(_EngineTrades!$Y$9:$Y$508,_EngineTrades!$AU$9:$AU$508,$A26),4))</f>
        <v/>
      </c>
      <c r="I26" s="70" t="str">
        <f>IF($A26="","",ROUND(SUMIFS(_EngineTrades!$Z$9:$Z$508,_EngineTrades!$AU$9:$AU$508,$A26),4))</f>
        <v/>
      </c>
      <c r="J26" s="71" t="str">
        <f t="shared" si="0"/>
        <v/>
      </c>
      <c r="K26" s="70" t="str">
        <f>IF($A26="","",ROUND(SUMIFS(_EngineTrades!$AA$9:$AA$508,_EngineTrades!$AU$9:$AU$508,$A26),4))</f>
        <v/>
      </c>
      <c r="L26" s="70" t="str">
        <f>IF($A26="","",ROUND(SUMIFS(_EngineTrades!$AB$9:$AB$508,_EngineTrades!$AU$9:$AU$508,$A26),4))</f>
        <v/>
      </c>
      <c r="M26" s="70" t="str">
        <f>IF($A26="","",ROUND(SUMIFS(_EngineTrades!$AC$9:$AC$508,_EngineTrades!$AU$9:$AU$508,$A26),4))</f>
        <v/>
      </c>
      <c r="N26" s="70" t="str">
        <f>IF($A26="","",ROUND(SUMIFS(_EngineTrades!$AD$9:$AD$508,_EngineTrades!$AU$9:$AU$508,$A26),4))</f>
        <v/>
      </c>
      <c r="O26" s="71" t="str">
        <f t="shared" si="1"/>
        <v/>
      </c>
      <c r="P26" s="66">
        <f>IF(OR($A26="",$E26&lt;&gt;"Open"),0,IFERROR(LOOKUP(2,1/(_EngineTrades!$AU$9:$AU$508=$A26),_EngineTrades!$AM$9:$AM$508),0))</f>
        <v>0</v>
      </c>
      <c r="Q26" s="70" t="str">
        <f>IF(OR($A26="",$P26=0),"",ROUND(IFERROR(LOOKUP(2,1/(_EngineTrades!$AU$9:$AU$508=$A26),_EngineTrades!$AN$9:$AN$508),0)/$P26,4))</f>
        <v/>
      </c>
      <c r="R26" s="70">
        <f>IF(OR($A26="",$E26&lt;&gt;"Open"),0,IFERROR(LOOKUP(2,1/(_EngineTrades!$AU$9:$AU$508=$A26),_EngineTrades!$AO$9:$AO$508),0))</f>
        <v>0</v>
      </c>
      <c r="S26" s="70">
        <f>IF(OR($A26="",$E26&lt;&gt;"Open"),0,ROUND($R26+IFERROR(LOOKUP(2,1/(_EngineTrades!$AU$9:$AU$508=$A26),_EngineTrades!$AN$9:$AN$508),0),4))</f>
        <v>0</v>
      </c>
      <c r="T26" s="70" t="str">
        <f>IF($A26="","",ROUND(IFERROR(LOOKUP(2,1/(_EngineTrades!$AU$9:$AU$508=$A26),_EngineTrades!$AT$9:$AT$508),0),4))</f>
        <v/>
      </c>
      <c r="U26" s="70" t="str">
        <f t="shared" si="2"/>
        <v/>
      </c>
      <c r="V26" s="70" t="str">
        <f>IF(AND($A26&lt;&gt;"",$E26="Open",$P26+N(IFERROR(LOOKUP(2,1/(_EngineTrades!$AU$9:$AU$508=$A26),_EngineTrades!$AP$9:$AP$508),0))&gt;0),ROUND(($R26-$O26)/($P26+N(IFERROR(LOOKUP(2,1/(_EngineTrades!$AU$9:$AU$508=$A26),_EngineTrades!$AP$9:$AP$508),0))),4),"")</f>
        <v/>
      </c>
      <c r="W26" s="72" t="str">
        <f>IF($A26="","",MAX(1,IF($G26="",_EngineTrades!$E$3-$F26,$G26-$F26)))</f>
        <v/>
      </c>
      <c r="X26" s="73" t="str">
        <f t="shared" si="3"/>
        <v/>
      </c>
      <c r="Y26" s="73" t="str">
        <f t="shared" si="4"/>
        <v/>
      </c>
      <c r="Z26" s="44">
        <f>IF(Cycles!U26="",0,Cycles!U26)</f>
        <v>0</v>
      </c>
      <c r="AA26" s="44">
        <f>IF(Cycles!V26="",0,Cycles!V26)</f>
        <v>0</v>
      </c>
      <c r="AB26" s="44">
        <f>IF(Cycles!W26="",0,Cycles!W26)</f>
        <v>0</v>
      </c>
      <c r="AC26" s="44">
        <f>IF(Cycles!X26="",0,Cycles!X26)</f>
        <v>0</v>
      </c>
      <c r="AD26" s="70" t="str">
        <f t="shared" si="5"/>
        <v/>
      </c>
      <c r="AE26" s="70" t="str">
        <f t="shared" si="6"/>
        <v/>
      </c>
      <c r="AF26" s="70" t="str">
        <f t="shared" si="7"/>
        <v/>
      </c>
      <c r="AG26" t="str">
        <f>IFERROR(MATCH(ROWS($AG$9:AG26),_EngineTrades!$AW$9:$AW$508,0)+8,"")</f>
        <v/>
      </c>
    </row>
    <row r="27" spans="1:33" ht="15" x14ac:dyDescent="0.25">
      <c r="A27" s="61" t="str">
        <f>IF($AG27="","",IFERROR(INDEX(_EngineTrades!$AU$9:$AU$508,MATCH($AG27,_EngineTrades!$AV$9:$AV$508,0)),""))</f>
        <v/>
      </c>
      <c r="B27" s="61" t="str">
        <f>IF($A27="","",INDEX(_EngineTrades!$B$9:$B$508,MATCH($AG27,_EngineTrades!$AV$9:$AV$508,0)))</f>
        <v/>
      </c>
      <c r="C27" s="61" t="str">
        <f>IF($A27="","",INDEX(_EngineTrades!$T$9:$T$508,MATCH($AG27,_EngineTrades!$AV$9:$AV$508,0)))</f>
        <v/>
      </c>
      <c r="D27" s="47" t="str">
        <f>IF($A27="","",INDEX(_EngineTrades!$C$9:$C$508,MATCH($AG27,_EngineTrades!$AV$9:$AV$508,0)))</f>
        <v/>
      </c>
      <c r="E27" s="62" t="str">
        <f>IF($A27="","",IF(IFERROR(LOOKUP(2,1/(_EngineTrades!$AU$9:$AU$508=$A27),_EngineTrades!$AR$9:$AR$508),FALSE),"Closed","Open"))</f>
        <v/>
      </c>
      <c r="F27" s="63" t="str">
        <f>IF($A27="","",INDEX(_EngineTrades!$E$9:$E$508,$AG27-8))</f>
        <v/>
      </c>
      <c r="G27" s="63" t="str">
        <f>IF(OR($A27="",$E27&lt;&gt;"Closed"),"",IFERROR(INDEX(_EngineTrades!$E$9:$E$508,SUMIFS(_EngineTrades!$AX$9:$AX$508,_EngineTrades!$AU$9:$AU$508,$A27)-8),""))</f>
        <v/>
      </c>
      <c r="H27" s="49" t="str">
        <f>IF($A27="","",ROUND(SUMIFS(_EngineTrades!$Y$9:$Y$508,_EngineTrades!$AU$9:$AU$508,$A27),4))</f>
        <v/>
      </c>
      <c r="I27" s="49" t="str">
        <f>IF($A27="","",ROUND(SUMIFS(_EngineTrades!$Z$9:$Z$508,_EngineTrades!$AU$9:$AU$508,$A27),4))</f>
        <v/>
      </c>
      <c r="J27" s="45" t="str">
        <f t="shared" si="0"/>
        <v/>
      </c>
      <c r="K27" s="49" t="str">
        <f>IF($A27="","",ROUND(SUMIFS(_EngineTrades!$AA$9:$AA$508,_EngineTrades!$AU$9:$AU$508,$A27),4))</f>
        <v/>
      </c>
      <c r="L27" s="49" t="str">
        <f>IF($A27="","",ROUND(SUMIFS(_EngineTrades!$AB$9:$AB$508,_EngineTrades!$AU$9:$AU$508,$A27),4))</f>
        <v/>
      </c>
      <c r="M27" s="49" t="str">
        <f>IF($A27="","",ROUND(SUMIFS(_EngineTrades!$AC$9:$AC$508,_EngineTrades!$AU$9:$AU$508,$A27),4))</f>
        <v/>
      </c>
      <c r="N27" s="49" t="str">
        <f>IF($A27="","",ROUND(SUMIFS(_EngineTrades!$AD$9:$AD$508,_EngineTrades!$AU$9:$AU$508,$A27),4))</f>
        <v/>
      </c>
      <c r="O27" s="45" t="str">
        <f t="shared" si="1"/>
        <v/>
      </c>
      <c r="P27" s="61">
        <f>IF(OR($A27="",$E27&lt;&gt;"Open"),0,IFERROR(LOOKUP(2,1/(_EngineTrades!$AU$9:$AU$508=$A27),_EngineTrades!$AM$9:$AM$508),0))</f>
        <v>0</v>
      </c>
      <c r="Q27" s="49" t="str">
        <f>IF(OR($A27="",$P27=0),"",ROUND(IFERROR(LOOKUP(2,1/(_EngineTrades!$AU$9:$AU$508=$A27),_EngineTrades!$AN$9:$AN$508),0)/$P27,4))</f>
        <v/>
      </c>
      <c r="R27" s="49">
        <f>IF(OR($A27="",$E27&lt;&gt;"Open"),0,IFERROR(LOOKUP(2,1/(_EngineTrades!$AU$9:$AU$508=$A27),_EngineTrades!$AO$9:$AO$508),0))</f>
        <v>0</v>
      </c>
      <c r="S27" s="49">
        <f>IF(OR($A27="",$E27&lt;&gt;"Open"),0,ROUND($R27+IFERROR(LOOKUP(2,1/(_EngineTrades!$AU$9:$AU$508=$A27),_EngineTrades!$AN$9:$AN$508),0),4))</f>
        <v>0</v>
      </c>
      <c r="T27" s="49" t="str">
        <f>IF($A27="","",ROUND(IFERROR(LOOKUP(2,1/(_EngineTrades!$AU$9:$AU$508=$A27),_EngineTrades!$AT$9:$AT$508),0),4))</f>
        <v/>
      </c>
      <c r="U27" s="49" t="str">
        <f t="shared" si="2"/>
        <v/>
      </c>
      <c r="V27" s="49" t="str">
        <f>IF(AND($A27&lt;&gt;"",$E27="Open",$P27+N(IFERROR(LOOKUP(2,1/(_EngineTrades!$AU$9:$AU$508=$A27),_EngineTrades!$AP$9:$AP$508),0))&gt;0),ROUND(($R27-$O27)/($P27+N(IFERROR(LOOKUP(2,1/(_EngineTrades!$AU$9:$AU$508=$A27),_EngineTrades!$AP$9:$AP$508),0))),4),"")</f>
        <v/>
      </c>
      <c r="W27" s="64" t="str">
        <f>IF($A27="","",MAX(1,IF($G27="",_EngineTrades!$E$3-$F27,$G27-$F27)))</f>
        <v/>
      </c>
      <c r="X27" s="65" t="str">
        <f t="shared" si="3"/>
        <v/>
      </c>
      <c r="Y27" s="65" t="str">
        <f t="shared" si="4"/>
        <v/>
      </c>
      <c r="Z27" s="44">
        <f>IF(Cycles!U27="",0,Cycles!U27)</f>
        <v>0</v>
      </c>
      <c r="AA27" s="44">
        <f>IF(Cycles!V27="",0,Cycles!V27)</f>
        <v>0</v>
      </c>
      <c r="AB27" s="44">
        <f>IF(Cycles!W27="",0,Cycles!W27)</f>
        <v>0</v>
      </c>
      <c r="AC27" s="44">
        <f>IF(Cycles!X27="",0,Cycles!X27)</f>
        <v>0</v>
      </c>
      <c r="AD27" s="49" t="str">
        <f t="shared" si="5"/>
        <v/>
      </c>
      <c r="AE27" s="49" t="str">
        <f t="shared" si="6"/>
        <v/>
      </c>
      <c r="AF27" s="49" t="str">
        <f t="shared" si="7"/>
        <v/>
      </c>
      <c r="AG27" t="str">
        <f>IFERROR(MATCH(ROWS($AG$9:AG27),_EngineTrades!$AW$9:$AW$508,0)+8,"")</f>
        <v/>
      </c>
    </row>
    <row r="28" spans="1:33" ht="15" x14ac:dyDescent="0.25">
      <c r="A28" s="66" t="str">
        <f>IF($AG28="","",IFERROR(INDEX(_EngineTrades!$AU$9:$AU$508,MATCH($AG28,_EngineTrades!$AV$9:$AV$508,0)),""))</f>
        <v/>
      </c>
      <c r="B28" s="66" t="str">
        <f>IF($A28="","",INDEX(_EngineTrades!$B$9:$B$508,MATCH($AG28,_EngineTrades!$AV$9:$AV$508,0)))</f>
        <v/>
      </c>
      <c r="C28" s="66" t="str">
        <f>IF($A28="","",INDEX(_EngineTrades!$T$9:$T$508,MATCH($AG28,_EngineTrades!$AV$9:$AV$508,0)))</f>
        <v/>
      </c>
      <c r="D28" s="67" t="str">
        <f>IF($A28="","",INDEX(_EngineTrades!$C$9:$C$508,MATCH($AG28,_EngineTrades!$AV$9:$AV$508,0)))</f>
        <v/>
      </c>
      <c r="E28" s="68" t="str">
        <f>IF($A28="","",IF(IFERROR(LOOKUP(2,1/(_EngineTrades!$AU$9:$AU$508=$A28),_EngineTrades!$AR$9:$AR$508),FALSE),"Closed","Open"))</f>
        <v/>
      </c>
      <c r="F28" s="69" t="str">
        <f>IF($A28="","",INDEX(_EngineTrades!$E$9:$E$508,$AG28-8))</f>
        <v/>
      </c>
      <c r="G28" s="69" t="str">
        <f>IF(OR($A28="",$E28&lt;&gt;"Closed"),"",IFERROR(INDEX(_EngineTrades!$E$9:$E$508,SUMIFS(_EngineTrades!$AX$9:$AX$508,_EngineTrades!$AU$9:$AU$508,$A28)-8),""))</f>
        <v/>
      </c>
      <c r="H28" s="70" t="str">
        <f>IF($A28="","",ROUND(SUMIFS(_EngineTrades!$Y$9:$Y$508,_EngineTrades!$AU$9:$AU$508,$A28),4))</f>
        <v/>
      </c>
      <c r="I28" s="70" t="str">
        <f>IF($A28="","",ROUND(SUMIFS(_EngineTrades!$Z$9:$Z$508,_EngineTrades!$AU$9:$AU$508,$A28),4))</f>
        <v/>
      </c>
      <c r="J28" s="71" t="str">
        <f t="shared" si="0"/>
        <v/>
      </c>
      <c r="K28" s="70" t="str">
        <f>IF($A28="","",ROUND(SUMIFS(_EngineTrades!$AA$9:$AA$508,_EngineTrades!$AU$9:$AU$508,$A28),4))</f>
        <v/>
      </c>
      <c r="L28" s="70" t="str">
        <f>IF($A28="","",ROUND(SUMIFS(_EngineTrades!$AB$9:$AB$508,_EngineTrades!$AU$9:$AU$508,$A28),4))</f>
        <v/>
      </c>
      <c r="M28" s="70" t="str">
        <f>IF($A28="","",ROUND(SUMIFS(_EngineTrades!$AC$9:$AC$508,_EngineTrades!$AU$9:$AU$508,$A28),4))</f>
        <v/>
      </c>
      <c r="N28" s="70" t="str">
        <f>IF($A28="","",ROUND(SUMIFS(_EngineTrades!$AD$9:$AD$508,_EngineTrades!$AU$9:$AU$508,$A28),4))</f>
        <v/>
      </c>
      <c r="O28" s="71" t="str">
        <f t="shared" si="1"/>
        <v/>
      </c>
      <c r="P28" s="66">
        <f>IF(OR($A28="",$E28&lt;&gt;"Open"),0,IFERROR(LOOKUP(2,1/(_EngineTrades!$AU$9:$AU$508=$A28),_EngineTrades!$AM$9:$AM$508),0))</f>
        <v>0</v>
      </c>
      <c r="Q28" s="70" t="str">
        <f>IF(OR($A28="",$P28=0),"",ROUND(IFERROR(LOOKUP(2,1/(_EngineTrades!$AU$9:$AU$508=$A28),_EngineTrades!$AN$9:$AN$508),0)/$P28,4))</f>
        <v/>
      </c>
      <c r="R28" s="70">
        <f>IF(OR($A28="",$E28&lt;&gt;"Open"),0,IFERROR(LOOKUP(2,1/(_EngineTrades!$AU$9:$AU$508=$A28),_EngineTrades!$AO$9:$AO$508),0))</f>
        <v>0</v>
      </c>
      <c r="S28" s="70">
        <f>IF(OR($A28="",$E28&lt;&gt;"Open"),0,ROUND($R28+IFERROR(LOOKUP(2,1/(_EngineTrades!$AU$9:$AU$508=$A28),_EngineTrades!$AN$9:$AN$508),0),4))</f>
        <v>0</v>
      </c>
      <c r="T28" s="70" t="str">
        <f>IF($A28="","",ROUND(IFERROR(LOOKUP(2,1/(_EngineTrades!$AU$9:$AU$508=$A28),_EngineTrades!$AT$9:$AT$508),0),4))</f>
        <v/>
      </c>
      <c r="U28" s="70" t="str">
        <f t="shared" si="2"/>
        <v/>
      </c>
      <c r="V28" s="70" t="str">
        <f>IF(AND($A28&lt;&gt;"",$E28="Open",$P28+N(IFERROR(LOOKUP(2,1/(_EngineTrades!$AU$9:$AU$508=$A28),_EngineTrades!$AP$9:$AP$508),0))&gt;0),ROUND(($R28-$O28)/($P28+N(IFERROR(LOOKUP(2,1/(_EngineTrades!$AU$9:$AU$508=$A28),_EngineTrades!$AP$9:$AP$508),0))),4),"")</f>
        <v/>
      </c>
      <c r="W28" s="72" t="str">
        <f>IF($A28="","",MAX(1,IF($G28="",_EngineTrades!$E$3-$F28,$G28-$F28)))</f>
        <v/>
      </c>
      <c r="X28" s="73" t="str">
        <f t="shared" si="3"/>
        <v/>
      </c>
      <c r="Y28" s="73" t="str">
        <f t="shared" si="4"/>
        <v/>
      </c>
      <c r="Z28" s="44">
        <f>IF(Cycles!U28="",0,Cycles!U28)</f>
        <v>0</v>
      </c>
      <c r="AA28" s="44">
        <f>IF(Cycles!V28="",0,Cycles!V28)</f>
        <v>0</v>
      </c>
      <c r="AB28" s="44">
        <f>IF(Cycles!W28="",0,Cycles!W28)</f>
        <v>0</v>
      </c>
      <c r="AC28" s="44">
        <f>IF(Cycles!X28="",0,Cycles!X28)</f>
        <v>0</v>
      </c>
      <c r="AD28" s="70" t="str">
        <f t="shared" si="5"/>
        <v/>
      </c>
      <c r="AE28" s="70" t="str">
        <f t="shared" si="6"/>
        <v/>
      </c>
      <c r="AF28" s="70" t="str">
        <f t="shared" si="7"/>
        <v/>
      </c>
      <c r="AG28" t="str">
        <f>IFERROR(MATCH(ROWS($AG$9:AG28),_EngineTrades!$AW$9:$AW$508,0)+8,"")</f>
        <v/>
      </c>
    </row>
    <row r="29" spans="1:33" ht="15" x14ac:dyDescent="0.25">
      <c r="A29" s="61" t="str">
        <f>IF($AG29="","",IFERROR(INDEX(_EngineTrades!$AU$9:$AU$508,MATCH($AG29,_EngineTrades!$AV$9:$AV$508,0)),""))</f>
        <v/>
      </c>
      <c r="B29" s="61" t="str">
        <f>IF($A29="","",INDEX(_EngineTrades!$B$9:$B$508,MATCH($AG29,_EngineTrades!$AV$9:$AV$508,0)))</f>
        <v/>
      </c>
      <c r="C29" s="61" t="str">
        <f>IF($A29="","",INDEX(_EngineTrades!$T$9:$T$508,MATCH($AG29,_EngineTrades!$AV$9:$AV$508,0)))</f>
        <v/>
      </c>
      <c r="D29" s="47" t="str">
        <f>IF($A29="","",INDEX(_EngineTrades!$C$9:$C$508,MATCH($AG29,_EngineTrades!$AV$9:$AV$508,0)))</f>
        <v/>
      </c>
      <c r="E29" s="62" t="str">
        <f>IF($A29="","",IF(IFERROR(LOOKUP(2,1/(_EngineTrades!$AU$9:$AU$508=$A29),_EngineTrades!$AR$9:$AR$508),FALSE),"Closed","Open"))</f>
        <v/>
      </c>
      <c r="F29" s="63" t="str">
        <f>IF($A29="","",INDEX(_EngineTrades!$E$9:$E$508,$AG29-8))</f>
        <v/>
      </c>
      <c r="G29" s="63" t="str">
        <f>IF(OR($A29="",$E29&lt;&gt;"Closed"),"",IFERROR(INDEX(_EngineTrades!$E$9:$E$508,SUMIFS(_EngineTrades!$AX$9:$AX$508,_EngineTrades!$AU$9:$AU$508,$A29)-8),""))</f>
        <v/>
      </c>
      <c r="H29" s="49" t="str">
        <f>IF($A29="","",ROUND(SUMIFS(_EngineTrades!$Y$9:$Y$508,_EngineTrades!$AU$9:$AU$508,$A29),4))</f>
        <v/>
      </c>
      <c r="I29" s="49" t="str">
        <f>IF($A29="","",ROUND(SUMIFS(_EngineTrades!$Z$9:$Z$508,_EngineTrades!$AU$9:$AU$508,$A29),4))</f>
        <v/>
      </c>
      <c r="J29" s="45" t="str">
        <f t="shared" si="0"/>
        <v/>
      </c>
      <c r="K29" s="49" t="str">
        <f>IF($A29="","",ROUND(SUMIFS(_EngineTrades!$AA$9:$AA$508,_EngineTrades!$AU$9:$AU$508,$A29),4))</f>
        <v/>
      </c>
      <c r="L29" s="49" t="str">
        <f>IF($A29="","",ROUND(SUMIFS(_EngineTrades!$AB$9:$AB$508,_EngineTrades!$AU$9:$AU$508,$A29),4))</f>
        <v/>
      </c>
      <c r="M29" s="49" t="str">
        <f>IF($A29="","",ROUND(SUMIFS(_EngineTrades!$AC$9:$AC$508,_EngineTrades!$AU$9:$AU$508,$A29),4))</f>
        <v/>
      </c>
      <c r="N29" s="49" t="str">
        <f>IF($A29="","",ROUND(SUMIFS(_EngineTrades!$AD$9:$AD$508,_EngineTrades!$AU$9:$AU$508,$A29),4))</f>
        <v/>
      </c>
      <c r="O29" s="45" t="str">
        <f t="shared" si="1"/>
        <v/>
      </c>
      <c r="P29" s="61">
        <f>IF(OR($A29="",$E29&lt;&gt;"Open"),0,IFERROR(LOOKUP(2,1/(_EngineTrades!$AU$9:$AU$508=$A29),_EngineTrades!$AM$9:$AM$508),0))</f>
        <v>0</v>
      </c>
      <c r="Q29" s="49" t="str">
        <f>IF(OR($A29="",$P29=0),"",ROUND(IFERROR(LOOKUP(2,1/(_EngineTrades!$AU$9:$AU$508=$A29),_EngineTrades!$AN$9:$AN$508),0)/$P29,4))</f>
        <v/>
      </c>
      <c r="R29" s="49">
        <f>IF(OR($A29="",$E29&lt;&gt;"Open"),0,IFERROR(LOOKUP(2,1/(_EngineTrades!$AU$9:$AU$508=$A29),_EngineTrades!$AO$9:$AO$508),0))</f>
        <v>0</v>
      </c>
      <c r="S29" s="49">
        <f>IF(OR($A29="",$E29&lt;&gt;"Open"),0,ROUND($R29+IFERROR(LOOKUP(2,1/(_EngineTrades!$AU$9:$AU$508=$A29),_EngineTrades!$AN$9:$AN$508),0),4))</f>
        <v>0</v>
      </c>
      <c r="T29" s="49" t="str">
        <f>IF($A29="","",ROUND(IFERROR(LOOKUP(2,1/(_EngineTrades!$AU$9:$AU$508=$A29),_EngineTrades!$AT$9:$AT$508),0),4))</f>
        <v/>
      </c>
      <c r="U29" s="49" t="str">
        <f t="shared" si="2"/>
        <v/>
      </c>
      <c r="V29" s="49" t="str">
        <f>IF(AND($A29&lt;&gt;"",$E29="Open",$P29+N(IFERROR(LOOKUP(2,1/(_EngineTrades!$AU$9:$AU$508=$A29),_EngineTrades!$AP$9:$AP$508),0))&gt;0),ROUND(($R29-$O29)/($P29+N(IFERROR(LOOKUP(2,1/(_EngineTrades!$AU$9:$AU$508=$A29),_EngineTrades!$AP$9:$AP$508),0))),4),"")</f>
        <v/>
      </c>
      <c r="W29" s="64" t="str">
        <f>IF($A29="","",MAX(1,IF($G29="",_EngineTrades!$E$3-$F29,$G29-$F29)))</f>
        <v/>
      </c>
      <c r="X29" s="65" t="str">
        <f t="shared" si="3"/>
        <v/>
      </c>
      <c r="Y29" s="65" t="str">
        <f t="shared" si="4"/>
        <v/>
      </c>
      <c r="Z29" s="44">
        <f>IF(Cycles!U29="",0,Cycles!U29)</f>
        <v>0</v>
      </c>
      <c r="AA29" s="44">
        <f>IF(Cycles!V29="",0,Cycles!V29)</f>
        <v>0</v>
      </c>
      <c r="AB29" s="44">
        <f>IF(Cycles!W29="",0,Cycles!W29)</f>
        <v>0</v>
      </c>
      <c r="AC29" s="44">
        <f>IF(Cycles!X29="",0,Cycles!X29)</f>
        <v>0</v>
      </c>
      <c r="AD29" s="49" t="str">
        <f t="shared" si="5"/>
        <v/>
      </c>
      <c r="AE29" s="49" t="str">
        <f t="shared" si="6"/>
        <v/>
      </c>
      <c r="AF29" s="49" t="str">
        <f t="shared" si="7"/>
        <v/>
      </c>
      <c r="AG29" t="str">
        <f>IFERROR(MATCH(ROWS($AG$9:AG29),_EngineTrades!$AW$9:$AW$508,0)+8,"")</f>
        <v/>
      </c>
    </row>
    <row r="30" spans="1:33" ht="15" x14ac:dyDescent="0.25">
      <c r="A30" s="66" t="str">
        <f>IF($AG30="","",IFERROR(INDEX(_EngineTrades!$AU$9:$AU$508,MATCH($AG30,_EngineTrades!$AV$9:$AV$508,0)),""))</f>
        <v/>
      </c>
      <c r="B30" s="66" t="str">
        <f>IF($A30="","",INDEX(_EngineTrades!$B$9:$B$508,MATCH($AG30,_EngineTrades!$AV$9:$AV$508,0)))</f>
        <v/>
      </c>
      <c r="C30" s="66" t="str">
        <f>IF($A30="","",INDEX(_EngineTrades!$T$9:$T$508,MATCH($AG30,_EngineTrades!$AV$9:$AV$508,0)))</f>
        <v/>
      </c>
      <c r="D30" s="67" t="str">
        <f>IF($A30="","",INDEX(_EngineTrades!$C$9:$C$508,MATCH($AG30,_EngineTrades!$AV$9:$AV$508,0)))</f>
        <v/>
      </c>
      <c r="E30" s="68" t="str">
        <f>IF($A30="","",IF(IFERROR(LOOKUP(2,1/(_EngineTrades!$AU$9:$AU$508=$A30),_EngineTrades!$AR$9:$AR$508),FALSE),"Closed","Open"))</f>
        <v/>
      </c>
      <c r="F30" s="69" t="str">
        <f>IF($A30="","",INDEX(_EngineTrades!$E$9:$E$508,$AG30-8))</f>
        <v/>
      </c>
      <c r="G30" s="69" t="str">
        <f>IF(OR($A30="",$E30&lt;&gt;"Closed"),"",IFERROR(INDEX(_EngineTrades!$E$9:$E$508,SUMIFS(_EngineTrades!$AX$9:$AX$508,_EngineTrades!$AU$9:$AU$508,$A30)-8),""))</f>
        <v/>
      </c>
      <c r="H30" s="70" t="str">
        <f>IF($A30="","",ROUND(SUMIFS(_EngineTrades!$Y$9:$Y$508,_EngineTrades!$AU$9:$AU$508,$A30),4))</f>
        <v/>
      </c>
      <c r="I30" s="70" t="str">
        <f>IF($A30="","",ROUND(SUMIFS(_EngineTrades!$Z$9:$Z$508,_EngineTrades!$AU$9:$AU$508,$A30),4))</f>
        <v/>
      </c>
      <c r="J30" s="71" t="str">
        <f t="shared" si="0"/>
        <v/>
      </c>
      <c r="K30" s="70" t="str">
        <f>IF($A30="","",ROUND(SUMIFS(_EngineTrades!$AA$9:$AA$508,_EngineTrades!$AU$9:$AU$508,$A30),4))</f>
        <v/>
      </c>
      <c r="L30" s="70" t="str">
        <f>IF($A30="","",ROUND(SUMIFS(_EngineTrades!$AB$9:$AB$508,_EngineTrades!$AU$9:$AU$508,$A30),4))</f>
        <v/>
      </c>
      <c r="M30" s="70" t="str">
        <f>IF($A30="","",ROUND(SUMIFS(_EngineTrades!$AC$9:$AC$508,_EngineTrades!$AU$9:$AU$508,$A30),4))</f>
        <v/>
      </c>
      <c r="N30" s="70" t="str">
        <f>IF($A30="","",ROUND(SUMIFS(_EngineTrades!$AD$9:$AD$508,_EngineTrades!$AU$9:$AU$508,$A30),4))</f>
        <v/>
      </c>
      <c r="O30" s="71" t="str">
        <f t="shared" si="1"/>
        <v/>
      </c>
      <c r="P30" s="66">
        <f>IF(OR($A30="",$E30&lt;&gt;"Open"),0,IFERROR(LOOKUP(2,1/(_EngineTrades!$AU$9:$AU$508=$A30),_EngineTrades!$AM$9:$AM$508),0))</f>
        <v>0</v>
      </c>
      <c r="Q30" s="70" t="str">
        <f>IF(OR($A30="",$P30=0),"",ROUND(IFERROR(LOOKUP(2,1/(_EngineTrades!$AU$9:$AU$508=$A30),_EngineTrades!$AN$9:$AN$508),0)/$P30,4))</f>
        <v/>
      </c>
      <c r="R30" s="70">
        <f>IF(OR($A30="",$E30&lt;&gt;"Open"),0,IFERROR(LOOKUP(2,1/(_EngineTrades!$AU$9:$AU$508=$A30),_EngineTrades!$AO$9:$AO$508),0))</f>
        <v>0</v>
      </c>
      <c r="S30" s="70">
        <f>IF(OR($A30="",$E30&lt;&gt;"Open"),0,ROUND($R30+IFERROR(LOOKUP(2,1/(_EngineTrades!$AU$9:$AU$508=$A30),_EngineTrades!$AN$9:$AN$508),0),4))</f>
        <v>0</v>
      </c>
      <c r="T30" s="70" t="str">
        <f>IF($A30="","",ROUND(IFERROR(LOOKUP(2,1/(_EngineTrades!$AU$9:$AU$508=$A30),_EngineTrades!$AT$9:$AT$508),0),4))</f>
        <v/>
      </c>
      <c r="U30" s="70" t="str">
        <f t="shared" si="2"/>
        <v/>
      </c>
      <c r="V30" s="70" t="str">
        <f>IF(AND($A30&lt;&gt;"",$E30="Open",$P30+N(IFERROR(LOOKUP(2,1/(_EngineTrades!$AU$9:$AU$508=$A30),_EngineTrades!$AP$9:$AP$508),0))&gt;0),ROUND(($R30-$O30)/($P30+N(IFERROR(LOOKUP(2,1/(_EngineTrades!$AU$9:$AU$508=$A30),_EngineTrades!$AP$9:$AP$508),0))),4),"")</f>
        <v/>
      </c>
      <c r="W30" s="72" t="str">
        <f>IF($A30="","",MAX(1,IF($G30="",_EngineTrades!$E$3-$F30,$G30-$F30)))</f>
        <v/>
      </c>
      <c r="X30" s="73" t="str">
        <f t="shared" si="3"/>
        <v/>
      </c>
      <c r="Y30" s="73" t="str">
        <f t="shared" si="4"/>
        <v/>
      </c>
      <c r="Z30" s="44">
        <f>IF(Cycles!U30="",0,Cycles!U30)</f>
        <v>0</v>
      </c>
      <c r="AA30" s="44">
        <f>IF(Cycles!V30="",0,Cycles!V30)</f>
        <v>0</v>
      </c>
      <c r="AB30" s="44">
        <f>IF(Cycles!W30="",0,Cycles!W30)</f>
        <v>0</v>
      </c>
      <c r="AC30" s="44">
        <f>IF(Cycles!X30="",0,Cycles!X30)</f>
        <v>0</v>
      </c>
      <c r="AD30" s="70" t="str">
        <f t="shared" si="5"/>
        <v/>
      </c>
      <c r="AE30" s="70" t="str">
        <f t="shared" si="6"/>
        <v/>
      </c>
      <c r="AF30" s="70" t="str">
        <f t="shared" si="7"/>
        <v/>
      </c>
      <c r="AG30" t="str">
        <f>IFERROR(MATCH(ROWS($AG$9:AG30),_EngineTrades!$AW$9:$AW$508,0)+8,"")</f>
        <v/>
      </c>
    </row>
    <row r="31" spans="1:33" ht="15" x14ac:dyDescent="0.25">
      <c r="A31" s="61" t="str">
        <f>IF($AG31="","",IFERROR(INDEX(_EngineTrades!$AU$9:$AU$508,MATCH($AG31,_EngineTrades!$AV$9:$AV$508,0)),""))</f>
        <v/>
      </c>
      <c r="B31" s="61" t="str">
        <f>IF($A31="","",INDEX(_EngineTrades!$B$9:$B$508,MATCH($AG31,_EngineTrades!$AV$9:$AV$508,0)))</f>
        <v/>
      </c>
      <c r="C31" s="61" t="str">
        <f>IF($A31="","",INDEX(_EngineTrades!$T$9:$T$508,MATCH($AG31,_EngineTrades!$AV$9:$AV$508,0)))</f>
        <v/>
      </c>
      <c r="D31" s="47" t="str">
        <f>IF($A31="","",INDEX(_EngineTrades!$C$9:$C$508,MATCH($AG31,_EngineTrades!$AV$9:$AV$508,0)))</f>
        <v/>
      </c>
      <c r="E31" s="62" t="str">
        <f>IF($A31="","",IF(IFERROR(LOOKUP(2,1/(_EngineTrades!$AU$9:$AU$508=$A31),_EngineTrades!$AR$9:$AR$508),FALSE),"Closed","Open"))</f>
        <v/>
      </c>
      <c r="F31" s="63" t="str">
        <f>IF($A31="","",INDEX(_EngineTrades!$E$9:$E$508,$AG31-8))</f>
        <v/>
      </c>
      <c r="G31" s="63" t="str">
        <f>IF(OR($A31="",$E31&lt;&gt;"Closed"),"",IFERROR(INDEX(_EngineTrades!$E$9:$E$508,SUMIFS(_EngineTrades!$AX$9:$AX$508,_EngineTrades!$AU$9:$AU$508,$A31)-8),""))</f>
        <v/>
      </c>
      <c r="H31" s="49" t="str">
        <f>IF($A31="","",ROUND(SUMIFS(_EngineTrades!$Y$9:$Y$508,_EngineTrades!$AU$9:$AU$508,$A31),4))</f>
        <v/>
      </c>
      <c r="I31" s="49" t="str">
        <f>IF($A31="","",ROUND(SUMIFS(_EngineTrades!$Z$9:$Z$508,_EngineTrades!$AU$9:$AU$508,$A31),4))</f>
        <v/>
      </c>
      <c r="J31" s="45" t="str">
        <f t="shared" si="0"/>
        <v/>
      </c>
      <c r="K31" s="49" t="str">
        <f>IF($A31="","",ROUND(SUMIFS(_EngineTrades!$AA$9:$AA$508,_EngineTrades!$AU$9:$AU$508,$A31),4))</f>
        <v/>
      </c>
      <c r="L31" s="49" t="str">
        <f>IF($A31="","",ROUND(SUMIFS(_EngineTrades!$AB$9:$AB$508,_EngineTrades!$AU$9:$AU$508,$A31),4))</f>
        <v/>
      </c>
      <c r="M31" s="49" t="str">
        <f>IF($A31="","",ROUND(SUMIFS(_EngineTrades!$AC$9:$AC$508,_EngineTrades!$AU$9:$AU$508,$A31),4))</f>
        <v/>
      </c>
      <c r="N31" s="49" t="str">
        <f>IF($A31="","",ROUND(SUMIFS(_EngineTrades!$AD$9:$AD$508,_EngineTrades!$AU$9:$AU$508,$A31),4))</f>
        <v/>
      </c>
      <c r="O31" s="45" t="str">
        <f t="shared" si="1"/>
        <v/>
      </c>
      <c r="P31" s="61">
        <f>IF(OR($A31="",$E31&lt;&gt;"Open"),0,IFERROR(LOOKUP(2,1/(_EngineTrades!$AU$9:$AU$508=$A31),_EngineTrades!$AM$9:$AM$508),0))</f>
        <v>0</v>
      </c>
      <c r="Q31" s="49" t="str">
        <f>IF(OR($A31="",$P31=0),"",ROUND(IFERROR(LOOKUP(2,1/(_EngineTrades!$AU$9:$AU$508=$A31),_EngineTrades!$AN$9:$AN$508),0)/$P31,4))</f>
        <v/>
      </c>
      <c r="R31" s="49">
        <f>IF(OR($A31="",$E31&lt;&gt;"Open"),0,IFERROR(LOOKUP(2,1/(_EngineTrades!$AU$9:$AU$508=$A31),_EngineTrades!$AO$9:$AO$508),0))</f>
        <v>0</v>
      </c>
      <c r="S31" s="49">
        <f>IF(OR($A31="",$E31&lt;&gt;"Open"),0,ROUND($R31+IFERROR(LOOKUP(2,1/(_EngineTrades!$AU$9:$AU$508=$A31),_EngineTrades!$AN$9:$AN$508),0),4))</f>
        <v>0</v>
      </c>
      <c r="T31" s="49" t="str">
        <f>IF($A31="","",ROUND(IFERROR(LOOKUP(2,1/(_EngineTrades!$AU$9:$AU$508=$A31),_EngineTrades!$AT$9:$AT$508),0),4))</f>
        <v/>
      </c>
      <c r="U31" s="49" t="str">
        <f t="shared" si="2"/>
        <v/>
      </c>
      <c r="V31" s="49" t="str">
        <f>IF(AND($A31&lt;&gt;"",$E31="Open",$P31+N(IFERROR(LOOKUP(2,1/(_EngineTrades!$AU$9:$AU$508=$A31),_EngineTrades!$AP$9:$AP$508),0))&gt;0),ROUND(($R31-$O31)/($P31+N(IFERROR(LOOKUP(2,1/(_EngineTrades!$AU$9:$AU$508=$A31),_EngineTrades!$AP$9:$AP$508),0))),4),"")</f>
        <v/>
      </c>
      <c r="W31" s="64" t="str">
        <f>IF($A31="","",MAX(1,IF($G31="",_EngineTrades!$E$3-$F31,$G31-$F31)))</f>
        <v/>
      </c>
      <c r="X31" s="65" t="str">
        <f t="shared" si="3"/>
        <v/>
      </c>
      <c r="Y31" s="65" t="str">
        <f t="shared" si="4"/>
        <v/>
      </c>
      <c r="Z31" s="44">
        <f>IF(Cycles!U31="",0,Cycles!U31)</f>
        <v>0</v>
      </c>
      <c r="AA31" s="44">
        <f>IF(Cycles!V31="",0,Cycles!V31)</f>
        <v>0</v>
      </c>
      <c r="AB31" s="44">
        <f>IF(Cycles!W31="",0,Cycles!W31)</f>
        <v>0</v>
      </c>
      <c r="AC31" s="44">
        <f>IF(Cycles!X31="",0,Cycles!X31)</f>
        <v>0</v>
      </c>
      <c r="AD31" s="49" t="str">
        <f t="shared" si="5"/>
        <v/>
      </c>
      <c r="AE31" s="49" t="str">
        <f t="shared" si="6"/>
        <v/>
      </c>
      <c r="AF31" s="49" t="str">
        <f t="shared" si="7"/>
        <v/>
      </c>
      <c r="AG31" t="str">
        <f>IFERROR(MATCH(ROWS($AG$9:AG31),_EngineTrades!$AW$9:$AW$508,0)+8,"")</f>
        <v/>
      </c>
    </row>
    <row r="32" spans="1:33" ht="15" x14ac:dyDescent="0.25">
      <c r="A32" s="66" t="str">
        <f>IF($AG32="","",IFERROR(INDEX(_EngineTrades!$AU$9:$AU$508,MATCH($AG32,_EngineTrades!$AV$9:$AV$508,0)),""))</f>
        <v/>
      </c>
      <c r="B32" s="66" t="str">
        <f>IF($A32="","",INDEX(_EngineTrades!$B$9:$B$508,MATCH($AG32,_EngineTrades!$AV$9:$AV$508,0)))</f>
        <v/>
      </c>
      <c r="C32" s="66" t="str">
        <f>IF($A32="","",INDEX(_EngineTrades!$T$9:$T$508,MATCH($AG32,_EngineTrades!$AV$9:$AV$508,0)))</f>
        <v/>
      </c>
      <c r="D32" s="67" t="str">
        <f>IF($A32="","",INDEX(_EngineTrades!$C$9:$C$508,MATCH($AG32,_EngineTrades!$AV$9:$AV$508,0)))</f>
        <v/>
      </c>
      <c r="E32" s="68" t="str">
        <f>IF($A32="","",IF(IFERROR(LOOKUP(2,1/(_EngineTrades!$AU$9:$AU$508=$A32),_EngineTrades!$AR$9:$AR$508),FALSE),"Closed","Open"))</f>
        <v/>
      </c>
      <c r="F32" s="69" t="str">
        <f>IF($A32="","",INDEX(_EngineTrades!$E$9:$E$508,$AG32-8))</f>
        <v/>
      </c>
      <c r="G32" s="69" t="str">
        <f>IF(OR($A32="",$E32&lt;&gt;"Closed"),"",IFERROR(INDEX(_EngineTrades!$E$9:$E$508,SUMIFS(_EngineTrades!$AX$9:$AX$508,_EngineTrades!$AU$9:$AU$508,$A32)-8),""))</f>
        <v/>
      </c>
      <c r="H32" s="70" t="str">
        <f>IF($A32="","",ROUND(SUMIFS(_EngineTrades!$Y$9:$Y$508,_EngineTrades!$AU$9:$AU$508,$A32),4))</f>
        <v/>
      </c>
      <c r="I32" s="70" t="str">
        <f>IF($A32="","",ROUND(SUMIFS(_EngineTrades!$Z$9:$Z$508,_EngineTrades!$AU$9:$AU$508,$A32),4))</f>
        <v/>
      </c>
      <c r="J32" s="71" t="str">
        <f t="shared" si="0"/>
        <v/>
      </c>
      <c r="K32" s="70" t="str">
        <f>IF($A32="","",ROUND(SUMIFS(_EngineTrades!$AA$9:$AA$508,_EngineTrades!$AU$9:$AU$508,$A32),4))</f>
        <v/>
      </c>
      <c r="L32" s="70" t="str">
        <f>IF($A32="","",ROUND(SUMIFS(_EngineTrades!$AB$9:$AB$508,_EngineTrades!$AU$9:$AU$508,$A32),4))</f>
        <v/>
      </c>
      <c r="M32" s="70" t="str">
        <f>IF($A32="","",ROUND(SUMIFS(_EngineTrades!$AC$9:$AC$508,_EngineTrades!$AU$9:$AU$508,$A32),4))</f>
        <v/>
      </c>
      <c r="N32" s="70" t="str">
        <f>IF($A32="","",ROUND(SUMIFS(_EngineTrades!$AD$9:$AD$508,_EngineTrades!$AU$9:$AU$508,$A32),4))</f>
        <v/>
      </c>
      <c r="O32" s="71" t="str">
        <f t="shared" si="1"/>
        <v/>
      </c>
      <c r="P32" s="66">
        <f>IF(OR($A32="",$E32&lt;&gt;"Open"),0,IFERROR(LOOKUP(2,1/(_EngineTrades!$AU$9:$AU$508=$A32),_EngineTrades!$AM$9:$AM$508),0))</f>
        <v>0</v>
      </c>
      <c r="Q32" s="70" t="str">
        <f>IF(OR($A32="",$P32=0),"",ROUND(IFERROR(LOOKUP(2,1/(_EngineTrades!$AU$9:$AU$508=$A32),_EngineTrades!$AN$9:$AN$508),0)/$P32,4))</f>
        <v/>
      </c>
      <c r="R32" s="70">
        <f>IF(OR($A32="",$E32&lt;&gt;"Open"),0,IFERROR(LOOKUP(2,1/(_EngineTrades!$AU$9:$AU$508=$A32),_EngineTrades!$AO$9:$AO$508),0))</f>
        <v>0</v>
      </c>
      <c r="S32" s="70">
        <f>IF(OR($A32="",$E32&lt;&gt;"Open"),0,ROUND($R32+IFERROR(LOOKUP(2,1/(_EngineTrades!$AU$9:$AU$508=$A32),_EngineTrades!$AN$9:$AN$508),0),4))</f>
        <v>0</v>
      </c>
      <c r="T32" s="70" t="str">
        <f>IF($A32="","",ROUND(IFERROR(LOOKUP(2,1/(_EngineTrades!$AU$9:$AU$508=$A32),_EngineTrades!$AT$9:$AT$508),0),4))</f>
        <v/>
      </c>
      <c r="U32" s="70" t="str">
        <f t="shared" si="2"/>
        <v/>
      </c>
      <c r="V32" s="70" t="str">
        <f>IF(AND($A32&lt;&gt;"",$E32="Open",$P32+N(IFERROR(LOOKUP(2,1/(_EngineTrades!$AU$9:$AU$508=$A32),_EngineTrades!$AP$9:$AP$508),0))&gt;0),ROUND(($R32-$O32)/($P32+N(IFERROR(LOOKUP(2,1/(_EngineTrades!$AU$9:$AU$508=$A32),_EngineTrades!$AP$9:$AP$508),0))),4),"")</f>
        <v/>
      </c>
      <c r="W32" s="72" t="str">
        <f>IF($A32="","",MAX(1,IF($G32="",_EngineTrades!$E$3-$F32,$G32-$F32)))</f>
        <v/>
      </c>
      <c r="X32" s="73" t="str">
        <f t="shared" si="3"/>
        <v/>
      </c>
      <c r="Y32" s="73" t="str">
        <f t="shared" si="4"/>
        <v/>
      </c>
      <c r="Z32" s="44">
        <f>IF(Cycles!U32="",0,Cycles!U32)</f>
        <v>0</v>
      </c>
      <c r="AA32" s="44">
        <f>IF(Cycles!V32="",0,Cycles!V32)</f>
        <v>0</v>
      </c>
      <c r="AB32" s="44">
        <f>IF(Cycles!W32="",0,Cycles!W32)</f>
        <v>0</v>
      </c>
      <c r="AC32" s="44">
        <f>IF(Cycles!X32="",0,Cycles!X32)</f>
        <v>0</v>
      </c>
      <c r="AD32" s="70" t="str">
        <f t="shared" si="5"/>
        <v/>
      </c>
      <c r="AE32" s="70" t="str">
        <f t="shared" si="6"/>
        <v/>
      </c>
      <c r="AF32" s="70" t="str">
        <f t="shared" si="7"/>
        <v/>
      </c>
      <c r="AG32" t="str">
        <f>IFERROR(MATCH(ROWS($AG$9:AG32),_EngineTrades!$AW$9:$AW$508,0)+8,"")</f>
        <v/>
      </c>
    </row>
    <row r="33" spans="1:33" ht="15" x14ac:dyDescent="0.25">
      <c r="A33" s="61" t="str">
        <f>IF($AG33="","",IFERROR(INDEX(_EngineTrades!$AU$9:$AU$508,MATCH($AG33,_EngineTrades!$AV$9:$AV$508,0)),""))</f>
        <v/>
      </c>
      <c r="B33" s="61" t="str">
        <f>IF($A33="","",INDEX(_EngineTrades!$B$9:$B$508,MATCH($AG33,_EngineTrades!$AV$9:$AV$508,0)))</f>
        <v/>
      </c>
      <c r="C33" s="61" t="str">
        <f>IF($A33="","",INDEX(_EngineTrades!$T$9:$T$508,MATCH($AG33,_EngineTrades!$AV$9:$AV$508,0)))</f>
        <v/>
      </c>
      <c r="D33" s="47" t="str">
        <f>IF($A33="","",INDEX(_EngineTrades!$C$9:$C$508,MATCH($AG33,_EngineTrades!$AV$9:$AV$508,0)))</f>
        <v/>
      </c>
      <c r="E33" s="62" t="str">
        <f>IF($A33="","",IF(IFERROR(LOOKUP(2,1/(_EngineTrades!$AU$9:$AU$508=$A33),_EngineTrades!$AR$9:$AR$508),FALSE),"Closed","Open"))</f>
        <v/>
      </c>
      <c r="F33" s="63" t="str">
        <f>IF($A33="","",INDEX(_EngineTrades!$E$9:$E$508,$AG33-8))</f>
        <v/>
      </c>
      <c r="G33" s="63" t="str">
        <f>IF(OR($A33="",$E33&lt;&gt;"Closed"),"",IFERROR(INDEX(_EngineTrades!$E$9:$E$508,SUMIFS(_EngineTrades!$AX$9:$AX$508,_EngineTrades!$AU$9:$AU$508,$A33)-8),""))</f>
        <v/>
      </c>
      <c r="H33" s="49" t="str">
        <f>IF($A33="","",ROUND(SUMIFS(_EngineTrades!$Y$9:$Y$508,_EngineTrades!$AU$9:$AU$508,$A33),4))</f>
        <v/>
      </c>
      <c r="I33" s="49" t="str">
        <f>IF($A33="","",ROUND(SUMIFS(_EngineTrades!$Z$9:$Z$508,_EngineTrades!$AU$9:$AU$508,$A33),4))</f>
        <v/>
      </c>
      <c r="J33" s="45" t="str">
        <f t="shared" si="0"/>
        <v/>
      </c>
      <c r="K33" s="49" t="str">
        <f>IF($A33="","",ROUND(SUMIFS(_EngineTrades!$AA$9:$AA$508,_EngineTrades!$AU$9:$AU$508,$A33),4))</f>
        <v/>
      </c>
      <c r="L33" s="49" t="str">
        <f>IF($A33="","",ROUND(SUMIFS(_EngineTrades!$AB$9:$AB$508,_EngineTrades!$AU$9:$AU$508,$A33),4))</f>
        <v/>
      </c>
      <c r="M33" s="49" t="str">
        <f>IF($A33="","",ROUND(SUMIFS(_EngineTrades!$AC$9:$AC$508,_EngineTrades!$AU$9:$AU$508,$A33),4))</f>
        <v/>
      </c>
      <c r="N33" s="49" t="str">
        <f>IF($A33="","",ROUND(SUMIFS(_EngineTrades!$AD$9:$AD$508,_EngineTrades!$AU$9:$AU$508,$A33),4))</f>
        <v/>
      </c>
      <c r="O33" s="45" t="str">
        <f t="shared" si="1"/>
        <v/>
      </c>
      <c r="P33" s="61">
        <f>IF(OR($A33="",$E33&lt;&gt;"Open"),0,IFERROR(LOOKUP(2,1/(_EngineTrades!$AU$9:$AU$508=$A33),_EngineTrades!$AM$9:$AM$508),0))</f>
        <v>0</v>
      </c>
      <c r="Q33" s="49" t="str">
        <f>IF(OR($A33="",$P33=0),"",ROUND(IFERROR(LOOKUP(2,1/(_EngineTrades!$AU$9:$AU$508=$A33),_EngineTrades!$AN$9:$AN$508),0)/$P33,4))</f>
        <v/>
      </c>
      <c r="R33" s="49">
        <f>IF(OR($A33="",$E33&lt;&gt;"Open"),0,IFERROR(LOOKUP(2,1/(_EngineTrades!$AU$9:$AU$508=$A33),_EngineTrades!$AO$9:$AO$508),0))</f>
        <v>0</v>
      </c>
      <c r="S33" s="49">
        <f>IF(OR($A33="",$E33&lt;&gt;"Open"),0,ROUND($R33+IFERROR(LOOKUP(2,1/(_EngineTrades!$AU$9:$AU$508=$A33),_EngineTrades!$AN$9:$AN$508),0),4))</f>
        <v>0</v>
      </c>
      <c r="T33" s="49" t="str">
        <f>IF($A33="","",ROUND(IFERROR(LOOKUP(2,1/(_EngineTrades!$AU$9:$AU$508=$A33),_EngineTrades!$AT$9:$AT$508),0),4))</f>
        <v/>
      </c>
      <c r="U33" s="49" t="str">
        <f t="shared" si="2"/>
        <v/>
      </c>
      <c r="V33" s="49" t="str">
        <f>IF(AND($A33&lt;&gt;"",$E33="Open",$P33+N(IFERROR(LOOKUP(2,1/(_EngineTrades!$AU$9:$AU$508=$A33),_EngineTrades!$AP$9:$AP$508),0))&gt;0),ROUND(($R33-$O33)/($P33+N(IFERROR(LOOKUP(2,1/(_EngineTrades!$AU$9:$AU$508=$A33),_EngineTrades!$AP$9:$AP$508),0))),4),"")</f>
        <v/>
      </c>
      <c r="W33" s="64" t="str">
        <f>IF($A33="","",MAX(1,IF($G33="",_EngineTrades!$E$3-$F33,$G33-$F33)))</f>
        <v/>
      </c>
      <c r="X33" s="65" t="str">
        <f t="shared" si="3"/>
        <v/>
      </c>
      <c r="Y33" s="65" t="str">
        <f t="shared" si="4"/>
        <v/>
      </c>
      <c r="Z33" s="44">
        <f>IF(Cycles!U33="",0,Cycles!U33)</f>
        <v>0</v>
      </c>
      <c r="AA33" s="44">
        <f>IF(Cycles!V33="",0,Cycles!V33)</f>
        <v>0</v>
      </c>
      <c r="AB33" s="44">
        <f>IF(Cycles!W33="",0,Cycles!W33)</f>
        <v>0</v>
      </c>
      <c r="AC33" s="44">
        <f>IF(Cycles!X33="",0,Cycles!X33)</f>
        <v>0</v>
      </c>
      <c r="AD33" s="49" t="str">
        <f t="shared" si="5"/>
        <v/>
      </c>
      <c r="AE33" s="49" t="str">
        <f t="shared" si="6"/>
        <v/>
      </c>
      <c r="AF33" s="49" t="str">
        <f t="shared" si="7"/>
        <v/>
      </c>
      <c r="AG33" t="str">
        <f>IFERROR(MATCH(ROWS($AG$9:AG33),_EngineTrades!$AW$9:$AW$508,0)+8,"")</f>
        <v/>
      </c>
    </row>
    <row r="34" spans="1:33" ht="15" x14ac:dyDescent="0.25">
      <c r="A34" s="66" t="str">
        <f>IF($AG34="","",IFERROR(INDEX(_EngineTrades!$AU$9:$AU$508,MATCH($AG34,_EngineTrades!$AV$9:$AV$508,0)),""))</f>
        <v/>
      </c>
      <c r="B34" s="66" t="str">
        <f>IF($A34="","",INDEX(_EngineTrades!$B$9:$B$508,MATCH($AG34,_EngineTrades!$AV$9:$AV$508,0)))</f>
        <v/>
      </c>
      <c r="C34" s="66" t="str">
        <f>IF($A34="","",INDEX(_EngineTrades!$T$9:$T$508,MATCH($AG34,_EngineTrades!$AV$9:$AV$508,0)))</f>
        <v/>
      </c>
      <c r="D34" s="67" t="str">
        <f>IF($A34="","",INDEX(_EngineTrades!$C$9:$C$508,MATCH($AG34,_EngineTrades!$AV$9:$AV$508,0)))</f>
        <v/>
      </c>
      <c r="E34" s="68" t="str">
        <f>IF($A34="","",IF(IFERROR(LOOKUP(2,1/(_EngineTrades!$AU$9:$AU$508=$A34),_EngineTrades!$AR$9:$AR$508),FALSE),"Closed","Open"))</f>
        <v/>
      </c>
      <c r="F34" s="69" t="str">
        <f>IF($A34="","",INDEX(_EngineTrades!$E$9:$E$508,$AG34-8))</f>
        <v/>
      </c>
      <c r="G34" s="69" t="str">
        <f>IF(OR($A34="",$E34&lt;&gt;"Closed"),"",IFERROR(INDEX(_EngineTrades!$E$9:$E$508,SUMIFS(_EngineTrades!$AX$9:$AX$508,_EngineTrades!$AU$9:$AU$508,$A34)-8),""))</f>
        <v/>
      </c>
      <c r="H34" s="70" t="str">
        <f>IF($A34="","",ROUND(SUMIFS(_EngineTrades!$Y$9:$Y$508,_EngineTrades!$AU$9:$AU$508,$A34),4))</f>
        <v/>
      </c>
      <c r="I34" s="70" t="str">
        <f>IF($A34="","",ROUND(SUMIFS(_EngineTrades!$Z$9:$Z$508,_EngineTrades!$AU$9:$AU$508,$A34),4))</f>
        <v/>
      </c>
      <c r="J34" s="71" t="str">
        <f t="shared" si="0"/>
        <v/>
      </c>
      <c r="K34" s="70" t="str">
        <f>IF($A34="","",ROUND(SUMIFS(_EngineTrades!$AA$9:$AA$508,_EngineTrades!$AU$9:$AU$508,$A34),4))</f>
        <v/>
      </c>
      <c r="L34" s="70" t="str">
        <f>IF($A34="","",ROUND(SUMIFS(_EngineTrades!$AB$9:$AB$508,_EngineTrades!$AU$9:$AU$508,$A34),4))</f>
        <v/>
      </c>
      <c r="M34" s="70" t="str">
        <f>IF($A34="","",ROUND(SUMIFS(_EngineTrades!$AC$9:$AC$508,_EngineTrades!$AU$9:$AU$508,$A34),4))</f>
        <v/>
      </c>
      <c r="N34" s="70" t="str">
        <f>IF($A34="","",ROUND(SUMIFS(_EngineTrades!$AD$9:$AD$508,_EngineTrades!$AU$9:$AU$508,$A34),4))</f>
        <v/>
      </c>
      <c r="O34" s="71" t="str">
        <f t="shared" si="1"/>
        <v/>
      </c>
      <c r="P34" s="66">
        <f>IF(OR($A34="",$E34&lt;&gt;"Open"),0,IFERROR(LOOKUP(2,1/(_EngineTrades!$AU$9:$AU$508=$A34),_EngineTrades!$AM$9:$AM$508),0))</f>
        <v>0</v>
      </c>
      <c r="Q34" s="70" t="str">
        <f>IF(OR($A34="",$P34=0),"",ROUND(IFERROR(LOOKUP(2,1/(_EngineTrades!$AU$9:$AU$508=$A34),_EngineTrades!$AN$9:$AN$508),0)/$P34,4))</f>
        <v/>
      </c>
      <c r="R34" s="70">
        <f>IF(OR($A34="",$E34&lt;&gt;"Open"),0,IFERROR(LOOKUP(2,1/(_EngineTrades!$AU$9:$AU$508=$A34),_EngineTrades!$AO$9:$AO$508),0))</f>
        <v>0</v>
      </c>
      <c r="S34" s="70">
        <f>IF(OR($A34="",$E34&lt;&gt;"Open"),0,ROUND($R34+IFERROR(LOOKUP(2,1/(_EngineTrades!$AU$9:$AU$508=$A34),_EngineTrades!$AN$9:$AN$508),0),4))</f>
        <v>0</v>
      </c>
      <c r="T34" s="70" t="str">
        <f>IF($A34="","",ROUND(IFERROR(LOOKUP(2,1/(_EngineTrades!$AU$9:$AU$508=$A34),_EngineTrades!$AT$9:$AT$508),0),4))</f>
        <v/>
      </c>
      <c r="U34" s="70" t="str">
        <f t="shared" si="2"/>
        <v/>
      </c>
      <c r="V34" s="70" t="str">
        <f>IF(AND($A34&lt;&gt;"",$E34="Open",$P34+N(IFERROR(LOOKUP(2,1/(_EngineTrades!$AU$9:$AU$508=$A34),_EngineTrades!$AP$9:$AP$508),0))&gt;0),ROUND(($R34-$O34)/($P34+N(IFERROR(LOOKUP(2,1/(_EngineTrades!$AU$9:$AU$508=$A34),_EngineTrades!$AP$9:$AP$508),0))),4),"")</f>
        <v/>
      </c>
      <c r="W34" s="72" t="str">
        <f>IF($A34="","",MAX(1,IF($G34="",_EngineTrades!$E$3-$F34,$G34-$F34)))</f>
        <v/>
      </c>
      <c r="X34" s="73" t="str">
        <f t="shared" si="3"/>
        <v/>
      </c>
      <c r="Y34" s="73" t="str">
        <f t="shared" si="4"/>
        <v/>
      </c>
      <c r="Z34" s="44">
        <f>IF(Cycles!U34="",0,Cycles!U34)</f>
        <v>0</v>
      </c>
      <c r="AA34" s="44">
        <f>IF(Cycles!V34="",0,Cycles!V34)</f>
        <v>0</v>
      </c>
      <c r="AB34" s="44">
        <f>IF(Cycles!W34="",0,Cycles!W34)</f>
        <v>0</v>
      </c>
      <c r="AC34" s="44">
        <f>IF(Cycles!X34="",0,Cycles!X34)</f>
        <v>0</v>
      </c>
      <c r="AD34" s="70" t="str">
        <f t="shared" si="5"/>
        <v/>
      </c>
      <c r="AE34" s="70" t="str">
        <f t="shared" si="6"/>
        <v/>
      </c>
      <c r="AF34" s="70" t="str">
        <f t="shared" si="7"/>
        <v/>
      </c>
      <c r="AG34" t="str">
        <f>IFERROR(MATCH(ROWS($AG$9:AG34),_EngineTrades!$AW$9:$AW$508,0)+8,"")</f>
        <v/>
      </c>
    </row>
    <row r="35" spans="1:33" ht="15" x14ac:dyDescent="0.25">
      <c r="A35" s="61" t="str">
        <f>IF($AG35="","",IFERROR(INDEX(_EngineTrades!$AU$9:$AU$508,MATCH($AG35,_EngineTrades!$AV$9:$AV$508,0)),""))</f>
        <v/>
      </c>
      <c r="B35" s="61" t="str">
        <f>IF($A35="","",INDEX(_EngineTrades!$B$9:$B$508,MATCH($AG35,_EngineTrades!$AV$9:$AV$508,0)))</f>
        <v/>
      </c>
      <c r="C35" s="61" t="str">
        <f>IF($A35="","",INDEX(_EngineTrades!$T$9:$T$508,MATCH($AG35,_EngineTrades!$AV$9:$AV$508,0)))</f>
        <v/>
      </c>
      <c r="D35" s="47" t="str">
        <f>IF($A35="","",INDEX(_EngineTrades!$C$9:$C$508,MATCH($AG35,_EngineTrades!$AV$9:$AV$508,0)))</f>
        <v/>
      </c>
      <c r="E35" s="62" t="str">
        <f>IF($A35="","",IF(IFERROR(LOOKUP(2,1/(_EngineTrades!$AU$9:$AU$508=$A35),_EngineTrades!$AR$9:$AR$508),FALSE),"Closed","Open"))</f>
        <v/>
      </c>
      <c r="F35" s="63" t="str">
        <f>IF($A35="","",INDEX(_EngineTrades!$E$9:$E$508,$AG35-8))</f>
        <v/>
      </c>
      <c r="G35" s="63" t="str">
        <f>IF(OR($A35="",$E35&lt;&gt;"Closed"),"",IFERROR(INDEX(_EngineTrades!$E$9:$E$508,SUMIFS(_EngineTrades!$AX$9:$AX$508,_EngineTrades!$AU$9:$AU$508,$A35)-8),""))</f>
        <v/>
      </c>
      <c r="H35" s="49" t="str">
        <f>IF($A35="","",ROUND(SUMIFS(_EngineTrades!$Y$9:$Y$508,_EngineTrades!$AU$9:$AU$508,$A35),4))</f>
        <v/>
      </c>
      <c r="I35" s="49" t="str">
        <f>IF($A35="","",ROUND(SUMIFS(_EngineTrades!$Z$9:$Z$508,_EngineTrades!$AU$9:$AU$508,$A35),4))</f>
        <v/>
      </c>
      <c r="J35" s="45" t="str">
        <f t="shared" si="0"/>
        <v/>
      </c>
      <c r="K35" s="49" t="str">
        <f>IF($A35="","",ROUND(SUMIFS(_EngineTrades!$AA$9:$AA$508,_EngineTrades!$AU$9:$AU$508,$A35),4))</f>
        <v/>
      </c>
      <c r="L35" s="49" t="str">
        <f>IF($A35="","",ROUND(SUMIFS(_EngineTrades!$AB$9:$AB$508,_EngineTrades!$AU$9:$AU$508,$A35),4))</f>
        <v/>
      </c>
      <c r="M35" s="49" t="str">
        <f>IF($A35="","",ROUND(SUMIFS(_EngineTrades!$AC$9:$AC$508,_EngineTrades!$AU$9:$AU$508,$A35),4))</f>
        <v/>
      </c>
      <c r="N35" s="49" t="str">
        <f>IF($A35="","",ROUND(SUMIFS(_EngineTrades!$AD$9:$AD$508,_EngineTrades!$AU$9:$AU$508,$A35),4))</f>
        <v/>
      </c>
      <c r="O35" s="45" t="str">
        <f t="shared" si="1"/>
        <v/>
      </c>
      <c r="P35" s="61">
        <f>IF(OR($A35="",$E35&lt;&gt;"Open"),0,IFERROR(LOOKUP(2,1/(_EngineTrades!$AU$9:$AU$508=$A35),_EngineTrades!$AM$9:$AM$508),0))</f>
        <v>0</v>
      </c>
      <c r="Q35" s="49" t="str">
        <f>IF(OR($A35="",$P35=0),"",ROUND(IFERROR(LOOKUP(2,1/(_EngineTrades!$AU$9:$AU$508=$A35),_EngineTrades!$AN$9:$AN$508),0)/$P35,4))</f>
        <v/>
      </c>
      <c r="R35" s="49">
        <f>IF(OR($A35="",$E35&lt;&gt;"Open"),0,IFERROR(LOOKUP(2,1/(_EngineTrades!$AU$9:$AU$508=$A35),_EngineTrades!$AO$9:$AO$508),0))</f>
        <v>0</v>
      </c>
      <c r="S35" s="49">
        <f>IF(OR($A35="",$E35&lt;&gt;"Open"),0,ROUND($R35+IFERROR(LOOKUP(2,1/(_EngineTrades!$AU$9:$AU$508=$A35),_EngineTrades!$AN$9:$AN$508),0),4))</f>
        <v>0</v>
      </c>
      <c r="T35" s="49" t="str">
        <f>IF($A35="","",ROUND(IFERROR(LOOKUP(2,1/(_EngineTrades!$AU$9:$AU$508=$A35),_EngineTrades!$AT$9:$AT$508),0),4))</f>
        <v/>
      </c>
      <c r="U35" s="49" t="str">
        <f t="shared" si="2"/>
        <v/>
      </c>
      <c r="V35" s="49" t="str">
        <f>IF(AND($A35&lt;&gt;"",$E35="Open",$P35+N(IFERROR(LOOKUP(2,1/(_EngineTrades!$AU$9:$AU$508=$A35),_EngineTrades!$AP$9:$AP$508),0))&gt;0),ROUND(($R35-$O35)/($P35+N(IFERROR(LOOKUP(2,1/(_EngineTrades!$AU$9:$AU$508=$A35),_EngineTrades!$AP$9:$AP$508),0))),4),"")</f>
        <v/>
      </c>
      <c r="W35" s="64" t="str">
        <f>IF($A35="","",MAX(1,IF($G35="",_EngineTrades!$E$3-$F35,$G35-$F35)))</f>
        <v/>
      </c>
      <c r="X35" s="65" t="str">
        <f t="shared" si="3"/>
        <v/>
      </c>
      <c r="Y35" s="65" t="str">
        <f t="shared" si="4"/>
        <v/>
      </c>
      <c r="Z35" s="44">
        <f>IF(Cycles!U35="",0,Cycles!U35)</f>
        <v>0</v>
      </c>
      <c r="AA35" s="44">
        <f>IF(Cycles!V35="",0,Cycles!V35)</f>
        <v>0</v>
      </c>
      <c r="AB35" s="44">
        <f>IF(Cycles!W35="",0,Cycles!W35)</f>
        <v>0</v>
      </c>
      <c r="AC35" s="44">
        <f>IF(Cycles!X35="",0,Cycles!X35)</f>
        <v>0</v>
      </c>
      <c r="AD35" s="49" t="str">
        <f t="shared" si="5"/>
        <v/>
      </c>
      <c r="AE35" s="49" t="str">
        <f t="shared" si="6"/>
        <v/>
      </c>
      <c r="AF35" s="49" t="str">
        <f t="shared" si="7"/>
        <v/>
      </c>
      <c r="AG35" t="str">
        <f>IFERROR(MATCH(ROWS($AG$9:AG35),_EngineTrades!$AW$9:$AW$508,0)+8,"")</f>
        <v/>
      </c>
    </row>
    <row r="36" spans="1:33" ht="15" x14ac:dyDescent="0.25">
      <c r="A36" s="66" t="str">
        <f>IF($AG36="","",IFERROR(INDEX(_EngineTrades!$AU$9:$AU$508,MATCH($AG36,_EngineTrades!$AV$9:$AV$508,0)),""))</f>
        <v/>
      </c>
      <c r="B36" s="66" t="str">
        <f>IF($A36="","",INDEX(_EngineTrades!$B$9:$B$508,MATCH($AG36,_EngineTrades!$AV$9:$AV$508,0)))</f>
        <v/>
      </c>
      <c r="C36" s="66" t="str">
        <f>IF($A36="","",INDEX(_EngineTrades!$T$9:$T$508,MATCH($AG36,_EngineTrades!$AV$9:$AV$508,0)))</f>
        <v/>
      </c>
      <c r="D36" s="67" t="str">
        <f>IF($A36="","",INDEX(_EngineTrades!$C$9:$C$508,MATCH($AG36,_EngineTrades!$AV$9:$AV$508,0)))</f>
        <v/>
      </c>
      <c r="E36" s="68" t="str">
        <f>IF($A36="","",IF(IFERROR(LOOKUP(2,1/(_EngineTrades!$AU$9:$AU$508=$A36),_EngineTrades!$AR$9:$AR$508),FALSE),"Closed","Open"))</f>
        <v/>
      </c>
      <c r="F36" s="69" t="str">
        <f>IF($A36="","",INDEX(_EngineTrades!$E$9:$E$508,$AG36-8))</f>
        <v/>
      </c>
      <c r="G36" s="69" t="str">
        <f>IF(OR($A36="",$E36&lt;&gt;"Closed"),"",IFERROR(INDEX(_EngineTrades!$E$9:$E$508,SUMIFS(_EngineTrades!$AX$9:$AX$508,_EngineTrades!$AU$9:$AU$508,$A36)-8),""))</f>
        <v/>
      </c>
      <c r="H36" s="70" t="str">
        <f>IF($A36="","",ROUND(SUMIFS(_EngineTrades!$Y$9:$Y$508,_EngineTrades!$AU$9:$AU$508,$A36),4))</f>
        <v/>
      </c>
      <c r="I36" s="70" t="str">
        <f>IF($A36="","",ROUND(SUMIFS(_EngineTrades!$Z$9:$Z$508,_EngineTrades!$AU$9:$AU$508,$A36),4))</f>
        <v/>
      </c>
      <c r="J36" s="71" t="str">
        <f t="shared" si="0"/>
        <v/>
      </c>
      <c r="K36" s="70" t="str">
        <f>IF($A36="","",ROUND(SUMIFS(_EngineTrades!$AA$9:$AA$508,_EngineTrades!$AU$9:$AU$508,$A36),4))</f>
        <v/>
      </c>
      <c r="L36" s="70" t="str">
        <f>IF($A36="","",ROUND(SUMIFS(_EngineTrades!$AB$9:$AB$508,_EngineTrades!$AU$9:$AU$508,$A36),4))</f>
        <v/>
      </c>
      <c r="M36" s="70" t="str">
        <f>IF($A36="","",ROUND(SUMIFS(_EngineTrades!$AC$9:$AC$508,_EngineTrades!$AU$9:$AU$508,$A36),4))</f>
        <v/>
      </c>
      <c r="N36" s="70" t="str">
        <f>IF($A36="","",ROUND(SUMIFS(_EngineTrades!$AD$9:$AD$508,_EngineTrades!$AU$9:$AU$508,$A36),4))</f>
        <v/>
      </c>
      <c r="O36" s="71" t="str">
        <f t="shared" si="1"/>
        <v/>
      </c>
      <c r="P36" s="66">
        <f>IF(OR($A36="",$E36&lt;&gt;"Open"),0,IFERROR(LOOKUP(2,1/(_EngineTrades!$AU$9:$AU$508=$A36),_EngineTrades!$AM$9:$AM$508),0))</f>
        <v>0</v>
      </c>
      <c r="Q36" s="70" t="str">
        <f>IF(OR($A36="",$P36=0),"",ROUND(IFERROR(LOOKUP(2,1/(_EngineTrades!$AU$9:$AU$508=$A36),_EngineTrades!$AN$9:$AN$508),0)/$P36,4))</f>
        <v/>
      </c>
      <c r="R36" s="70">
        <f>IF(OR($A36="",$E36&lt;&gt;"Open"),0,IFERROR(LOOKUP(2,1/(_EngineTrades!$AU$9:$AU$508=$A36),_EngineTrades!$AO$9:$AO$508),0))</f>
        <v>0</v>
      </c>
      <c r="S36" s="70">
        <f>IF(OR($A36="",$E36&lt;&gt;"Open"),0,ROUND($R36+IFERROR(LOOKUP(2,1/(_EngineTrades!$AU$9:$AU$508=$A36),_EngineTrades!$AN$9:$AN$508),0),4))</f>
        <v>0</v>
      </c>
      <c r="T36" s="70" t="str">
        <f>IF($A36="","",ROUND(IFERROR(LOOKUP(2,1/(_EngineTrades!$AU$9:$AU$508=$A36),_EngineTrades!$AT$9:$AT$508),0),4))</f>
        <v/>
      </c>
      <c r="U36" s="70" t="str">
        <f t="shared" si="2"/>
        <v/>
      </c>
      <c r="V36" s="70" t="str">
        <f>IF(AND($A36&lt;&gt;"",$E36="Open",$P36+N(IFERROR(LOOKUP(2,1/(_EngineTrades!$AU$9:$AU$508=$A36),_EngineTrades!$AP$9:$AP$508),0))&gt;0),ROUND(($R36-$O36)/($P36+N(IFERROR(LOOKUP(2,1/(_EngineTrades!$AU$9:$AU$508=$A36),_EngineTrades!$AP$9:$AP$508),0))),4),"")</f>
        <v/>
      </c>
      <c r="W36" s="72" t="str">
        <f>IF($A36="","",MAX(1,IF($G36="",_EngineTrades!$E$3-$F36,$G36-$F36)))</f>
        <v/>
      </c>
      <c r="X36" s="73" t="str">
        <f t="shared" si="3"/>
        <v/>
      </c>
      <c r="Y36" s="73" t="str">
        <f t="shared" si="4"/>
        <v/>
      </c>
      <c r="Z36" s="44">
        <f>IF(Cycles!U36="",0,Cycles!U36)</f>
        <v>0</v>
      </c>
      <c r="AA36" s="44">
        <f>IF(Cycles!V36="",0,Cycles!V36)</f>
        <v>0</v>
      </c>
      <c r="AB36" s="44">
        <f>IF(Cycles!W36="",0,Cycles!W36)</f>
        <v>0</v>
      </c>
      <c r="AC36" s="44">
        <f>IF(Cycles!X36="",0,Cycles!X36)</f>
        <v>0</v>
      </c>
      <c r="AD36" s="70" t="str">
        <f t="shared" si="5"/>
        <v/>
      </c>
      <c r="AE36" s="70" t="str">
        <f t="shared" si="6"/>
        <v/>
      </c>
      <c r="AF36" s="70" t="str">
        <f t="shared" si="7"/>
        <v/>
      </c>
      <c r="AG36" t="str">
        <f>IFERROR(MATCH(ROWS($AG$9:AG36),_EngineTrades!$AW$9:$AW$508,0)+8,"")</f>
        <v/>
      </c>
    </row>
    <row r="37" spans="1:33" ht="15" x14ac:dyDescent="0.25">
      <c r="A37" s="61" t="str">
        <f>IF($AG37="","",IFERROR(INDEX(_EngineTrades!$AU$9:$AU$508,MATCH($AG37,_EngineTrades!$AV$9:$AV$508,0)),""))</f>
        <v/>
      </c>
      <c r="B37" s="61" t="str">
        <f>IF($A37="","",INDEX(_EngineTrades!$B$9:$B$508,MATCH($AG37,_EngineTrades!$AV$9:$AV$508,0)))</f>
        <v/>
      </c>
      <c r="C37" s="61" t="str">
        <f>IF($A37="","",INDEX(_EngineTrades!$T$9:$T$508,MATCH($AG37,_EngineTrades!$AV$9:$AV$508,0)))</f>
        <v/>
      </c>
      <c r="D37" s="47" t="str">
        <f>IF($A37="","",INDEX(_EngineTrades!$C$9:$C$508,MATCH($AG37,_EngineTrades!$AV$9:$AV$508,0)))</f>
        <v/>
      </c>
      <c r="E37" s="62" t="str">
        <f>IF($A37="","",IF(IFERROR(LOOKUP(2,1/(_EngineTrades!$AU$9:$AU$508=$A37),_EngineTrades!$AR$9:$AR$508),FALSE),"Closed","Open"))</f>
        <v/>
      </c>
      <c r="F37" s="63" t="str">
        <f>IF($A37="","",INDEX(_EngineTrades!$E$9:$E$508,$AG37-8))</f>
        <v/>
      </c>
      <c r="G37" s="63" t="str">
        <f>IF(OR($A37="",$E37&lt;&gt;"Closed"),"",IFERROR(INDEX(_EngineTrades!$E$9:$E$508,SUMIFS(_EngineTrades!$AX$9:$AX$508,_EngineTrades!$AU$9:$AU$508,$A37)-8),""))</f>
        <v/>
      </c>
      <c r="H37" s="49" t="str">
        <f>IF($A37="","",ROUND(SUMIFS(_EngineTrades!$Y$9:$Y$508,_EngineTrades!$AU$9:$AU$508,$A37),4))</f>
        <v/>
      </c>
      <c r="I37" s="49" t="str">
        <f>IF($A37="","",ROUND(SUMIFS(_EngineTrades!$Z$9:$Z$508,_EngineTrades!$AU$9:$AU$508,$A37),4))</f>
        <v/>
      </c>
      <c r="J37" s="45" t="str">
        <f t="shared" si="0"/>
        <v/>
      </c>
      <c r="K37" s="49" t="str">
        <f>IF($A37="","",ROUND(SUMIFS(_EngineTrades!$AA$9:$AA$508,_EngineTrades!$AU$9:$AU$508,$A37),4))</f>
        <v/>
      </c>
      <c r="L37" s="49" t="str">
        <f>IF($A37="","",ROUND(SUMIFS(_EngineTrades!$AB$9:$AB$508,_EngineTrades!$AU$9:$AU$508,$A37),4))</f>
        <v/>
      </c>
      <c r="M37" s="49" t="str">
        <f>IF($A37="","",ROUND(SUMIFS(_EngineTrades!$AC$9:$AC$508,_EngineTrades!$AU$9:$AU$508,$A37),4))</f>
        <v/>
      </c>
      <c r="N37" s="49" t="str">
        <f>IF($A37="","",ROUND(SUMIFS(_EngineTrades!$AD$9:$AD$508,_EngineTrades!$AU$9:$AU$508,$A37),4))</f>
        <v/>
      </c>
      <c r="O37" s="45" t="str">
        <f t="shared" si="1"/>
        <v/>
      </c>
      <c r="P37" s="61">
        <f>IF(OR($A37="",$E37&lt;&gt;"Open"),0,IFERROR(LOOKUP(2,1/(_EngineTrades!$AU$9:$AU$508=$A37),_EngineTrades!$AM$9:$AM$508),0))</f>
        <v>0</v>
      </c>
      <c r="Q37" s="49" t="str">
        <f>IF(OR($A37="",$P37=0),"",ROUND(IFERROR(LOOKUP(2,1/(_EngineTrades!$AU$9:$AU$508=$A37),_EngineTrades!$AN$9:$AN$508),0)/$P37,4))</f>
        <v/>
      </c>
      <c r="R37" s="49">
        <f>IF(OR($A37="",$E37&lt;&gt;"Open"),0,IFERROR(LOOKUP(2,1/(_EngineTrades!$AU$9:$AU$508=$A37),_EngineTrades!$AO$9:$AO$508),0))</f>
        <v>0</v>
      </c>
      <c r="S37" s="49">
        <f>IF(OR($A37="",$E37&lt;&gt;"Open"),0,ROUND($R37+IFERROR(LOOKUP(2,1/(_EngineTrades!$AU$9:$AU$508=$A37),_EngineTrades!$AN$9:$AN$508),0),4))</f>
        <v>0</v>
      </c>
      <c r="T37" s="49" t="str">
        <f>IF($A37="","",ROUND(IFERROR(LOOKUP(2,1/(_EngineTrades!$AU$9:$AU$508=$A37),_EngineTrades!$AT$9:$AT$508),0),4))</f>
        <v/>
      </c>
      <c r="U37" s="49" t="str">
        <f t="shared" si="2"/>
        <v/>
      </c>
      <c r="V37" s="49" t="str">
        <f>IF(AND($A37&lt;&gt;"",$E37="Open",$P37+N(IFERROR(LOOKUP(2,1/(_EngineTrades!$AU$9:$AU$508=$A37),_EngineTrades!$AP$9:$AP$508),0))&gt;0),ROUND(($R37-$O37)/($P37+N(IFERROR(LOOKUP(2,1/(_EngineTrades!$AU$9:$AU$508=$A37),_EngineTrades!$AP$9:$AP$508),0))),4),"")</f>
        <v/>
      </c>
      <c r="W37" s="64" t="str">
        <f>IF($A37="","",MAX(1,IF($G37="",_EngineTrades!$E$3-$F37,$G37-$F37)))</f>
        <v/>
      </c>
      <c r="X37" s="65" t="str">
        <f t="shared" si="3"/>
        <v/>
      </c>
      <c r="Y37" s="65" t="str">
        <f t="shared" si="4"/>
        <v/>
      </c>
      <c r="Z37" s="44">
        <f>IF(Cycles!U37="",0,Cycles!U37)</f>
        <v>0</v>
      </c>
      <c r="AA37" s="44">
        <f>IF(Cycles!V37="",0,Cycles!V37)</f>
        <v>0</v>
      </c>
      <c r="AB37" s="44">
        <f>IF(Cycles!W37="",0,Cycles!W37)</f>
        <v>0</v>
      </c>
      <c r="AC37" s="44">
        <f>IF(Cycles!X37="",0,Cycles!X37)</f>
        <v>0</v>
      </c>
      <c r="AD37" s="49" t="str">
        <f t="shared" si="5"/>
        <v/>
      </c>
      <c r="AE37" s="49" t="str">
        <f t="shared" si="6"/>
        <v/>
      </c>
      <c r="AF37" s="49" t="str">
        <f t="shared" si="7"/>
        <v/>
      </c>
      <c r="AG37" t="str">
        <f>IFERROR(MATCH(ROWS($AG$9:AG37),_EngineTrades!$AW$9:$AW$508,0)+8,"")</f>
        <v/>
      </c>
    </row>
    <row r="38" spans="1:33" ht="15" x14ac:dyDescent="0.25">
      <c r="A38" s="66" t="str">
        <f>IF($AG38="","",IFERROR(INDEX(_EngineTrades!$AU$9:$AU$508,MATCH($AG38,_EngineTrades!$AV$9:$AV$508,0)),""))</f>
        <v/>
      </c>
      <c r="B38" s="66" t="str">
        <f>IF($A38="","",INDEX(_EngineTrades!$B$9:$B$508,MATCH($AG38,_EngineTrades!$AV$9:$AV$508,0)))</f>
        <v/>
      </c>
      <c r="C38" s="66" t="str">
        <f>IF($A38="","",INDEX(_EngineTrades!$T$9:$T$508,MATCH($AG38,_EngineTrades!$AV$9:$AV$508,0)))</f>
        <v/>
      </c>
      <c r="D38" s="67" t="str">
        <f>IF($A38="","",INDEX(_EngineTrades!$C$9:$C$508,MATCH($AG38,_EngineTrades!$AV$9:$AV$508,0)))</f>
        <v/>
      </c>
      <c r="E38" s="68" t="str">
        <f>IF($A38="","",IF(IFERROR(LOOKUP(2,1/(_EngineTrades!$AU$9:$AU$508=$A38),_EngineTrades!$AR$9:$AR$508),FALSE),"Closed","Open"))</f>
        <v/>
      </c>
      <c r="F38" s="69" t="str">
        <f>IF($A38="","",INDEX(_EngineTrades!$E$9:$E$508,$AG38-8))</f>
        <v/>
      </c>
      <c r="G38" s="69" t="str">
        <f>IF(OR($A38="",$E38&lt;&gt;"Closed"),"",IFERROR(INDEX(_EngineTrades!$E$9:$E$508,SUMIFS(_EngineTrades!$AX$9:$AX$508,_EngineTrades!$AU$9:$AU$508,$A38)-8),""))</f>
        <v/>
      </c>
      <c r="H38" s="70" t="str">
        <f>IF($A38="","",ROUND(SUMIFS(_EngineTrades!$Y$9:$Y$508,_EngineTrades!$AU$9:$AU$508,$A38),4))</f>
        <v/>
      </c>
      <c r="I38" s="70" t="str">
        <f>IF($A38="","",ROUND(SUMIFS(_EngineTrades!$Z$9:$Z$508,_EngineTrades!$AU$9:$AU$508,$A38),4))</f>
        <v/>
      </c>
      <c r="J38" s="71" t="str">
        <f t="shared" si="0"/>
        <v/>
      </c>
      <c r="K38" s="70" t="str">
        <f>IF($A38="","",ROUND(SUMIFS(_EngineTrades!$AA$9:$AA$508,_EngineTrades!$AU$9:$AU$508,$A38),4))</f>
        <v/>
      </c>
      <c r="L38" s="70" t="str">
        <f>IF($A38="","",ROUND(SUMIFS(_EngineTrades!$AB$9:$AB$508,_EngineTrades!$AU$9:$AU$508,$A38),4))</f>
        <v/>
      </c>
      <c r="M38" s="70" t="str">
        <f>IF($A38="","",ROUND(SUMIFS(_EngineTrades!$AC$9:$AC$508,_EngineTrades!$AU$9:$AU$508,$A38),4))</f>
        <v/>
      </c>
      <c r="N38" s="70" t="str">
        <f>IF($A38="","",ROUND(SUMIFS(_EngineTrades!$AD$9:$AD$508,_EngineTrades!$AU$9:$AU$508,$A38),4))</f>
        <v/>
      </c>
      <c r="O38" s="71" t="str">
        <f t="shared" si="1"/>
        <v/>
      </c>
      <c r="P38" s="66">
        <f>IF(OR($A38="",$E38&lt;&gt;"Open"),0,IFERROR(LOOKUP(2,1/(_EngineTrades!$AU$9:$AU$508=$A38),_EngineTrades!$AM$9:$AM$508),0))</f>
        <v>0</v>
      </c>
      <c r="Q38" s="70" t="str">
        <f>IF(OR($A38="",$P38=0),"",ROUND(IFERROR(LOOKUP(2,1/(_EngineTrades!$AU$9:$AU$508=$A38),_EngineTrades!$AN$9:$AN$508),0)/$P38,4))</f>
        <v/>
      </c>
      <c r="R38" s="70">
        <f>IF(OR($A38="",$E38&lt;&gt;"Open"),0,IFERROR(LOOKUP(2,1/(_EngineTrades!$AU$9:$AU$508=$A38),_EngineTrades!$AO$9:$AO$508),0))</f>
        <v>0</v>
      </c>
      <c r="S38" s="70">
        <f>IF(OR($A38="",$E38&lt;&gt;"Open"),0,ROUND($R38+IFERROR(LOOKUP(2,1/(_EngineTrades!$AU$9:$AU$508=$A38),_EngineTrades!$AN$9:$AN$508),0),4))</f>
        <v>0</v>
      </c>
      <c r="T38" s="70" t="str">
        <f>IF($A38="","",ROUND(IFERROR(LOOKUP(2,1/(_EngineTrades!$AU$9:$AU$508=$A38),_EngineTrades!$AT$9:$AT$508),0),4))</f>
        <v/>
      </c>
      <c r="U38" s="70" t="str">
        <f t="shared" si="2"/>
        <v/>
      </c>
      <c r="V38" s="70" t="str">
        <f>IF(AND($A38&lt;&gt;"",$E38="Open",$P38+N(IFERROR(LOOKUP(2,1/(_EngineTrades!$AU$9:$AU$508=$A38),_EngineTrades!$AP$9:$AP$508),0))&gt;0),ROUND(($R38-$O38)/($P38+N(IFERROR(LOOKUP(2,1/(_EngineTrades!$AU$9:$AU$508=$A38),_EngineTrades!$AP$9:$AP$508),0))),4),"")</f>
        <v/>
      </c>
      <c r="W38" s="72" t="str">
        <f>IF($A38="","",MAX(1,IF($G38="",_EngineTrades!$E$3-$F38,$G38-$F38)))</f>
        <v/>
      </c>
      <c r="X38" s="73" t="str">
        <f t="shared" si="3"/>
        <v/>
      </c>
      <c r="Y38" s="73" t="str">
        <f t="shared" si="4"/>
        <v/>
      </c>
      <c r="Z38" s="44">
        <f>IF(Cycles!U38="",0,Cycles!U38)</f>
        <v>0</v>
      </c>
      <c r="AA38" s="44">
        <f>IF(Cycles!V38="",0,Cycles!V38)</f>
        <v>0</v>
      </c>
      <c r="AB38" s="44">
        <f>IF(Cycles!W38="",0,Cycles!W38)</f>
        <v>0</v>
      </c>
      <c r="AC38" s="44">
        <f>IF(Cycles!X38="",0,Cycles!X38)</f>
        <v>0</v>
      </c>
      <c r="AD38" s="70" t="str">
        <f t="shared" si="5"/>
        <v/>
      </c>
      <c r="AE38" s="70" t="str">
        <f t="shared" si="6"/>
        <v/>
      </c>
      <c r="AF38" s="70" t="str">
        <f t="shared" si="7"/>
        <v/>
      </c>
      <c r="AG38" t="str">
        <f>IFERROR(MATCH(ROWS($AG$9:AG38),_EngineTrades!$AW$9:$AW$508,0)+8,"")</f>
        <v/>
      </c>
    </row>
    <row r="39" spans="1:33" ht="15" x14ac:dyDescent="0.25">
      <c r="A39" s="61" t="str">
        <f>IF($AG39="","",IFERROR(INDEX(_EngineTrades!$AU$9:$AU$508,MATCH($AG39,_EngineTrades!$AV$9:$AV$508,0)),""))</f>
        <v/>
      </c>
      <c r="B39" s="61" t="str">
        <f>IF($A39="","",INDEX(_EngineTrades!$B$9:$B$508,MATCH($AG39,_EngineTrades!$AV$9:$AV$508,0)))</f>
        <v/>
      </c>
      <c r="C39" s="61" t="str">
        <f>IF($A39="","",INDEX(_EngineTrades!$T$9:$T$508,MATCH($AG39,_EngineTrades!$AV$9:$AV$508,0)))</f>
        <v/>
      </c>
      <c r="D39" s="47" t="str">
        <f>IF($A39="","",INDEX(_EngineTrades!$C$9:$C$508,MATCH($AG39,_EngineTrades!$AV$9:$AV$508,0)))</f>
        <v/>
      </c>
      <c r="E39" s="62" t="str">
        <f>IF($A39="","",IF(IFERROR(LOOKUP(2,1/(_EngineTrades!$AU$9:$AU$508=$A39),_EngineTrades!$AR$9:$AR$508),FALSE),"Closed","Open"))</f>
        <v/>
      </c>
      <c r="F39" s="63" t="str">
        <f>IF($A39="","",INDEX(_EngineTrades!$E$9:$E$508,$AG39-8))</f>
        <v/>
      </c>
      <c r="G39" s="63" t="str">
        <f>IF(OR($A39="",$E39&lt;&gt;"Closed"),"",IFERROR(INDEX(_EngineTrades!$E$9:$E$508,SUMIFS(_EngineTrades!$AX$9:$AX$508,_EngineTrades!$AU$9:$AU$508,$A39)-8),""))</f>
        <v/>
      </c>
      <c r="H39" s="49" t="str">
        <f>IF($A39="","",ROUND(SUMIFS(_EngineTrades!$Y$9:$Y$508,_EngineTrades!$AU$9:$AU$508,$A39),4))</f>
        <v/>
      </c>
      <c r="I39" s="49" t="str">
        <f>IF($A39="","",ROUND(SUMIFS(_EngineTrades!$Z$9:$Z$508,_EngineTrades!$AU$9:$AU$508,$A39),4))</f>
        <v/>
      </c>
      <c r="J39" s="45" t="str">
        <f t="shared" si="0"/>
        <v/>
      </c>
      <c r="K39" s="49" t="str">
        <f>IF($A39="","",ROUND(SUMIFS(_EngineTrades!$AA$9:$AA$508,_EngineTrades!$AU$9:$AU$508,$A39),4))</f>
        <v/>
      </c>
      <c r="L39" s="49" t="str">
        <f>IF($A39="","",ROUND(SUMIFS(_EngineTrades!$AB$9:$AB$508,_EngineTrades!$AU$9:$AU$508,$A39),4))</f>
        <v/>
      </c>
      <c r="M39" s="49" t="str">
        <f>IF($A39="","",ROUND(SUMIFS(_EngineTrades!$AC$9:$AC$508,_EngineTrades!$AU$9:$AU$508,$A39),4))</f>
        <v/>
      </c>
      <c r="N39" s="49" t="str">
        <f>IF($A39="","",ROUND(SUMIFS(_EngineTrades!$AD$9:$AD$508,_EngineTrades!$AU$9:$AU$508,$A39),4))</f>
        <v/>
      </c>
      <c r="O39" s="45" t="str">
        <f t="shared" si="1"/>
        <v/>
      </c>
      <c r="P39" s="61">
        <f>IF(OR($A39="",$E39&lt;&gt;"Open"),0,IFERROR(LOOKUP(2,1/(_EngineTrades!$AU$9:$AU$508=$A39),_EngineTrades!$AM$9:$AM$508),0))</f>
        <v>0</v>
      </c>
      <c r="Q39" s="49" t="str">
        <f>IF(OR($A39="",$P39=0),"",ROUND(IFERROR(LOOKUP(2,1/(_EngineTrades!$AU$9:$AU$508=$A39),_EngineTrades!$AN$9:$AN$508),0)/$P39,4))</f>
        <v/>
      </c>
      <c r="R39" s="49">
        <f>IF(OR($A39="",$E39&lt;&gt;"Open"),0,IFERROR(LOOKUP(2,1/(_EngineTrades!$AU$9:$AU$508=$A39),_EngineTrades!$AO$9:$AO$508),0))</f>
        <v>0</v>
      </c>
      <c r="S39" s="49">
        <f>IF(OR($A39="",$E39&lt;&gt;"Open"),0,ROUND($R39+IFERROR(LOOKUP(2,1/(_EngineTrades!$AU$9:$AU$508=$A39),_EngineTrades!$AN$9:$AN$508),0),4))</f>
        <v>0</v>
      </c>
      <c r="T39" s="49" t="str">
        <f>IF($A39="","",ROUND(IFERROR(LOOKUP(2,1/(_EngineTrades!$AU$9:$AU$508=$A39),_EngineTrades!$AT$9:$AT$508),0),4))</f>
        <v/>
      </c>
      <c r="U39" s="49" t="str">
        <f t="shared" si="2"/>
        <v/>
      </c>
      <c r="V39" s="49" t="str">
        <f>IF(AND($A39&lt;&gt;"",$E39="Open",$P39+N(IFERROR(LOOKUP(2,1/(_EngineTrades!$AU$9:$AU$508=$A39),_EngineTrades!$AP$9:$AP$508),0))&gt;0),ROUND(($R39-$O39)/($P39+N(IFERROR(LOOKUP(2,1/(_EngineTrades!$AU$9:$AU$508=$A39),_EngineTrades!$AP$9:$AP$508),0))),4),"")</f>
        <v/>
      </c>
      <c r="W39" s="64" t="str">
        <f>IF($A39="","",MAX(1,IF($G39="",_EngineTrades!$E$3-$F39,$G39-$F39)))</f>
        <v/>
      </c>
      <c r="X39" s="65" t="str">
        <f t="shared" si="3"/>
        <v/>
      </c>
      <c r="Y39" s="65" t="str">
        <f t="shared" si="4"/>
        <v/>
      </c>
      <c r="Z39" s="44">
        <f>IF(Cycles!U39="",0,Cycles!U39)</f>
        <v>0</v>
      </c>
      <c r="AA39" s="44">
        <f>IF(Cycles!V39="",0,Cycles!V39)</f>
        <v>0</v>
      </c>
      <c r="AB39" s="44">
        <f>IF(Cycles!W39="",0,Cycles!W39)</f>
        <v>0</v>
      </c>
      <c r="AC39" s="44">
        <f>IF(Cycles!X39="",0,Cycles!X39)</f>
        <v>0</v>
      </c>
      <c r="AD39" s="49" t="str">
        <f t="shared" si="5"/>
        <v/>
      </c>
      <c r="AE39" s="49" t="str">
        <f t="shared" si="6"/>
        <v/>
      </c>
      <c r="AF39" s="49" t="str">
        <f t="shared" si="7"/>
        <v/>
      </c>
      <c r="AG39" t="str">
        <f>IFERROR(MATCH(ROWS($AG$9:AG39),_EngineTrades!$AW$9:$AW$508,0)+8,"")</f>
        <v/>
      </c>
    </row>
    <row r="40" spans="1:33" ht="15" x14ac:dyDescent="0.25">
      <c r="A40" s="66" t="str">
        <f>IF($AG40="","",IFERROR(INDEX(_EngineTrades!$AU$9:$AU$508,MATCH($AG40,_EngineTrades!$AV$9:$AV$508,0)),""))</f>
        <v/>
      </c>
      <c r="B40" s="66" t="str">
        <f>IF($A40="","",INDEX(_EngineTrades!$B$9:$B$508,MATCH($AG40,_EngineTrades!$AV$9:$AV$508,0)))</f>
        <v/>
      </c>
      <c r="C40" s="66" t="str">
        <f>IF($A40="","",INDEX(_EngineTrades!$T$9:$T$508,MATCH($AG40,_EngineTrades!$AV$9:$AV$508,0)))</f>
        <v/>
      </c>
      <c r="D40" s="67" t="str">
        <f>IF($A40="","",INDEX(_EngineTrades!$C$9:$C$508,MATCH($AG40,_EngineTrades!$AV$9:$AV$508,0)))</f>
        <v/>
      </c>
      <c r="E40" s="68" t="str">
        <f>IF($A40="","",IF(IFERROR(LOOKUP(2,1/(_EngineTrades!$AU$9:$AU$508=$A40),_EngineTrades!$AR$9:$AR$508),FALSE),"Closed","Open"))</f>
        <v/>
      </c>
      <c r="F40" s="69" t="str">
        <f>IF($A40="","",INDEX(_EngineTrades!$E$9:$E$508,$AG40-8))</f>
        <v/>
      </c>
      <c r="G40" s="69" t="str">
        <f>IF(OR($A40="",$E40&lt;&gt;"Closed"),"",IFERROR(INDEX(_EngineTrades!$E$9:$E$508,SUMIFS(_EngineTrades!$AX$9:$AX$508,_EngineTrades!$AU$9:$AU$508,$A40)-8),""))</f>
        <v/>
      </c>
      <c r="H40" s="70" t="str">
        <f>IF($A40="","",ROUND(SUMIFS(_EngineTrades!$Y$9:$Y$508,_EngineTrades!$AU$9:$AU$508,$A40),4))</f>
        <v/>
      </c>
      <c r="I40" s="70" t="str">
        <f>IF($A40="","",ROUND(SUMIFS(_EngineTrades!$Z$9:$Z$508,_EngineTrades!$AU$9:$AU$508,$A40),4))</f>
        <v/>
      </c>
      <c r="J40" s="71" t="str">
        <f t="shared" si="0"/>
        <v/>
      </c>
      <c r="K40" s="70" t="str">
        <f>IF($A40="","",ROUND(SUMIFS(_EngineTrades!$AA$9:$AA$508,_EngineTrades!$AU$9:$AU$508,$A40),4))</f>
        <v/>
      </c>
      <c r="L40" s="70" t="str">
        <f>IF($A40="","",ROUND(SUMIFS(_EngineTrades!$AB$9:$AB$508,_EngineTrades!$AU$9:$AU$508,$A40),4))</f>
        <v/>
      </c>
      <c r="M40" s="70" t="str">
        <f>IF($A40="","",ROUND(SUMIFS(_EngineTrades!$AC$9:$AC$508,_EngineTrades!$AU$9:$AU$508,$A40),4))</f>
        <v/>
      </c>
      <c r="N40" s="70" t="str">
        <f>IF($A40="","",ROUND(SUMIFS(_EngineTrades!$AD$9:$AD$508,_EngineTrades!$AU$9:$AU$508,$A40),4))</f>
        <v/>
      </c>
      <c r="O40" s="71" t="str">
        <f t="shared" si="1"/>
        <v/>
      </c>
      <c r="P40" s="66">
        <f>IF(OR($A40="",$E40&lt;&gt;"Open"),0,IFERROR(LOOKUP(2,1/(_EngineTrades!$AU$9:$AU$508=$A40),_EngineTrades!$AM$9:$AM$508),0))</f>
        <v>0</v>
      </c>
      <c r="Q40" s="70" t="str">
        <f>IF(OR($A40="",$P40=0),"",ROUND(IFERROR(LOOKUP(2,1/(_EngineTrades!$AU$9:$AU$508=$A40),_EngineTrades!$AN$9:$AN$508),0)/$P40,4))</f>
        <v/>
      </c>
      <c r="R40" s="70">
        <f>IF(OR($A40="",$E40&lt;&gt;"Open"),0,IFERROR(LOOKUP(2,1/(_EngineTrades!$AU$9:$AU$508=$A40),_EngineTrades!$AO$9:$AO$508),0))</f>
        <v>0</v>
      </c>
      <c r="S40" s="70">
        <f>IF(OR($A40="",$E40&lt;&gt;"Open"),0,ROUND($R40+IFERROR(LOOKUP(2,1/(_EngineTrades!$AU$9:$AU$508=$A40),_EngineTrades!$AN$9:$AN$508),0),4))</f>
        <v>0</v>
      </c>
      <c r="T40" s="70" t="str">
        <f>IF($A40="","",ROUND(IFERROR(LOOKUP(2,1/(_EngineTrades!$AU$9:$AU$508=$A40),_EngineTrades!$AT$9:$AT$508),0),4))</f>
        <v/>
      </c>
      <c r="U40" s="70" t="str">
        <f t="shared" si="2"/>
        <v/>
      </c>
      <c r="V40" s="70" t="str">
        <f>IF(AND($A40&lt;&gt;"",$E40="Open",$P40+N(IFERROR(LOOKUP(2,1/(_EngineTrades!$AU$9:$AU$508=$A40),_EngineTrades!$AP$9:$AP$508),0))&gt;0),ROUND(($R40-$O40)/($P40+N(IFERROR(LOOKUP(2,1/(_EngineTrades!$AU$9:$AU$508=$A40),_EngineTrades!$AP$9:$AP$508),0))),4),"")</f>
        <v/>
      </c>
      <c r="W40" s="72" t="str">
        <f>IF($A40="","",MAX(1,IF($G40="",_EngineTrades!$E$3-$F40,$G40-$F40)))</f>
        <v/>
      </c>
      <c r="X40" s="73" t="str">
        <f t="shared" si="3"/>
        <v/>
      </c>
      <c r="Y40" s="73" t="str">
        <f t="shared" si="4"/>
        <v/>
      </c>
      <c r="Z40" s="44">
        <f>IF(Cycles!U40="",0,Cycles!U40)</f>
        <v>0</v>
      </c>
      <c r="AA40" s="44">
        <f>IF(Cycles!V40="",0,Cycles!V40)</f>
        <v>0</v>
      </c>
      <c r="AB40" s="44">
        <f>IF(Cycles!W40="",0,Cycles!W40)</f>
        <v>0</v>
      </c>
      <c r="AC40" s="44">
        <f>IF(Cycles!X40="",0,Cycles!X40)</f>
        <v>0</v>
      </c>
      <c r="AD40" s="70" t="str">
        <f t="shared" si="5"/>
        <v/>
      </c>
      <c r="AE40" s="70" t="str">
        <f t="shared" si="6"/>
        <v/>
      </c>
      <c r="AF40" s="70" t="str">
        <f t="shared" si="7"/>
        <v/>
      </c>
      <c r="AG40" t="str">
        <f>IFERROR(MATCH(ROWS($AG$9:AG40),_EngineTrades!$AW$9:$AW$508,0)+8,"")</f>
        <v/>
      </c>
    </row>
    <row r="41" spans="1:33" ht="15" x14ac:dyDescent="0.25">
      <c r="A41" s="61" t="str">
        <f>IF($AG41="","",IFERROR(INDEX(_EngineTrades!$AU$9:$AU$508,MATCH($AG41,_EngineTrades!$AV$9:$AV$508,0)),""))</f>
        <v/>
      </c>
      <c r="B41" s="61" t="str">
        <f>IF($A41="","",INDEX(_EngineTrades!$B$9:$B$508,MATCH($AG41,_EngineTrades!$AV$9:$AV$508,0)))</f>
        <v/>
      </c>
      <c r="C41" s="61" t="str">
        <f>IF($A41="","",INDEX(_EngineTrades!$T$9:$T$508,MATCH($AG41,_EngineTrades!$AV$9:$AV$508,0)))</f>
        <v/>
      </c>
      <c r="D41" s="47" t="str">
        <f>IF($A41="","",INDEX(_EngineTrades!$C$9:$C$508,MATCH($AG41,_EngineTrades!$AV$9:$AV$508,0)))</f>
        <v/>
      </c>
      <c r="E41" s="62" t="str">
        <f>IF($A41="","",IF(IFERROR(LOOKUP(2,1/(_EngineTrades!$AU$9:$AU$508=$A41),_EngineTrades!$AR$9:$AR$508),FALSE),"Closed","Open"))</f>
        <v/>
      </c>
      <c r="F41" s="63" t="str">
        <f>IF($A41="","",INDEX(_EngineTrades!$E$9:$E$508,$AG41-8))</f>
        <v/>
      </c>
      <c r="G41" s="63" t="str">
        <f>IF(OR($A41="",$E41&lt;&gt;"Closed"),"",IFERROR(INDEX(_EngineTrades!$E$9:$E$508,SUMIFS(_EngineTrades!$AX$9:$AX$508,_EngineTrades!$AU$9:$AU$508,$A41)-8),""))</f>
        <v/>
      </c>
      <c r="H41" s="49" t="str">
        <f>IF($A41="","",ROUND(SUMIFS(_EngineTrades!$Y$9:$Y$508,_EngineTrades!$AU$9:$AU$508,$A41),4))</f>
        <v/>
      </c>
      <c r="I41" s="49" t="str">
        <f>IF($A41="","",ROUND(SUMIFS(_EngineTrades!$Z$9:$Z$508,_EngineTrades!$AU$9:$AU$508,$A41),4))</f>
        <v/>
      </c>
      <c r="J41" s="45" t="str">
        <f t="shared" ref="J41:J72" si="8">IF($A41="","",$H41-$I41)</f>
        <v/>
      </c>
      <c r="K41" s="49" t="str">
        <f>IF($A41="","",ROUND(SUMIFS(_EngineTrades!$AA$9:$AA$508,_EngineTrades!$AU$9:$AU$508,$A41),4))</f>
        <v/>
      </c>
      <c r="L41" s="49" t="str">
        <f>IF($A41="","",ROUND(SUMIFS(_EngineTrades!$AB$9:$AB$508,_EngineTrades!$AU$9:$AU$508,$A41),4))</f>
        <v/>
      </c>
      <c r="M41" s="49" t="str">
        <f>IF($A41="","",ROUND(SUMIFS(_EngineTrades!$AC$9:$AC$508,_EngineTrades!$AU$9:$AU$508,$A41),4))</f>
        <v/>
      </c>
      <c r="N41" s="49" t="str">
        <f>IF($A41="","",ROUND(SUMIFS(_EngineTrades!$AD$9:$AD$508,_EngineTrades!$AU$9:$AU$508,$A41),4))</f>
        <v/>
      </c>
      <c r="O41" s="45" t="str">
        <f t="shared" ref="O41:O72" si="9">IF($A41="","",ROUND($J41+$K41-$L41-$M41+$N41,4))</f>
        <v/>
      </c>
      <c r="P41" s="61">
        <f>IF(OR($A41="",$E41&lt;&gt;"Open"),0,IFERROR(LOOKUP(2,1/(_EngineTrades!$AU$9:$AU$508=$A41),_EngineTrades!$AM$9:$AM$508),0))</f>
        <v>0</v>
      </c>
      <c r="Q41" s="49" t="str">
        <f>IF(OR($A41="",$P41=0),"",ROUND(IFERROR(LOOKUP(2,1/(_EngineTrades!$AU$9:$AU$508=$A41),_EngineTrades!$AN$9:$AN$508),0)/$P41,4))</f>
        <v/>
      </c>
      <c r="R41" s="49">
        <f>IF(OR($A41="",$E41&lt;&gt;"Open"),0,IFERROR(LOOKUP(2,1/(_EngineTrades!$AU$9:$AU$508=$A41),_EngineTrades!$AO$9:$AO$508),0))</f>
        <v>0</v>
      </c>
      <c r="S41" s="49">
        <f>IF(OR($A41="",$E41&lt;&gt;"Open"),0,ROUND($R41+IFERROR(LOOKUP(2,1/(_EngineTrades!$AU$9:$AU$508=$A41),_EngineTrades!$AN$9:$AN$508),0),4))</f>
        <v>0</v>
      </c>
      <c r="T41" s="49" t="str">
        <f>IF($A41="","",ROUND(IFERROR(LOOKUP(2,1/(_EngineTrades!$AU$9:$AU$508=$A41),_EngineTrades!$AT$9:$AT$508),0),4))</f>
        <v/>
      </c>
      <c r="U41" s="49" t="str">
        <f t="shared" ref="U41:U72" si="10">IF(AND($A41&lt;&gt;"",$E41="Open",$P41&gt;0),ROUND(-$O41/$P41,4),"")</f>
        <v/>
      </c>
      <c r="V41" s="49" t="str">
        <f>IF(AND($A41&lt;&gt;"",$E41="Open",$P41+N(IFERROR(LOOKUP(2,1/(_EngineTrades!$AU$9:$AU$508=$A41),_EngineTrades!$AP$9:$AP$508),0))&gt;0),ROUND(($R41-$O41)/($P41+N(IFERROR(LOOKUP(2,1/(_EngineTrades!$AU$9:$AU$508=$A41),_EngineTrades!$AP$9:$AP$508),0))),4),"")</f>
        <v/>
      </c>
      <c r="W41" s="64" t="str">
        <f>IF($A41="","",MAX(1,IF($G41="",_EngineTrades!$E$3-$F41,$G41-$F41)))</f>
        <v/>
      </c>
      <c r="X41" s="65" t="str">
        <f t="shared" ref="X41:X72" si="11">IF(OR($A41="",$T41=0),"",ROUND(IF($E41="Open",($J41+$K41-$L41)/$T41,$O41/$T41),6))</f>
        <v/>
      </c>
      <c r="Y41" s="65" t="str">
        <f t="shared" ref="Y41:Y72" si="12">IF(OR($A41="",$T41=0),"",ROUND(IF($E41="Open",($J41+$K41-$L41)/$T41,$O41/$T41)*365/$W41,6))</f>
        <v/>
      </c>
      <c r="Z41" s="44">
        <f>IF(Cycles!U41="",0,Cycles!U41)</f>
        <v>0</v>
      </c>
      <c r="AA41" s="44">
        <f>IF(Cycles!V41="",0,Cycles!V41)</f>
        <v>0</v>
      </c>
      <c r="AB41" s="44">
        <f>IF(Cycles!W41="",0,Cycles!W41)</f>
        <v>0</v>
      </c>
      <c r="AC41" s="44">
        <f>IF(Cycles!X41="",0,Cycles!X41)</f>
        <v>0</v>
      </c>
      <c r="AD41" s="49" t="str">
        <f t="shared" ref="AD41:AD72" si="13">IF(AND($A41&lt;&gt;"",$E41="Open",$P41&gt;0),ROUND($U41-IF($Z41&gt;=0,$Z41,0)+IF($AA41&gt;=0,$AA41,0)/$P41+IF(ISNUMBER($AB41),$AB41,0),4),"")</f>
        <v/>
      </c>
      <c r="AE41" s="49" t="str">
        <f t="shared" ref="AE41:AE72" si="14">IF($AD41="","",ROUND(MAX(0,IF($AC41&gt;0,ROUNDUP(ROUND($AD41/$AC41,9),0)*$AC41,$AD41)),4))</f>
        <v/>
      </c>
      <c r="AF41" s="49" t="str">
        <f t="shared" ref="AF41:AF72" si="15">IF($AE41="","",ROUND($P41*($AE41+IF($Z41&gt;=0,$Z41,0)-$U41)-IF($AA41&gt;=0,$AA41,0),4))</f>
        <v/>
      </c>
      <c r="AG41" t="str">
        <f>IFERROR(MATCH(ROWS($AG$9:AG41),_EngineTrades!$AW$9:$AW$508,0)+8,"")</f>
        <v/>
      </c>
    </row>
    <row r="42" spans="1:33" ht="15" x14ac:dyDescent="0.25">
      <c r="A42" s="66" t="str">
        <f>IF($AG42="","",IFERROR(INDEX(_EngineTrades!$AU$9:$AU$508,MATCH($AG42,_EngineTrades!$AV$9:$AV$508,0)),""))</f>
        <v/>
      </c>
      <c r="B42" s="66" t="str">
        <f>IF($A42="","",INDEX(_EngineTrades!$B$9:$B$508,MATCH($AG42,_EngineTrades!$AV$9:$AV$508,0)))</f>
        <v/>
      </c>
      <c r="C42" s="66" t="str">
        <f>IF($A42="","",INDEX(_EngineTrades!$T$9:$T$508,MATCH($AG42,_EngineTrades!$AV$9:$AV$508,0)))</f>
        <v/>
      </c>
      <c r="D42" s="67" t="str">
        <f>IF($A42="","",INDEX(_EngineTrades!$C$9:$C$508,MATCH($AG42,_EngineTrades!$AV$9:$AV$508,0)))</f>
        <v/>
      </c>
      <c r="E42" s="68" t="str">
        <f>IF($A42="","",IF(IFERROR(LOOKUP(2,1/(_EngineTrades!$AU$9:$AU$508=$A42),_EngineTrades!$AR$9:$AR$508),FALSE),"Closed","Open"))</f>
        <v/>
      </c>
      <c r="F42" s="69" t="str">
        <f>IF($A42="","",INDEX(_EngineTrades!$E$9:$E$508,$AG42-8))</f>
        <v/>
      </c>
      <c r="G42" s="69" t="str">
        <f>IF(OR($A42="",$E42&lt;&gt;"Closed"),"",IFERROR(INDEX(_EngineTrades!$E$9:$E$508,SUMIFS(_EngineTrades!$AX$9:$AX$508,_EngineTrades!$AU$9:$AU$508,$A42)-8),""))</f>
        <v/>
      </c>
      <c r="H42" s="70" t="str">
        <f>IF($A42="","",ROUND(SUMIFS(_EngineTrades!$Y$9:$Y$508,_EngineTrades!$AU$9:$AU$508,$A42),4))</f>
        <v/>
      </c>
      <c r="I42" s="70" t="str">
        <f>IF($A42="","",ROUND(SUMIFS(_EngineTrades!$Z$9:$Z$508,_EngineTrades!$AU$9:$AU$508,$A42),4))</f>
        <v/>
      </c>
      <c r="J42" s="71" t="str">
        <f t="shared" si="8"/>
        <v/>
      </c>
      <c r="K42" s="70" t="str">
        <f>IF($A42="","",ROUND(SUMIFS(_EngineTrades!$AA$9:$AA$508,_EngineTrades!$AU$9:$AU$508,$A42),4))</f>
        <v/>
      </c>
      <c r="L42" s="70" t="str">
        <f>IF($A42="","",ROUND(SUMIFS(_EngineTrades!$AB$9:$AB$508,_EngineTrades!$AU$9:$AU$508,$A42),4))</f>
        <v/>
      </c>
      <c r="M42" s="70" t="str">
        <f>IF($A42="","",ROUND(SUMIFS(_EngineTrades!$AC$9:$AC$508,_EngineTrades!$AU$9:$AU$508,$A42),4))</f>
        <v/>
      </c>
      <c r="N42" s="70" t="str">
        <f>IF($A42="","",ROUND(SUMIFS(_EngineTrades!$AD$9:$AD$508,_EngineTrades!$AU$9:$AU$508,$A42),4))</f>
        <v/>
      </c>
      <c r="O42" s="71" t="str">
        <f t="shared" si="9"/>
        <v/>
      </c>
      <c r="P42" s="66">
        <f>IF(OR($A42="",$E42&lt;&gt;"Open"),0,IFERROR(LOOKUP(2,1/(_EngineTrades!$AU$9:$AU$508=$A42),_EngineTrades!$AM$9:$AM$508),0))</f>
        <v>0</v>
      </c>
      <c r="Q42" s="70" t="str">
        <f>IF(OR($A42="",$P42=0),"",ROUND(IFERROR(LOOKUP(2,1/(_EngineTrades!$AU$9:$AU$508=$A42),_EngineTrades!$AN$9:$AN$508),0)/$P42,4))</f>
        <v/>
      </c>
      <c r="R42" s="70">
        <f>IF(OR($A42="",$E42&lt;&gt;"Open"),0,IFERROR(LOOKUP(2,1/(_EngineTrades!$AU$9:$AU$508=$A42),_EngineTrades!$AO$9:$AO$508),0))</f>
        <v>0</v>
      </c>
      <c r="S42" s="70">
        <f>IF(OR($A42="",$E42&lt;&gt;"Open"),0,ROUND($R42+IFERROR(LOOKUP(2,1/(_EngineTrades!$AU$9:$AU$508=$A42),_EngineTrades!$AN$9:$AN$508),0),4))</f>
        <v>0</v>
      </c>
      <c r="T42" s="70" t="str">
        <f>IF($A42="","",ROUND(IFERROR(LOOKUP(2,1/(_EngineTrades!$AU$9:$AU$508=$A42),_EngineTrades!$AT$9:$AT$508),0),4))</f>
        <v/>
      </c>
      <c r="U42" s="70" t="str">
        <f t="shared" si="10"/>
        <v/>
      </c>
      <c r="V42" s="70" t="str">
        <f>IF(AND($A42&lt;&gt;"",$E42="Open",$P42+N(IFERROR(LOOKUP(2,1/(_EngineTrades!$AU$9:$AU$508=$A42),_EngineTrades!$AP$9:$AP$508),0))&gt;0),ROUND(($R42-$O42)/($P42+N(IFERROR(LOOKUP(2,1/(_EngineTrades!$AU$9:$AU$508=$A42),_EngineTrades!$AP$9:$AP$508),0))),4),"")</f>
        <v/>
      </c>
      <c r="W42" s="72" t="str">
        <f>IF($A42="","",MAX(1,IF($G42="",_EngineTrades!$E$3-$F42,$G42-$F42)))</f>
        <v/>
      </c>
      <c r="X42" s="73" t="str">
        <f t="shared" si="11"/>
        <v/>
      </c>
      <c r="Y42" s="73" t="str">
        <f t="shared" si="12"/>
        <v/>
      </c>
      <c r="Z42" s="44">
        <f>IF(Cycles!U42="",0,Cycles!U42)</f>
        <v>0</v>
      </c>
      <c r="AA42" s="44">
        <f>IF(Cycles!V42="",0,Cycles!V42)</f>
        <v>0</v>
      </c>
      <c r="AB42" s="44">
        <f>IF(Cycles!W42="",0,Cycles!W42)</f>
        <v>0</v>
      </c>
      <c r="AC42" s="44">
        <f>IF(Cycles!X42="",0,Cycles!X42)</f>
        <v>0</v>
      </c>
      <c r="AD42" s="70" t="str">
        <f t="shared" si="13"/>
        <v/>
      </c>
      <c r="AE42" s="70" t="str">
        <f t="shared" si="14"/>
        <v/>
      </c>
      <c r="AF42" s="70" t="str">
        <f t="shared" si="15"/>
        <v/>
      </c>
      <c r="AG42" t="str">
        <f>IFERROR(MATCH(ROWS($AG$9:AG42),_EngineTrades!$AW$9:$AW$508,0)+8,"")</f>
        <v/>
      </c>
    </row>
    <row r="43" spans="1:33" ht="15" x14ac:dyDescent="0.25">
      <c r="A43" s="61" t="str">
        <f>IF($AG43="","",IFERROR(INDEX(_EngineTrades!$AU$9:$AU$508,MATCH($AG43,_EngineTrades!$AV$9:$AV$508,0)),""))</f>
        <v/>
      </c>
      <c r="B43" s="61" t="str">
        <f>IF($A43="","",INDEX(_EngineTrades!$B$9:$B$508,MATCH($AG43,_EngineTrades!$AV$9:$AV$508,0)))</f>
        <v/>
      </c>
      <c r="C43" s="61" t="str">
        <f>IF($A43="","",INDEX(_EngineTrades!$T$9:$T$508,MATCH($AG43,_EngineTrades!$AV$9:$AV$508,0)))</f>
        <v/>
      </c>
      <c r="D43" s="47" t="str">
        <f>IF($A43="","",INDEX(_EngineTrades!$C$9:$C$508,MATCH($AG43,_EngineTrades!$AV$9:$AV$508,0)))</f>
        <v/>
      </c>
      <c r="E43" s="62" t="str">
        <f>IF($A43="","",IF(IFERROR(LOOKUP(2,1/(_EngineTrades!$AU$9:$AU$508=$A43),_EngineTrades!$AR$9:$AR$508),FALSE),"Closed","Open"))</f>
        <v/>
      </c>
      <c r="F43" s="63" t="str">
        <f>IF($A43="","",INDEX(_EngineTrades!$E$9:$E$508,$AG43-8))</f>
        <v/>
      </c>
      <c r="G43" s="63" t="str">
        <f>IF(OR($A43="",$E43&lt;&gt;"Closed"),"",IFERROR(INDEX(_EngineTrades!$E$9:$E$508,SUMIFS(_EngineTrades!$AX$9:$AX$508,_EngineTrades!$AU$9:$AU$508,$A43)-8),""))</f>
        <v/>
      </c>
      <c r="H43" s="49" t="str">
        <f>IF($A43="","",ROUND(SUMIFS(_EngineTrades!$Y$9:$Y$508,_EngineTrades!$AU$9:$AU$508,$A43),4))</f>
        <v/>
      </c>
      <c r="I43" s="49" t="str">
        <f>IF($A43="","",ROUND(SUMIFS(_EngineTrades!$Z$9:$Z$508,_EngineTrades!$AU$9:$AU$508,$A43),4))</f>
        <v/>
      </c>
      <c r="J43" s="45" t="str">
        <f t="shared" si="8"/>
        <v/>
      </c>
      <c r="K43" s="49" t="str">
        <f>IF($A43="","",ROUND(SUMIFS(_EngineTrades!$AA$9:$AA$508,_EngineTrades!$AU$9:$AU$508,$A43),4))</f>
        <v/>
      </c>
      <c r="L43" s="49" t="str">
        <f>IF($A43="","",ROUND(SUMIFS(_EngineTrades!$AB$9:$AB$508,_EngineTrades!$AU$9:$AU$508,$A43),4))</f>
        <v/>
      </c>
      <c r="M43" s="49" t="str">
        <f>IF($A43="","",ROUND(SUMIFS(_EngineTrades!$AC$9:$AC$508,_EngineTrades!$AU$9:$AU$508,$A43),4))</f>
        <v/>
      </c>
      <c r="N43" s="49" t="str">
        <f>IF($A43="","",ROUND(SUMIFS(_EngineTrades!$AD$9:$AD$508,_EngineTrades!$AU$9:$AU$508,$A43),4))</f>
        <v/>
      </c>
      <c r="O43" s="45" t="str">
        <f t="shared" si="9"/>
        <v/>
      </c>
      <c r="P43" s="61">
        <f>IF(OR($A43="",$E43&lt;&gt;"Open"),0,IFERROR(LOOKUP(2,1/(_EngineTrades!$AU$9:$AU$508=$A43),_EngineTrades!$AM$9:$AM$508),0))</f>
        <v>0</v>
      </c>
      <c r="Q43" s="49" t="str">
        <f>IF(OR($A43="",$P43=0),"",ROUND(IFERROR(LOOKUP(2,1/(_EngineTrades!$AU$9:$AU$508=$A43),_EngineTrades!$AN$9:$AN$508),0)/$P43,4))</f>
        <v/>
      </c>
      <c r="R43" s="49">
        <f>IF(OR($A43="",$E43&lt;&gt;"Open"),0,IFERROR(LOOKUP(2,1/(_EngineTrades!$AU$9:$AU$508=$A43),_EngineTrades!$AO$9:$AO$508),0))</f>
        <v>0</v>
      </c>
      <c r="S43" s="49">
        <f>IF(OR($A43="",$E43&lt;&gt;"Open"),0,ROUND($R43+IFERROR(LOOKUP(2,1/(_EngineTrades!$AU$9:$AU$508=$A43),_EngineTrades!$AN$9:$AN$508),0),4))</f>
        <v>0</v>
      </c>
      <c r="T43" s="49" t="str">
        <f>IF($A43="","",ROUND(IFERROR(LOOKUP(2,1/(_EngineTrades!$AU$9:$AU$508=$A43),_EngineTrades!$AT$9:$AT$508),0),4))</f>
        <v/>
      </c>
      <c r="U43" s="49" t="str">
        <f t="shared" si="10"/>
        <v/>
      </c>
      <c r="V43" s="49" t="str">
        <f>IF(AND($A43&lt;&gt;"",$E43="Open",$P43+N(IFERROR(LOOKUP(2,1/(_EngineTrades!$AU$9:$AU$508=$A43),_EngineTrades!$AP$9:$AP$508),0))&gt;0),ROUND(($R43-$O43)/($P43+N(IFERROR(LOOKUP(2,1/(_EngineTrades!$AU$9:$AU$508=$A43),_EngineTrades!$AP$9:$AP$508),0))),4),"")</f>
        <v/>
      </c>
      <c r="W43" s="64" t="str">
        <f>IF($A43="","",MAX(1,IF($G43="",_EngineTrades!$E$3-$F43,$G43-$F43)))</f>
        <v/>
      </c>
      <c r="X43" s="65" t="str">
        <f t="shared" si="11"/>
        <v/>
      </c>
      <c r="Y43" s="65" t="str">
        <f t="shared" si="12"/>
        <v/>
      </c>
      <c r="Z43" s="44">
        <f>IF(Cycles!U43="",0,Cycles!U43)</f>
        <v>0</v>
      </c>
      <c r="AA43" s="44">
        <f>IF(Cycles!V43="",0,Cycles!V43)</f>
        <v>0</v>
      </c>
      <c r="AB43" s="44">
        <f>IF(Cycles!W43="",0,Cycles!W43)</f>
        <v>0</v>
      </c>
      <c r="AC43" s="44">
        <f>IF(Cycles!X43="",0,Cycles!X43)</f>
        <v>0</v>
      </c>
      <c r="AD43" s="49" t="str">
        <f t="shared" si="13"/>
        <v/>
      </c>
      <c r="AE43" s="49" t="str">
        <f t="shared" si="14"/>
        <v/>
      </c>
      <c r="AF43" s="49" t="str">
        <f t="shared" si="15"/>
        <v/>
      </c>
      <c r="AG43" t="str">
        <f>IFERROR(MATCH(ROWS($AG$9:AG43),_EngineTrades!$AW$9:$AW$508,0)+8,"")</f>
        <v/>
      </c>
    </row>
    <row r="44" spans="1:33" ht="15" x14ac:dyDescent="0.25">
      <c r="A44" s="66" t="str">
        <f>IF($AG44="","",IFERROR(INDEX(_EngineTrades!$AU$9:$AU$508,MATCH($AG44,_EngineTrades!$AV$9:$AV$508,0)),""))</f>
        <v/>
      </c>
      <c r="B44" s="66" t="str">
        <f>IF($A44="","",INDEX(_EngineTrades!$B$9:$B$508,MATCH($AG44,_EngineTrades!$AV$9:$AV$508,0)))</f>
        <v/>
      </c>
      <c r="C44" s="66" t="str">
        <f>IF($A44="","",INDEX(_EngineTrades!$T$9:$T$508,MATCH($AG44,_EngineTrades!$AV$9:$AV$508,0)))</f>
        <v/>
      </c>
      <c r="D44" s="67" t="str">
        <f>IF($A44="","",INDEX(_EngineTrades!$C$9:$C$508,MATCH($AG44,_EngineTrades!$AV$9:$AV$508,0)))</f>
        <v/>
      </c>
      <c r="E44" s="68" t="str">
        <f>IF($A44="","",IF(IFERROR(LOOKUP(2,1/(_EngineTrades!$AU$9:$AU$508=$A44),_EngineTrades!$AR$9:$AR$508),FALSE),"Closed","Open"))</f>
        <v/>
      </c>
      <c r="F44" s="69" t="str">
        <f>IF($A44="","",INDEX(_EngineTrades!$E$9:$E$508,$AG44-8))</f>
        <v/>
      </c>
      <c r="G44" s="69" t="str">
        <f>IF(OR($A44="",$E44&lt;&gt;"Closed"),"",IFERROR(INDEX(_EngineTrades!$E$9:$E$508,SUMIFS(_EngineTrades!$AX$9:$AX$508,_EngineTrades!$AU$9:$AU$508,$A44)-8),""))</f>
        <v/>
      </c>
      <c r="H44" s="70" t="str">
        <f>IF($A44="","",ROUND(SUMIFS(_EngineTrades!$Y$9:$Y$508,_EngineTrades!$AU$9:$AU$508,$A44),4))</f>
        <v/>
      </c>
      <c r="I44" s="70" t="str">
        <f>IF($A44="","",ROUND(SUMIFS(_EngineTrades!$Z$9:$Z$508,_EngineTrades!$AU$9:$AU$508,$A44),4))</f>
        <v/>
      </c>
      <c r="J44" s="71" t="str">
        <f t="shared" si="8"/>
        <v/>
      </c>
      <c r="K44" s="70" t="str">
        <f>IF($A44="","",ROUND(SUMIFS(_EngineTrades!$AA$9:$AA$508,_EngineTrades!$AU$9:$AU$508,$A44),4))</f>
        <v/>
      </c>
      <c r="L44" s="70" t="str">
        <f>IF($A44="","",ROUND(SUMIFS(_EngineTrades!$AB$9:$AB$508,_EngineTrades!$AU$9:$AU$508,$A44),4))</f>
        <v/>
      </c>
      <c r="M44" s="70" t="str">
        <f>IF($A44="","",ROUND(SUMIFS(_EngineTrades!$AC$9:$AC$508,_EngineTrades!$AU$9:$AU$508,$A44),4))</f>
        <v/>
      </c>
      <c r="N44" s="70" t="str">
        <f>IF($A44="","",ROUND(SUMIFS(_EngineTrades!$AD$9:$AD$508,_EngineTrades!$AU$9:$AU$508,$A44),4))</f>
        <v/>
      </c>
      <c r="O44" s="71" t="str">
        <f t="shared" si="9"/>
        <v/>
      </c>
      <c r="P44" s="66">
        <f>IF(OR($A44="",$E44&lt;&gt;"Open"),0,IFERROR(LOOKUP(2,1/(_EngineTrades!$AU$9:$AU$508=$A44),_EngineTrades!$AM$9:$AM$508),0))</f>
        <v>0</v>
      </c>
      <c r="Q44" s="70" t="str">
        <f>IF(OR($A44="",$P44=0),"",ROUND(IFERROR(LOOKUP(2,1/(_EngineTrades!$AU$9:$AU$508=$A44),_EngineTrades!$AN$9:$AN$508),0)/$P44,4))</f>
        <v/>
      </c>
      <c r="R44" s="70">
        <f>IF(OR($A44="",$E44&lt;&gt;"Open"),0,IFERROR(LOOKUP(2,1/(_EngineTrades!$AU$9:$AU$508=$A44),_EngineTrades!$AO$9:$AO$508),0))</f>
        <v>0</v>
      </c>
      <c r="S44" s="70">
        <f>IF(OR($A44="",$E44&lt;&gt;"Open"),0,ROUND($R44+IFERROR(LOOKUP(2,1/(_EngineTrades!$AU$9:$AU$508=$A44),_EngineTrades!$AN$9:$AN$508),0),4))</f>
        <v>0</v>
      </c>
      <c r="T44" s="70" t="str">
        <f>IF($A44="","",ROUND(IFERROR(LOOKUP(2,1/(_EngineTrades!$AU$9:$AU$508=$A44),_EngineTrades!$AT$9:$AT$508),0),4))</f>
        <v/>
      </c>
      <c r="U44" s="70" t="str">
        <f t="shared" si="10"/>
        <v/>
      </c>
      <c r="V44" s="70" t="str">
        <f>IF(AND($A44&lt;&gt;"",$E44="Open",$P44+N(IFERROR(LOOKUP(2,1/(_EngineTrades!$AU$9:$AU$508=$A44),_EngineTrades!$AP$9:$AP$508),0))&gt;0),ROUND(($R44-$O44)/($P44+N(IFERROR(LOOKUP(2,1/(_EngineTrades!$AU$9:$AU$508=$A44),_EngineTrades!$AP$9:$AP$508),0))),4),"")</f>
        <v/>
      </c>
      <c r="W44" s="72" t="str">
        <f>IF($A44="","",MAX(1,IF($G44="",_EngineTrades!$E$3-$F44,$G44-$F44)))</f>
        <v/>
      </c>
      <c r="X44" s="73" t="str">
        <f t="shared" si="11"/>
        <v/>
      </c>
      <c r="Y44" s="73" t="str">
        <f t="shared" si="12"/>
        <v/>
      </c>
      <c r="Z44" s="44">
        <f>IF(Cycles!U44="",0,Cycles!U44)</f>
        <v>0</v>
      </c>
      <c r="AA44" s="44">
        <f>IF(Cycles!V44="",0,Cycles!V44)</f>
        <v>0</v>
      </c>
      <c r="AB44" s="44">
        <f>IF(Cycles!W44="",0,Cycles!W44)</f>
        <v>0</v>
      </c>
      <c r="AC44" s="44">
        <f>IF(Cycles!X44="",0,Cycles!X44)</f>
        <v>0</v>
      </c>
      <c r="AD44" s="70" t="str">
        <f t="shared" si="13"/>
        <v/>
      </c>
      <c r="AE44" s="70" t="str">
        <f t="shared" si="14"/>
        <v/>
      </c>
      <c r="AF44" s="70" t="str">
        <f t="shared" si="15"/>
        <v/>
      </c>
      <c r="AG44" t="str">
        <f>IFERROR(MATCH(ROWS($AG$9:AG44),_EngineTrades!$AW$9:$AW$508,0)+8,"")</f>
        <v/>
      </c>
    </row>
    <row r="45" spans="1:33" ht="15" x14ac:dyDescent="0.25">
      <c r="A45" s="61" t="str">
        <f>IF($AG45="","",IFERROR(INDEX(_EngineTrades!$AU$9:$AU$508,MATCH($AG45,_EngineTrades!$AV$9:$AV$508,0)),""))</f>
        <v/>
      </c>
      <c r="B45" s="61" t="str">
        <f>IF($A45="","",INDEX(_EngineTrades!$B$9:$B$508,MATCH($AG45,_EngineTrades!$AV$9:$AV$508,0)))</f>
        <v/>
      </c>
      <c r="C45" s="61" t="str">
        <f>IF($A45="","",INDEX(_EngineTrades!$T$9:$T$508,MATCH($AG45,_EngineTrades!$AV$9:$AV$508,0)))</f>
        <v/>
      </c>
      <c r="D45" s="47" t="str">
        <f>IF($A45="","",INDEX(_EngineTrades!$C$9:$C$508,MATCH($AG45,_EngineTrades!$AV$9:$AV$508,0)))</f>
        <v/>
      </c>
      <c r="E45" s="62" t="str">
        <f>IF($A45="","",IF(IFERROR(LOOKUP(2,1/(_EngineTrades!$AU$9:$AU$508=$A45),_EngineTrades!$AR$9:$AR$508),FALSE),"Closed","Open"))</f>
        <v/>
      </c>
      <c r="F45" s="63" t="str">
        <f>IF($A45="","",INDEX(_EngineTrades!$E$9:$E$508,$AG45-8))</f>
        <v/>
      </c>
      <c r="G45" s="63" t="str">
        <f>IF(OR($A45="",$E45&lt;&gt;"Closed"),"",IFERROR(INDEX(_EngineTrades!$E$9:$E$508,SUMIFS(_EngineTrades!$AX$9:$AX$508,_EngineTrades!$AU$9:$AU$508,$A45)-8),""))</f>
        <v/>
      </c>
      <c r="H45" s="49" t="str">
        <f>IF($A45="","",ROUND(SUMIFS(_EngineTrades!$Y$9:$Y$508,_EngineTrades!$AU$9:$AU$508,$A45),4))</f>
        <v/>
      </c>
      <c r="I45" s="49" t="str">
        <f>IF($A45="","",ROUND(SUMIFS(_EngineTrades!$Z$9:$Z$508,_EngineTrades!$AU$9:$AU$508,$A45),4))</f>
        <v/>
      </c>
      <c r="J45" s="45" t="str">
        <f t="shared" si="8"/>
        <v/>
      </c>
      <c r="K45" s="49" t="str">
        <f>IF($A45="","",ROUND(SUMIFS(_EngineTrades!$AA$9:$AA$508,_EngineTrades!$AU$9:$AU$508,$A45),4))</f>
        <v/>
      </c>
      <c r="L45" s="49" t="str">
        <f>IF($A45="","",ROUND(SUMIFS(_EngineTrades!$AB$9:$AB$508,_EngineTrades!$AU$9:$AU$508,$A45),4))</f>
        <v/>
      </c>
      <c r="M45" s="49" t="str">
        <f>IF($A45="","",ROUND(SUMIFS(_EngineTrades!$AC$9:$AC$508,_EngineTrades!$AU$9:$AU$508,$A45),4))</f>
        <v/>
      </c>
      <c r="N45" s="49" t="str">
        <f>IF($A45="","",ROUND(SUMIFS(_EngineTrades!$AD$9:$AD$508,_EngineTrades!$AU$9:$AU$508,$A45),4))</f>
        <v/>
      </c>
      <c r="O45" s="45" t="str">
        <f t="shared" si="9"/>
        <v/>
      </c>
      <c r="P45" s="61">
        <f>IF(OR($A45="",$E45&lt;&gt;"Open"),0,IFERROR(LOOKUP(2,1/(_EngineTrades!$AU$9:$AU$508=$A45),_EngineTrades!$AM$9:$AM$508),0))</f>
        <v>0</v>
      </c>
      <c r="Q45" s="49" t="str">
        <f>IF(OR($A45="",$P45=0),"",ROUND(IFERROR(LOOKUP(2,1/(_EngineTrades!$AU$9:$AU$508=$A45),_EngineTrades!$AN$9:$AN$508),0)/$P45,4))</f>
        <v/>
      </c>
      <c r="R45" s="49">
        <f>IF(OR($A45="",$E45&lt;&gt;"Open"),0,IFERROR(LOOKUP(2,1/(_EngineTrades!$AU$9:$AU$508=$A45),_EngineTrades!$AO$9:$AO$508),0))</f>
        <v>0</v>
      </c>
      <c r="S45" s="49">
        <f>IF(OR($A45="",$E45&lt;&gt;"Open"),0,ROUND($R45+IFERROR(LOOKUP(2,1/(_EngineTrades!$AU$9:$AU$508=$A45),_EngineTrades!$AN$9:$AN$508),0),4))</f>
        <v>0</v>
      </c>
      <c r="T45" s="49" t="str">
        <f>IF($A45="","",ROUND(IFERROR(LOOKUP(2,1/(_EngineTrades!$AU$9:$AU$508=$A45),_EngineTrades!$AT$9:$AT$508),0),4))</f>
        <v/>
      </c>
      <c r="U45" s="49" t="str">
        <f t="shared" si="10"/>
        <v/>
      </c>
      <c r="V45" s="49" t="str">
        <f>IF(AND($A45&lt;&gt;"",$E45="Open",$P45+N(IFERROR(LOOKUP(2,1/(_EngineTrades!$AU$9:$AU$508=$A45),_EngineTrades!$AP$9:$AP$508),0))&gt;0),ROUND(($R45-$O45)/($P45+N(IFERROR(LOOKUP(2,1/(_EngineTrades!$AU$9:$AU$508=$A45),_EngineTrades!$AP$9:$AP$508),0))),4),"")</f>
        <v/>
      </c>
      <c r="W45" s="64" t="str">
        <f>IF($A45="","",MAX(1,IF($G45="",_EngineTrades!$E$3-$F45,$G45-$F45)))</f>
        <v/>
      </c>
      <c r="X45" s="65" t="str">
        <f t="shared" si="11"/>
        <v/>
      </c>
      <c r="Y45" s="65" t="str">
        <f t="shared" si="12"/>
        <v/>
      </c>
      <c r="Z45" s="44">
        <f>IF(Cycles!U45="",0,Cycles!U45)</f>
        <v>0</v>
      </c>
      <c r="AA45" s="44">
        <f>IF(Cycles!V45="",0,Cycles!V45)</f>
        <v>0</v>
      </c>
      <c r="AB45" s="44">
        <f>IF(Cycles!W45="",0,Cycles!W45)</f>
        <v>0</v>
      </c>
      <c r="AC45" s="44">
        <f>IF(Cycles!X45="",0,Cycles!X45)</f>
        <v>0</v>
      </c>
      <c r="AD45" s="49" t="str">
        <f t="shared" si="13"/>
        <v/>
      </c>
      <c r="AE45" s="49" t="str">
        <f t="shared" si="14"/>
        <v/>
      </c>
      <c r="AF45" s="49" t="str">
        <f t="shared" si="15"/>
        <v/>
      </c>
      <c r="AG45" t="str">
        <f>IFERROR(MATCH(ROWS($AG$9:AG45),_EngineTrades!$AW$9:$AW$508,0)+8,"")</f>
        <v/>
      </c>
    </row>
    <row r="46" spans="1:33" ht="15" x14ac:dyDescent="0.25">
      <c r="A46" s="66" t="str">
        <f>IF($AG46="","",IFERROR(INDEX(_EngineTrades!$AU$9:$AU$508,MATCH($AG46,_EngineTrades!$AV$9:$AV$508,0)),""))</f>
        <v/>
      </c>
      <c r="B46" s="66" t="str">
        <f>IF($A46="","",INDEX(_EngineTrades!$B$9:$B$508,MATCH($AG46,_EngineTrades!$AV$9:$AV$508,0)))</f>
        <v/>
      </c>
      <c r="C46" s="66" t="str">
        <f>IF($A46="","",INDEX(_EngineTrades!$T$9:$T$508,MATCH($AG46,_EngineTrades!$AV$9:$AV$508,0)))</f>
        <v/>
      </c>
      <c r="D46" s="67" t="str">
        <f>IF($A46="","",INDEX(_EngineTrades!$C$9:$C$508,MATCH($AG46,_EngineTrades!$AV$9:$AV$508,0)))</f>
        <v/>
      </c>
      <c r="E46" s="68" t="str">
        <f>IF($A46="","",IF(IFERROR(LOOKUP(2,1/(_EngineTrades!$AU$9:$AU$508=$A46),_EngineTrades!$AR$9:$AR$508),FALSE),"Closed","Open"))</f>
        <v/>
      </c>
      <c r="F46" s="69" t="str">
        <f>IF($A46="","",INDEX(_EngineTrades!$E$9:$E$508,$AG46-8))</f>
        <v/>
      </c>
      <c r="G46" s="69" t="str">
        <f>IF(OR($A46="",$E46&lt;&gt;"Closed"),"",IFERROR(INDEX(_EngineTrades!$E$9:$E$508,SUMIFS(_EngineTrades!$AX$9:$AX$508,_EngineTrades!$AU$9:$AU$508,$A46)-8),""))</f>
        <v/>
      </c>
      <c r="H46" s="70" t="str">
        <f>IF($A46="","",ROUND(SUMIFS(_EngineTrades!$Y$9:$Y$508,_EngineTrades!$AU$9:$AU$508,$A46),4))</f>
        <v/>
      </c>
      <c r="I46" s="70" t="str">
        <f>IF($A46="","",ROUND(SUMIFS(_EngineTrades!$Z$9:$Z$508,_EngineTrades!$AU$9:$AU$508,$A46),4))</f>
        <v/>
      </c>
      <c r="J46" s="71" t="str">
        <f t="shared" si="8"/>
        <v/>
      </c>
      <c r="K46" s="70" t="str">
        <f>IF($A46="","",ROUND(SUMIFS(_EngineTrades!$AA$9:$AA$508,_EngineTrades!$AU$9:$AU$508,$A46),4))</f>
        <v/>
      </c>
      <c r="L46" s="70" t="str">
        <f>IF($A46="","",ROUND(SUMIFS(_EngineTrades!$AB$9:$AB$508,_EngineTrades!$AU$9:$AU$508,$A46),4))</f>
        <v/>
      </c>
      <c r="M46" s="70" t="str">
        <f>IF($A46="","",ROUND(SUMIFS(_EngineTrades!$AC$9:$AC$508,_EngineTrades!$AU$9:$AU$508,$A46),4))</f>
        <v/>
      </c>
      <c r="N46" s="70" t="str">
        <f>IF($A46="","",ROUND(SUMIFS(_EngineTrades!$AD$9:$AD$508,_EngineTrades!$AU$9:$AU$508,$A46),4))</f>
        <v/>
      </c>
      <c r="O46" s="71" t="str">
        <f t="shared" si="9"/>
        <v/>
      </c>
      <c r="P46" s="66">
        <f>IF(OR($A46="",$E46&lt;&gt;"Open"),0,IFERROR(LOOKUP(2,1/(_EngineTrades!$AU$9:$AU$508=$A46),_EngineTrades!$AM$9:$AM$508),0))</f>
        <v>0</v>
      </c>
      <c r="Q46" s="70" t="str">
        <f>IF(OR($A46="",$P46=0),"",ROUND(IFERROR(LOOKUP(2,1/(_EngineTrades!$AU$9:$AU$508=$A46),_EngineTrades!$AN$9:$AN$508),0)/$P46,4))</f>
        <v/>
      </c>
      <c r="R46" s="70">
        <f>IF(OR($A46="",$E46&lt;&gt;"Open"),0,IFERROR(LOOKUP(2,1/(_EngineTrades!$AU$9:$AU$508=$A46),_EngineTrades!$AO$9:$AO$508),0))</f>
        <v>0</v>
      </c>
      <c r="S46" s="70">
        <f>IF(OR($A46="",$E46&lt;&gt;"Open"),0,ROUND($R46+IFERROR(LOOKUP(2,1/(_EngineTrades!$AU$9:$AU$508=$A46),_EngineTrades!$AN$9:$AN$508),0),4))</f>
        <v>0</v>
      </c>
      <c r="T46" s="70" t="str">
        <f>IF($A46="","",ROUND(IFERROR(LOOKUP(2,1/(_EngineTrades!$AU$9:$AU$508=$A46),_EngineTrades!$AT$9:$AT$508),0),4))</f>
        <v/>
      </c>
      <c r="U46" s="70" t="str">
        <f t="shared" si="10"/>
        <v/>
      </c>
      <c r="V46" s="70" t="str">
        <f>IF(AND($A46&lt;&gt;"",$E46="Open",$P46+N(IFERROR(LOOKUP(2,1/(_EngineTrades!$AU$9:$AU$508=$A46),_EngineTrades!$AP$9:$AP$508),0))&gt;0),ROUND(($R46-$O46)/($P46+N(IFERROR(LOOKUP(2,1/(_EngineTrades!$AU$9:$AU$508=$A46),_EngineTrades!$AP$9:$AP$508),0))),4),"")</f>
        <v/>
      </c>
      <c r="W46" s="72" t="str">
        <f>IF($A46="","",MAX(1,IF($G46="",_EngineTrades!$E$3-$F46,$G46-$F46)))</f>
        <v/>
      </c>
      <c r="X46" s="73" t="str">
        <f t="shared" si="11"/>
        <v/>
      </c>
      <c r="Y46" s="73" t="str">
        <f t="shared" si="12"/>
        <v/>
      </c>
      <c r="Z46" s="44">
        <f>IF(Cycles!U46="",0,Cycles!U46)</f>
        <v>0</v>
      </c>
      <c r="AA46" s="44">
        <f>IF(Cycles!V46="",0,Cycles!V46)</f>
        <v>0</v>
      </c>
      <c r="AB46" s="44">
        <f>IF(Cycles!W46="",0,Cycles!W46)</f>
        <v>0</v>
      </c>
      <c r="AC46" s="44">
        <f>IF(Cycles!X46="",0,Cycles!X46)</f>
        <v>0</v>
      </c>
      <c r="AD46" s="70" t="str">
        <f t="shared" si="13"/>
        <v/>
      </c>
      <c r="AE46" s="70" t="str">
        <f t="shared" si="14"/>
        <v/>
      </c>
      <c r="AF46" s="70" t="str">
        <f t="shared" si="15"/>
        <v/>
      </c>
      <c r="AG46" t="str">
        <f>IFERROR(MATCH(ROWS($AG$9:AG46),_EngineTrades!$AW$9:$AW$508,0)+8,"")</f>
        <v/>
      </c>
    </row>
    <row r="47" spans="1:33" ht="15" x14ac:dyDescent="0.25">
      <c r="A47" s="61" t="str">
        <f>IF($AG47="","",IFERROR(INDEX(_EngineTrades!$AU$9:$AU$508,MATCH($AG47,_EngineTrades!$AV$9:$AV$508,0)),""))</f>
        <v/>
      </c>
      <c r="B47" s="61" t="str">
        <f>IF($A47="","",INDEX(_EngineTrades!$B$9:$B$508,MATCH($AG47,_EngineTrades!$AV$9:$AV$508,0)))</f>
        <v/>
      </c>
      <c r="C47" s="61" t="str">
        <f>IF($A47="","",INDEX(_EngineTrades!$T$9:$T$508,MATCH($AG47,_EngineTrades!$AV$9:$AV$508,0)))</f>
        <v/>
      </c>
      <c r="D47" s="47" t="str">
        <f>IF($A47="","",INDEX(_EngineTrades!$C$9:$C$508,MATCH($AG47,_EngineTrades!$AV$9:$AV$508,0)))</f>
        <v/>
      </c>
      <c r="E47" s="62" t="str">
        <f>IF($A47="","",IF(IFERROR(LOOKUP(2,1/(_EngineTrades!$AU$9:$AU$508=$A47),_EngineTrades!$AR$9:$AR$508),FALSE),"Closed","Open"))</f>
        <v/>
      </c>
      <c r="F47" s="63" t="str">
        <f>IF($A47="","",INDEX(_EngineTrades!$E$9:$E$508,$AG47-8))</f>
        <v/>
      </c>
      <c r="G47" s="63" t="str">
        <f>IF(OR($A47="",$E47&lt;&gt;"Closed"),"",IFERROR(INDEX(_EngineTrades!$E$9:$E$508,SUMIFS(_EngineTrades!$AX$9:$AX$508,_EngineTrades!$AU$9:$AU$508,$A47)-8),""))</f>
        <v/>
      </c>
      <c r="H47" s="49" t="str">
        <f>IF($A47="","",ROUND(SUMIFS(_EngineTrades!$Y$9:$Y$508,_EngineTrades!$AU$9:$AU$508,$A47),4))</f>
        <v/>
      </c>
      <c r="I47" s="49" t="str">
        <f>IF($A47="","",ROUND(SUMIFS(_EngineTrades!$Z$9:$Z$508,_EngineTrades!$AU$9:$AU$508,$A47),4))</f>
        <v/>
      </c>
      <c r="J47" s="45" t="str">
        <f t="shared" si="8"/>
        <v/>
      </c>
      <c r="K47" s="49" t="str">
        <f>IF($A47="","",ROUND(SUMIFS(_EngineTrades!$AA$9:$AA$508,_EngineTrades!$AU$9:$AU$508,$A47),4))</f>
        <v/>
      </c>
      <c r="L47" s="49" t="str">
        <f>IF($A47="","",ROUND(SUMIFS(_EngineTrades!$AB$9:$AB$508,_EngineTrades!$AU$9:$AU$508,$A47),4))</f>
        <v/>
      </c>
      <c r="M47" s="49" t="str">
        <f>IF($A47="","",ROUND(SUMIFS(_EngineTrades!$AC$9:$AC$508,_EngineTrades!$AU$9:$AU$508,$A47),4))</f>
        <v/>
      </c>
      <c r="N47" s="49" t="str">
        <f>IF($A47="","",ROUND(SUMIFS(_EngineTrades!$AD$9:$AD$508,_EngineTrades!$AU$9:$AU$508,$A47),4))</f>
        <v/>
      </c>
      <c r="O47" s="45" t="str">
        <f t="shared" si="9"/>
        <v/>
      </c>
      <c r="P47" s="61">
        <f>IF(OR($A47="",$E47&lt;&gt;"Open"),0,IFERROR(LOOKUP(2,1/(_EngineTrades!$AU$9:$AU$508=$A47),_EngineTrades!$AM$9:$AM$508),0))</f>
        <v>0</v>
      </c>
      <c r="Q47" s="49" t="str">
        <f>IF(OR($A47="",$P47=0),"",ROUND(IFERROR(LOOKUP(2,1/(_EngineTrades!$AU$9:$AU$508=$A47),_EngineTrades!$AN$9:$AN$508),0)/$P47,4))</f>
        <v/>
      </c>
      <c r="R47" s="49">
        <f>IF(OR($A47="",$E47&lt;&gt;"Open"),0,IFERROR(LOOKUP(2,1/(_EngineTrades!$AU$9:$AU$508=$A47),_EngineTrades!$AO$9:$AO$508),0))</f>
        <v>0</v>
      </c>
      <c r="S47" s="49">
        <f>IF(OR($A47="",$E47&lt;&gt;"Open"),0,ROUND($R47+IFERROR(LOOKUP(2,1/(_EngineTrades!$AU$9:$AU$508=$A47),_EngineTrades!$AN$9:$AN$508),0),4))</f>
        <v>0</v>
      </c>
      <c r="T47" s="49" t="str">
        <f>IF($A47="","",ROUND(IFERROR(LOOKUP(2,1/(_EngineTrades!$AU$9:$AU$508=$A47),_EngineTrades!$AT$9:$AT$508),0),4))</f>
        <v/>
      </c>
      <c r="U47" s="49" t="str">
        <f t="shared" si="10"/>
        <v/>
      </c>
      <c r="V47" s="49" t="str">
        <f>IF(AND($A47&lt;&gt;"",$E47="Open",$P47+N(IFERROR(LOOKUP(2,1/(_EngineTrades!$AU$9:$AU$508=$A47),_EngineTrades!$AP$9:$AP$508),0))&gt;0),ROUND(($R47-$O47)/($P47+N(IFERROR(LOOKUP(2,1/(_EngineTrades!$AU$9:$AU$508=$A47),_EngineTrades!$AP$9:$AP$508),0))),4),"")</f>
        <v/>
      </c>
      <c r="W47" s="64" t="str">
        <f>IF($A47="","",MAX(1,IF($G47="",_EngineTrades!$E$3-$F47,$G47-$F47)))</f>
        <v/>
      </c>
      <c r="X47" s="65" t="str">
        <f t="shared" si="11"/>
        <v/>
      </c>
      <c r="Y47" s="65" t="str">
        <f t="shared" si="12"/>
        <v/>
      </c>
      <c r="Z47" s="44">
        <f>IF(Cycles!U47="",0,Cycles!U47)</f>
        <v>0</v>
      </c>
      <c r="AA47" s="44">
        <f>IF(Cycles!V47="",0,Cycles!V47)</f>
        <v>0</v>
      </c>
      <c r="AB47" s="44">
        <f>IF(Cycles!W47="",0,Cycles!W47)</f>
        <v>0</v>
      </c>
      <c r="AC47" s="44">
        <f>IF(Cycles!X47="",0,Cycles!X47)</f>
        <v>0</v>
      </c>
      <c r="AD47" s="49" t="str">
        <f t="shared" si="13"/>
        <v/>
      </c>
      <c r="AE47" s="49" t="str">
        <f t="shared" si="14"/>
        <v/>
      </c>
      <c r="AF47" s="49" t="str">
        <f t="shared" si="15"/>
        <v/>
      </c>
      <c r="AG47" t="str">
        <f>IFERROR(MATCH(ROWS($AG$9:AG47),_EngineTrades!$AW$9:$AW$508,0)+8,"")</f>
        <v/>
      </c>
    </row>
    <row r="48" spans="1:33" ht="15" x14ac:dyDescent="0.25">
      <c r="A48" s="66" t="str">
        <f>IF($AG48="","",IFERROR(INDEX(_EngineTrades!$AU$9:$AU$508,MATCH($AG48,_EngineTrades!$AV$9:$AV$508,0)),""))</f>
        <v/>
      </c>
      <c r="B48" s="66" t="str">
        <f>IF($A48="","",INDEX(_EngineTrades!$B$9:$B$508,MATCH($AG48,_EngineTrades!$AV$9:$AV$508,0)))</f>
        <v/>
      </c>
      <c r="C48" s="66" t="str">
        <f>IF($A48="","",INDEX(_EngineTrades!$T$9:$T$508,MATCH($AG48,_EngineTrades!$AV$9:$AV$508,0)))</f>
        <v/>
      </c>
      <c r="D48" s="67" t="str">
        <f>IF($A48="","",INDEX(_EngineTrades!$C$9:$C$508,MATCH($AG48,_EngineTrades!$AV$9:$AV$508,0)))</f>
        <v/>
      </c>
      <c r="E48" s="68" t="str">
        <f>IF($A48="","",IF(IFERROR(LOOKUP(2,1/(_EngineTrades!$AU$9:$AU$508=$A48),_EngineTrades!$AR$9:$AR$508),FALSE),"Closed","Open"))</f>
        <v/>
      </c>
      <c r="F48" s="69" t="str">
        <f>IF($A48="","",INDEX(_EngineTrades!$E$9:$E$508,$AG48-8))</f>
        <v/>
      </c>
      <c r="G48" s="69" t="str">
        <f>IF(OR($A48="",$E48&lt;&gt;"Closed"),"",IFERROR(INDEX(_EngineTrades!$E$9:$E$508,SUMIFS(_EngineTrades!$AX$9:$AX$508,_EngineTrades!$AU$9:$AU$508,$A48)-8),""))</f>
        <v/>
      </c>
      <c r="H48" s="70" t="str">
        <f>IF($A48="","",ROUND(SUMIFS(_EngineTrades!$Y$9:$Y$508,_EngineTrades!$AU$9:$AU$508,$A48),4))</f>
        <v/>
      </c>
      <c r="I48" s="70" t="str">
        <f>IF($A48="","",ROUND(SUMIFS(_EngineTrades!$Z$9:$Z$508,_EngineTrades!$AU$9:$AU$508,$A48),4))</f>
        <v/>
      </c>
      <c r="J48" s="71" t="str">
        <f t="shared" si="8"/>
        <v/>
      </c>
      <c r="K48" s="70" t="str">
        <f>IF($A48="","",ROUND(SUMIFS(_EngineTrades!$AA$9:$AA$508,_EngineTrades!$AU$9:$AU$508,$A48),4))</f>
        <v/>
      </c>
      <c r="L48" s="70" t="str">
        <f>IF($A48="","",ROUND(SUMIFS(_EngineTrades!$AB$9:$AB$508,_EngineTrades!$AU$9:$AU$508,$A48),4))</f>
        <v/>
      </c>
      <c r="M48" s="70" t="str">
        <f>IF($A48="","",ROUND(SUMIFS(_EngineTrades!$AC$9:$AC$508,_EngineTrades!$AU$9:$AU$508,$A48),4))</f>
        <v/>
      </c>
      <c r="N48" s="70" t="str">
        <f>IF($A48="","",ROUND(SUMIFS(_EngineTrades!$AD$9:$AD$508,_EngineTrades!$AU$9:$AU$508,$A48),4))</f>
        <v/>
      </c>
      <c r="O48" s="71" t="str">
        <f t="shared" si="9"/>
        <v/>
      </c>
      <c r="P48" s="66">
        <f>IF(OR($A48="",$E48&lt;&gt;"Open"),0,IFERROR(LOOKUP(2,1/(_EngineTrades!$AU$9:$AU$508=$A48),_EngineTrades!$AM$9:$AM$508),0))</f>
        <v>0</v>
      </c>
      <c r="Q48" s="70" t="str">
        <f>IF(OR($A48="",$P48=0),"",ROUND(IFERROR(LOOKUP(2,1/(_EngineTrades!$AU$9:$AU$508=$A48),_EngineTrades!$AN$9:$AN$508),0)/$P48,4))</f>
        <v/>
      </c>
      <c r="R48" s="70">
        <f>IF(OR($A48="",$E48&lt;&gt;"Open"),0,IFERROR(LOOKUP(2,1/(_EngineTrades!$AU$9:$AU$508=$A48),_EngineTrades!$AO$9:$AO$508),0))</f>
        <v>0</v>
      </c>
      <c r="S48" s="70">
        <f>IF(OR($A48="",$E48&lt;&gt;"Open"),0,ROUND($R48+IFERROR(LOOKUP(2,1/(_EngineTrades!$AU$9:$AU$508=$A48),_EngineTrades!$AN$9:$AN$508),0),4))</f>
        <v>0</v>
      </c>
      <c r="T48" s="70" t="str">
        <f>IF($A48="","",ROUND(IFERROR(LOOKUP(2,1/(_EngineTrades!$AU$9:$AU$508=$A48),_EngineTrades!$AT$9:$AT$508),0),4))</f>
        <v/>
      </c>
      <c r="U48" s="70" t="str">
        <f t="shared" si="10"/>
        <v/>
      </c>
      <c r="V48" s="70" t="str">
        <f>IF(AND($A48&lt;&gt;"",$E48="Open",$P48+N(IFERROR(LOOKUP(2,1/(_EngineTrades!$AU$9:$AU$508=$A48),_EngineTrades!$AP$9:$AP$508),0))&gt;0),ROUND(($R48-$O48)/($P48+N(IFERROR(LOOKUP(2,1/(_EngineTrades!$AU$9:$AU$508=$A48),_EngineTrades!$AP$9:$AP$508),0))),4),"")</f>
        <v/>
      </c>
      <c r="W48" s="72" t="str">
        <f>IF($A48="","",MAX(1,IF($G48="",_EngineTrades!$E$3-$F48,$G48-$F48)))</f>
        <v/>
      </c>
      <c r="X48" s="73" t="str">
        <f t="shared" si="11"/>
        <v/>
      </c>
      <c r="Y48" s="73" t="str">
        <f t="shared" si="12"/>
        <v/>
      </c>
      <c r="Z48" s="44">
        <f>IF(Cycles!U48="",0,Cycles!U48)</f>
        <v>0</v>
      </c>
      <c r="AA48" s="44">
        <f>IF(Cycles!V48="",0,Cycles!V48)</f>
        <v>0</v>
      </c>
      <c r="AB48" s="44">
        <f>IF(Cycles!W48="",0,Cycles!W48)</f>
        <v>0</v>
      </c>
      <c r="AC48" s="44">
        <f>IF(Cycles!X48="",0,Cycles!X48)</f>
        <v>0</v>
      </c>
      <c r="AD48" s="70" t="str">
        <f t="shared" si="13"/>
        <v/>
      </c>
      <c r="AE48" s="70" t="str">
        <f t="shared" si="14"/>
        <v/>
      </c>
      <c r="AF48" s="70" t="str">
        <f t="shared" si="15"/>
        <v/>
      </c>
      <c r="AG48" t="str">
        <f>IFERROR(MATCH(ROWS($AG$9:AG48),_EngineTrades!$AW$9:$AW$508,0)+8,"")</f>
        <v/>
      </c>
    </row>
    <row r="49" spans="1:33" ht="15" x14ac:dyDescent="0.25">
      <c r="A49" s="61" t="str">
        <f>IF($AG49="","",IFERROR(INDEX(_EngineTrades!$AU$9:$AU$508,MATCH($AG49,_EngineTrades!$AV$9:$AV$508,0)),""))</f>
        <v/>
      </c>
      <c r="B49" s="61" t="str">
        <f>IF($A49="","",INDEX(_EngineTrades!$B$9:$B$508,MATCH($AG49,_EngineTrades!$AV$9:$AV$508,0)))</f>
        <v/>
      </c>
      <c r="C49" s="61" t="str">
        <f>IF($A49="","",INDEX(_EngineTrades!$T$9:$T$508,MATCH($AG49,_EngineTrades!$AV$9:$AV$508,0)))</f>
        <v/>
      </c>
      <c r="D49" s="47" t="str">
        <f>IF($A49="","",INDEX(_EngineTrades!$C$9:$C$508,MATCH($AG49,_EngineTrades!$AV$9:$AV$508,0)))</f>
        <v/>
      </c>
      <c r="E49" s="62" t="str">
        <f>IF($A49="","",IF(IFERROR(LOOKUP(2,1/(_EngineTrades!$AU$9:$AU$508=$A49),_EngineTrades!$AR$9:$AR$508),FALSE),"Closed","Open"))</f>
        <v/>
      </c>
      <c r="F49" s="63" t="str">
        <f>IF($A49="","",INDEX(_EngineTrades!$E$9:$E$508,$AG49-8))</f>
        <v/>
      </c>
      <c r="G49" s="63" t="str">
        <f>IF(OR($A49="",$E49&lt;&gt;"Closed"),"",IFERROR(INDEX(_EngineTrades!$E$9:$E$508,SUMIFS(_EngineTrades!$AX$9:$AX$508,_EngineTrades!$AU$9:$AU$508,$A49)-8),""))</f>
        <v/>
      </c>
      <c r="H49" s="49" t="str">
        <f>IF($A49="","",ROUND(SUMIFS(_EngineTrades!$Y$9:$Y$508,_EngineTrades!$AU$9:$AU$508,$A49),4))</f>
        <v/>
      </c>
      <c r="I49" s="49" t="str">
        <f>IF($A49="","",ROUND(SUMIFS(_EngineTrades!$Z$9:$Z$508,_EngineTrades!$AU$9:$AU$508,$A49),4))</f>
        <v/>
      </c>
      <c r="J49" s="45" t="str">
        <f t="shared" si="8"/>
        <v/>
      </c>
      <c r="K49" s="49" t="str">
        <f>IF($A49="","",ROUND(SUMIFS(_EngineTrades!$AA$9:$AA$508,_EngineTrades!$AU$9:$AU$508,$A49),4))</f>
        <v/>
      </c>
      <c r="L49" s="49" t="str">
        <f>IF($A49="","",ROUND(SUMIFS(_EngineTrades!$AB$9:$AB$508,_EngineTrades!$AU$9:$AU$508,$A49),4))</f>
        <v/>
      </c>
      <c r="M49" s="49" t="str">
        <f>IF($A49="","",ROUND(SUMIFS(_EngineTrades!$AC$9:$AC$508,_EngineTrades!$AU$9:$AU$508,$A49),4))</f>
        <v/>
      </c>
      <c r="N49" s="49" t="str">
        <f>IF($A49="","",ROUND(SUMIFS(_EngineTrades!$AD$9:$AD$508,_EngineTrades!$AU$9:$AU$508,$A49),4))</f>
        <v/>
      </c>
      <c r="O49" s="45" t="str">
        <f t="shared" si="9"/>
        <v/>
      </c>
      <c r="P49" s="61">
        <f>IF(OR($A49="",$E49&lt;&gt;"Open"),0,IFERROR(LOOKUP(2,1/(_EngineTrades!$AU$9:$AU$508=$A49),_EngineTrades!$AM$9:$AM$508),0))</f>
        <v>0</v>
      </c>
      <c r="Q49" s="49" t="str">
        <f>IF(OR($A49="",$P49=0),"",ROUND(IFERROR(LOOKUP(2,1/(_EngineTrades!$AU$9:$AU$508=$A49),_EngineTrades!$AN$9:$AN$508),0)/$P49,4))</f>
        <v/>
      </c>
      <c r="R49" s="49">
        <f>IF(OR($A49="",$E49&lt;&gt;"Open"),0,IFERROR(LOOKUP(2,1/(_EngineTrades!$AU$9:$AU$508=$A49),_EngineTrades!$AO$9:$AO$508),0))</f>
        <v>0</v>
      </c>
      <c r="S49" s="49">
        <f>IF(OR($A49="",$E49&lt;&gt;"Open"),0,ROUND($R49+IFERROR(LOOKUP(2,1/(_EngineTrades!$AU$9:$AU$508=$A49),_EngineTrades!$AN$9:$AN$508),0),4))</f>
        <v>0</v>
      </c>
      <c r="T49" s="49" t="str">
        <f>IF($A49="","",ROUND(IFERROR(LOOKUP(2,1/(_EngineTrades!$AU$9:$AU$508=$A49),_EngineTrades!$AT$9:$AT$508),0),4))</f>
        <v/>
      </c>
      <c r="U49" s="49" t="str">
        <f t="shared" si="10"/>
        <v/>
      </c>
      <c r="V49" s="49" t="str">
        <f>IF(AND($A49&lt;&gt;"",$E49="Open",$P49+N(IFERROR(LOOKUP(2,1/(_EngineTrades!$AU$9:$AU$508=$A49),_EngineTrades!$AP$9:$AP$508),0))&gt;0),ROUND(($R49-$O49)/($P49+N(IFERROR(LOOKUP(2,1/(_EngineTrades!$AU$9:$AU$508=$A49),_EngineTrades!$AP$9:$AP$508),0))),4),"")</f>
        <v/>
      </c>
      <c r="W49" s="64" t="str">
        <f>IF($A49="","",MAX(1,IF($G49="",_EngineTrades!$E$3-$F49,$G49-$F49)))</f>
        <v/>
      </c>
      <c r="X49" s="65" t="str">
        <f t="shared" si="11"/>
        <v/>
      </c>
      <c r="Y49" s="65" t="str">
        <f t="shared" si="12"/>
        <v/>
      </c>
      <c r="Z49" s="44">
        <f>IF(Cycles!U49="",0,Cycles!U49)</f>
        <v>0</v>
      </c>
      <c r="AA49" s="44">
        <f>IF(Cycles!V49="",0,Cycles!V49)</f>
        <v>0</v>
      </c>
      <c r="AB49" s="44">
        <f>IF(Cycles!W49="",0,Cycles!W49)</f>
        <v>0</v>
      </c>
      <c r="AC49" s="44">
        <f>IF(Cycles!X49="",0,Cycles!X49)</f>
        <v>0</v>
      </c>
      <c r="AD49" s="49" t="str">
        <f t="shared" si="13"/>
        <v/>
      </c>
      <c r="AE49" s="49" t="str">
        <f t="shared" si="14"/>
        <v/>
      </c>
      <c r="AF49" s="49" t="str">
        <f t="shared" si="15"/>
        <v/>
      </c>
      <c r="AG49" t="str">
        <f>IFERROR(MATCH(ROWS($AG$9:AG49),_EngineTrades!$AW$9:$AW$508,0)+8,"")</f>
        <v/>
      </c>
    </row>
    <row r="50" spans="1:33" ht="15" x14ac:dyDescent="0.25">
      <c r="A50" s="66" t="str">
        <f>IF($AG50="","",IFERROR(INDEX(_EngineTrades!$AU$9:$AU$508,MATCH($AG50,_EngineTrades!$AV$9:$AV$508,0)),""))</f>
        <v/>
      </c>
      <c r="B50" s="66" t="str">
        <f>IF($A50="","",INDEX(_EngineTrades!$B$9:$B$508,MATCH($AG50,_EngineTrades!$AV$9:$AV$508,0)))</f>
        <v/>
      </c>
      <c r="C50" s="66" t="str">
        <f>IF($A50="","",INDEX(_EngineTrades!$T$9:$T$508,MATCH($AG50,_EngineTrades!$AV$9:$AV$508,0)))</f>
        <v/>
      </c>
      <c r="D50" s="67" t="str">
        <f>IF($A50="","",INDEX(_EngineTrades!$C$9:$C$508,MATCH($AG50,_EngineTrades!$AV$9:$AV$508,0)))</f>
        <v/>
      </c>
      <c r="E50" s="68" t="str">
        <f>IF($A50="","",IF(IFERROR(LOOKUP(2,1/(_EngineTrades!$AU$9:$AU$508=$A50),_EngineTrades!$AR$9:$AR$508),FALSE),"Closed","Open"))</f>
        <v/>
      </c>
      <c r="F50" s="69" t="str">
        <f>IF($A50="","",INDEX(_EngineTrades!$E$9:$E$508,$AG50-8))</f>
        <v/>
      </c>
      <c r="G50" s="69" t="str">
        <f>IF(OR($A50="",$E50&lt;&gt;"Closed"),"",IFERROR(INDEX(_EngineTrades!$E$9:$E$508,SUMIFS(_EngineTrades!$AX$9:$AX$508,_EngineTrades!$AU$9:$AU$508,$A50)-8),""))</f>
        <v/>
      </c>
      <c r="H50" s="70" t="str">
        <f>IF($A50="","",ROUND(SUMIFS(_EngineTrades!$Y$9:$Y$508,_EngineTrades!$AU$9:$AU$508,$A50),4))</f>
        <v/>
      </c>
      <c r="I50" s="70" t="str">
        <f>IF($A50="","",ROUND(SUMIFS(_EngineTrades!$Z$9:$Z$508,_EngineTrades!$AU$9:$AU$508,$A50),4))</f>
        <v/>
      </c>
      <c r="J50" s="71" t="str">
        <f t="shared" si="8"/>
        <v/>
      </c>
      <c r="K50" s="70" t="str">
        <f>IF($A50="","",ROUND(SUMIFS(_EngineTrades!$AA$9:$AA$508,_EngineTrades!$AU$9:$AU$508,$A50),4))</f>
        <v/>
      </c>
      <c r="L50" s="70" t="str">
        <f>IF($A50="","",ROUND(SUMIFS(_EngineTrades!$AB$9:$AB$508,_EngineTrades!$AU$9:$AU$508,$A50),4))</f>
        <v/>
      </c>
      <c r="M50" s="70" t="str">
        <f>IF($A50="","",ROUND(SUMIFS(_EngineTrades!$AC$9:$AC$508,_EngineTrades!$AU$9:$AU$508,$A50),4))</f>
        <v/>
      </c>
      <c r="N50" s="70" t="str">
        <f>IF($A50="","",ROUND(SUMIFS(_EngineTrades!$AD$9:$AD$508,_EngineTrades!$AU$9:$AU$508,$A50),4))</f>
        <v/>
      </c>
      <c r="O50" s="71" t="str">
        <f t="shared" si="9"/>
        <v/>
      </c>
      <c r="P50" s="66">
        <f>IF(OR($A50="",$E50&lt;&gt;"Open"),0,IFERROR(LOOKUP(2,1/(_EngineTrades!$AU$9:$AU$508=$A50),_EngineTrades!$AM$9:$AM$508),0))</f>
        <v>0</v>
      </c>
      <c r="Q50" s="70" t="str">
        <f>IF(OR($A50="",$P50=0),"",ROUND(IFERROR(LOOKUP(2,1/(_EngineTrades!$AU$9:$AU$508=$A50),_EngineTrades!$AN$9:$AN$508),0)/$P50,4))</f>
        <v/>
      </c>
      <c r="R50" s="70">
        <f>IF(OR($A50="",$E50&lt;&gt;"Open"),0,IFERROR(LOOKUP(2,1/(_EngineTrades!$AU$9:$AU$508=$A50),_EngineTrades!$AO$9:$AO$508),0))</f>
        <v>0</v>
      </c>
      <c r="S50" s="70">
        <f>IF(OR($A50="",$E50&lt;&gt;"Open"),0,ROUND($R50+IFERROR(LOOKUP(2,1/(_EngineTrades!$AU$9:$AU$508=$A50),_EngineTrades!$AN$9:$AN$508),0),4))</f>
        <v>0</v>
      </c>
      <c r="T50" s="70" t="str">
        <f>IF($A50="","",ROUND(IFERROR(LOOKUP(2,1/(_EngineTrades!$AU$9:$AU$508=$A50),_EngineTrades!$AT$9:$AT$508),0),4))</f>
        <v/>
      </c>
      <c r="U50" s="70" t="str">
        <f t="shared" si="10"/>
        <v/>
      </c>
      <c r="V50" s="70" t="str">
        <f>IF(AND($A50&lt;&gt;"",$E50="Open",$P50+N(IFERROR(LOOKUP(2,1/(_EngineTrades!$AU$9:$AU$508=$A50),_EngineTrades!$AP$9:$AP$508),0))&gt;0),ROUND(($R50-$O50)/($P50+N(IFERROR(LOOKUP(2,1/(_EngineTrades!$AU$9:$AU$508=$A50),_EngineTrades!$AP$9:$AP$508),0))),4),"")</f>
        <v/>
      </c>
      <c r="W50" s="72" t="str">
        <f>IF($A50="","",MAX(1,IF($G50="",_EngineTrades!$E$3-$F50,$G50-$F50)))</f>
        <v/>
      </c>
      <c r="X50" s="73" t="str">
        <f t="shared" si="11"/>
        <v/>
      </c>
      <c r="Y50" s="73" t="str">
        <f t="shared" si="12"/>
        <v/>
      </c>
      <c r="Z50" s="44">
        <f>IF(Cycles!U50="",0,Cycles!U50)</f>
        <v>0</v>
      </c>
      <c r="AA50" s="44">
        <f>IF(Cycles!V50="",0,Cycles!V50)</f>
        <v>0</v>
      </c>
      <c r="AB50" s="44">
        <f>IF(Cycles!W50="",0,Cycles!W50)</f>
        <v>0</v>
      </c>
      <c r="AC50" s="44">
        <f>IF(Cycles!X50="",0,Cycles!X50)</f>
        <v>0</v>
      </c>
      <c r="AD50" s="70" t="str">
        <f t="shared" si="13"/>
        <v/>
      </c>
      <c r="AE50" s="70" t="str">
        <f t="shared" si="14"/>
        <v/>
      </c>
      <c r="AF50" s="70" t="str">
        <f t="shared" si="15"/>
        <v/>
      </c>
      <c r="AG50" t="str">
        <f>IFERROR(MATCH(ROWS($AG$9:AG50),_EngineTrades!$AW$9:$AW$508,0)+8,"")</f>
        <v/>
      </c>
    </row>
    <row r="51" spans="1:33" ht="15" x14ac:dyDescent="0.25">
      <c r="A51" s="61" t="str">
        <f>IF($AG51="","",IFERROR(INDEX(_EngineTrades!$AU$9:$AU$508,MATCH($AG51,_EngineTrades!$AV$9:$AV$508,0)),""))</f>
        <v/>
      </c>
      <c r="B51" s="61" t="str">
        <f>IF($A51="","",INDEX(_EngineTrades!$B$9:$B$508,MATCH($AG51,_EngineTrades!$AV$9:$AV$508,0)))</f>
        <v/>
      </c>
      <c r="C51" s="61" t="str">
        <f>IF($A51="","",INDEX(_EngineTrades!$T$9:$T$508,MATCH($AG51,_EngineTrades!$AV$9:$AV$508,0)))</f>
        <v/>
      </c>
      <c r="D51" s="47" t="str">
        <f>IF($A51="","",INDEX(_EngineTrades!$C$9:$C$508,MATCH($AG51,_EngineTrades!$AV$9:$AV$508,0)))</f>
        <v/>
      </c>
      <c r="E51" s="62" t="str">
        <f>IF($A51="","",IF(IFERROR(LOOKUP(2,1/(_EngineTrades!$AU$9:$AU$508=$A51),_EngineTrades!$AR$9:$AR$508),FALSE),"Closed","Open"))</f>
        <v/>
      </c>
      <c r="F51" s="63" t="str">
        <f>IF($A51="","",INDEX(_EngineTrades!$E$9:$E$508,$AG51-8))</f>
        <v/>
      </c>
      <c r="G51" s="63" t="str">
        <f>IF(OR($A51="",$E51&lt;&gt;"Closed"),"",IFERROR(INDEX(_EngineTrades!$E$9:$E$508,SUMIFS(_EngineTrades!$AX$9:$AX$508,_EngineTrades!$AU$9:$AU$508,$A51)-8),""))</f>
        <v/>
      </c>
      <c r="H51" s="49" t="str">
        <f>IF($A51="","",ROUND(SUMIFS(_EngineTrades!$Y$9:$Y$508,_EngineTrades!$AU$9:$AU$508,$A51),4))</f>
        <v/>
      </c>
      <c r="I51" s="49" t="str">
        <f>IF($A51="","",ROUND(SUMIFS(_EngineTrades!$Z$9:$Z$508,_EngineTrades!$AU$9:$AU$508,$A51),4))</f>
        <v/>
      </c>
      <c r="J51" s="45" t="str">
        <f t="shared" si="8"/>
        <v/>
      </c>
      <c r="K51" s="49" t="str">
        <f>IF($A51="","",ROUND(SUMIFS(_EngineTrades!$AA$9:$AA$508,_EngineTrades!$AU$9:$AU$508,$A51),4))</f>
        <v/>
      </c>
      <c r="L51" s="49" t="str">
        <f>IF($A51="","",ROUND(SUMIFS(_EngineTrades!$AB$9:$AB$508,_EngineTrades!$AU$9:$AU$508,$A51),4))</f>
        <v/>
      </c>
      <c r="M51" s="49" t="str">
        <f>IF($A51="","",ROUND(SUMIFS(_EngineTrades!$AC$9:$AC$508,_EngineTrades!$AU$9:$AU$508,$A51),4))</f>
        <v/>
      </c>
      <c r="N51" s="49" t="str">
        <f>IF($A51="","",ROUND(SUMIFS(_EngineTrades!$AD$9:$AD$508,_EngineTrades!$AU$9:$AU$508,$A51),4))</f>
        <v/>
      </c>
      <c r="O51" s="45" t="str">
        <f t="shared" si="9"/>
        <v/>
      </c>
      <c r="P51" s="61">
        <f>IF(OR($A51="",$E51&lt;&gt;"Open"),0,IFERROR(LOOKUP(2,1/(_EngineTrades!$AU$9:$AU$508=$A51),_EngineTrades!$AM$9:$AM$508),0))</f>
        <v>0</v>
      </c>
      <c r="Q51" s="49" t="str">
        <f>IF(OR($A51="",$P51=0),"",ROUND(IFERROR(LOOKUP(2,1/(_EngineTrades!$AU$9:$AU$508=$A51),_EngineTrades!$AN$9:$AN$508),0)/$P51,4))</f>
        <v/>
      </c>
      <c r="R51" s="49">
        <f>IF(OR($A51="",$E51&lt;&gt;"Open"),0,IFERROR(LOOKUP(2,1/(_EngineTrades!$AU$9:$AU$508=$A51),_EngineTrades!$AO$9:$AO$508),0))</f>
        <v>0</v>
      </c>
      <c r="S51" s="49">
        <f>IF(OR($A51="",$E51&lt;&gt;"Open"),0,ROUND($R51+IFERROR(LOOKUP(2,1/(_EngineTrades!$AU$9:$AU$508=$A51),_EngineTrades!$AN$9:$AN$508),0),4))</f>
        <v>0</v>
      </c>
      <c r="T51" s="49" t="str">
        <f>IF($A51="","",ROUND(IFERROR(LOOKUP(2,1/(_EngineTrades!$AU$9:$AU$508=$A51),_EngineTrades!$AT$9:$AT$508),0),4))</f>
        <v/>
      </c>
      <c r="U51" s="49" t="str">
        <f t="shared" si="10"/>
        <v/>
      </c>
      <c r="V51" s="49" t="str">
        <f>IF(AND($A51&lt;&gt;"",$E51="Open",$P51+N(IFERROR(LOOKUP(2,1/(_EngineTrades!$AU$9:$AU$508=$A51),_EngineTrades!$AP$9:$AP$508),0))&gt;0),ROUND(($R51-$O51)/($P51+N(IFERROR(LOOKUP(2,1/(_EngineTrades!$AU$9:$AU$508=$A51),_EngineTrades!$AP$9:$AP$508),0))),4),"")</f>
        <v/>
      </c>
      <c r="W51" s="64" t="str">
        <f>IF($A51="","",MAX(1,IF($G51="",_EngineTrades!$E$3-$F51,$G51-$F51)))</f>
        <v/>
      </c>
      <c r="X51" s="65" t="str">
        <f t="shared" si="11"/>
        <v/>
      </c>
      <c r="Y51" s="65" t="str">
        <f t="shared" si="12"/>
        <v/>
      </c>
      <c r="Z51" s="44">
        <f>IF(Cycles!U51="",0,Cycles!U51)</f>
        <v>0</v>
      </c>
      <c r="AA51" s="44">
        <f>IF(Cycles!V51="",0,Cycles!V51)</f>
        <v>0</v>
      </c>
      <c r="AB51" s="44">
        <f>IF(Cycles!W51="",0,Cycles!W51)</f>
        <v>0</v>
      </c>
      <c r="AC51" s="44">
        <f>IF(Cycles!X51="",0,Cycles!X51)</f>
        <v>0</v>
      </c>
      <c r="AD51" s="49" t="str">
        <f t="shared" si="13"/>
        <v/>
      </c>
      <c r="AE51" s="49" t="str">
        <f t="shared" si="14"/>
        <v/>
      </c>
      <c r="AF51" s="49" t="str">
        <f t="shared" si="15"/>
        <v/>
      </c>
      <c r="AG51" t="str">
        <f>IFERROR(MATCH(ROWS($AG$9:AG51),_EngineTrades!$AW$9:$AW$508,0)+8,"")</f>
        <v/>
      </c>
    </row>
    <row r="52" spans="1:33" ht="15" x14ac:dyDescent="0.25">
      <c r="A52" s="66" t="str">
        <f>IF($AG52="","",IFERROR(INDEX(_EngineTrades!$AU$9:$AU$508,MATCH($AG52,_EngineTrades!$AV$9:$AV$508,0)),""))</f>
        <v/>
      </c>
      <c r="B52" s="66" t="str">
        <f>IF($A52="","",INDEX(_EngineTrades!$B$9:$B$508,MATCH($AG52,_EngineTrades!$AV$9:$AV$508,0)))</f>
        <v/>
      </c>
      <c r="C52" s="66" t="str">
        <f>IF($A52="","",INDEX(_EngineTrades!$T$9:$T$508,MATCH($AG52,_EngineTrades!$AV$9:$AV$508,0)))</f>
        <v/>
      </c>
      <c r="D52" s="67" t="str">
        <f>IF($A52="","",INDEX(_EngineTrades!$C$9:$C$508,MATCH($AG52,_EngineTrades!$AV$9:$AV$508,0)))</f>
        <v/>
      </c>
      <c r="E52" s="68" t="str">
        <f>IF($A52="","",IF(IFERROR(LOOKUP(2,1/(_EngineTrades!$AU$9:$AU$508=$A52),_EngineTrades!$AR$9:$AR$508),FALSE),"Closed","Open"))</f>
        <v/>
      </c>
      <c r="F52" s="69" t="str">
        <f>IF($A52="","",INDEX(_EngineTrades!$E$9:$E$508,$AG52-8))</f>
        <v/>
      </c>
      <c r="G52" s="69" t="str">
        <f>IF(OR($A52="",$E52&lt;&gt;"Closed"),"",IFERROR(INDEX(_EngineTrades!$E$9:$E$508,SUMIFS(_EngineTrades!$AX$9:$AX$508,_EngineTrades!$AU$9:$AU$508,$A52)-8),""))</f>
        <v/>
      </c>
      <c r="H52" s="70" t="str">
        <f>IF($A52="","",ROUND(SUMIFS(_EngineTrades!$Y$9:$Y$508,_EngineTrades!$AU$9:$AU$508,$A52),4))</f>
        <v/>
      </c>
      <c r="I52" s="70" t="str">
        <f>IF($A52="","",ROUND(SUMIFS(_EngineTrades!$Z$9:$Z$508,_EngineTrades!$AU$9:$AU$508,$A52),4))</f>
        <v/>
      </c>
      <c r="J52" s="71" t="str">
        <f t="shared" si="8"/>
        <v/>
      </c>
      <c r="K52" s="70" t="str">
        <f>IF($A52="","",ROUND(SUMIFS(_EngineTrades!$AA$9:$AA$508,_EngineTrades!$AU$9:$AU$508,$A52),4))</f>
        <v/>
      </c>
      <c r="L52" s="70" t="str">
        <f>IF($A52="","",ROUND(SUMIFS(_EngineTrades!$AB$9:$AB$508,_EngineTrades!$AU$9:$AU$508,$A52),4))</f>
        <v/>
      </c>
      <c r="M52" s="70" t="str">
        <f>IF($A52="","",ROUND(SUMIFS(_EngineTrades!$AC$9:$AC$508,_EngineTrades!$AU$9:$AU$508,$A52),4))</f>
        <v/>
      </c>
      <c r="N52" s="70" t="str">
        <f>IF($A52="","",ROUND(SUMIFS(_EngineTrades!$AD$9:$AD$508,_EngineTrades!$AU$9:$AU$508,$A52),4))</f>
        <v/>
      </c>
      <c r="O52" s="71" t="str">
        <f t="shared" si="9"/>
        <v/>
      </c>
      <c r="P52" s="66">
        <f>IF(OR($A52="",$E52&lt;&gt;"Open"),0,IFERROR(LOOKUP(2,1/(_EngineTrades!$AU$9:$AU$508=$A52),_EngineTrades!$AM$9:$AM$508),0))</f>
        <v>0</v>
      </c>
      <c r="Q52" s="70" t="str">
        <f>IF(OR($A52="",$P52=0),"",ROUND(IFERROR(LOOKUP(2,1/(_EngineTrades!$AU$9:$AU$508=$A52),_EngineTrades!$AN$9:$AN$508),0)/$P52,4))</f>
        <v/>
      </c>
      <c r="R52" s="70">
        <f>IF(OR($A52="",$E52&lt;&gt;"Open"),0,IFERROR(LOOKUP(2,1/(_EngineTrades!$AU$9:$AU$508=$A52),_EngineTrades!$AO$9:$AO$508),0))</f>
        <v>0</v>
      </c>
      <c r="S52" s="70">
        <f>IF(OR($A52="",$E52&lt;&gt;"Open"),0,ROUND($R52+IFERROR(LOOKUP(2,1/(_EngineTrades!$AU$9:$AU$508=$A52),_EngineTrades!$AN$9:$AN$508),0),4))</f>
        <v>0</v>
      </c>
      <c r="T52" s="70" t="str">
        <f>IF($A52="","",ROUND(IFERROR(LOOKUP(2,1/(_EngineTrades!$AU$9:$AU$508=$A52),_EngineTrades!$AT$9:$AT$508),0),4))</f>
        <v/>
      </c>
      <c r="U52" s="70" t="str">
        <f t="shared" si="10"/>
        <v/>
      </c>
      <c r="V52" s="70" t="str">
        <f>IF(AND($A52&lt;&gt;"",$E52="Open",$P52+N(IFERROR(LOOKUP(2,1/(_EngineTrades!$AU$9:$AU$508=$A52),_EngineTrades!$AP$9:$AP$508),0))&gt;0),ROUND(($R52-$O52)/($P52+N(IFERROR(LOOKUP(2,1/(_EngineTrades!$AU$9:$AU$508=$A52),_EngineTrades!$AP$9:$AP$508),0))),4),"")</f>
        <v/>
      </c>
      <c r="W52" s="72" t="str">
        <f>IF($A52="","",MAX(1,IF($G52="",_EngineTrades!$E$3-$F52,$G52-$F52)))</f>
        <v/>
      </c>
      <c r="X52" s="73" t="str">
        <f t="shared" si="11"/>
        <v/>
      </c>
      <c r="Y52" s="73" t="str">
        <f t="shared" si="12"/>
        <v/>
      </c>
      <c r="Z52" s="44">
        <f>IF(Cycles!U52="",0,Cycles!U52)</f>
        <v>0</v>
      </c>
      <c r="AA52" s="44">
        <f>IF(Cycles!V52="",0,Cycles!V52)</f>
        <v>0</v>
      </c>
      <c r="AB52" s="44">
        <f>IF(Cycles!W52="",0,Cycles!W52)</f>
        <v>0</v>
      </c>
      <c r="AC52" s="44">
        <f>IF(Cycles!X52="",0,Cycles!X52)</f>
        <v>0</v>
      </c>
      <c r="AD52" s="70" t="str">
        <f t="shared" si="13"/>
        <v/>
      </c>
      <c r="AE52" s="70" t="str">
        <f t="shared" si="14"/>
        <v/>
      </c>
      <c r="AF52" s="70" t="str">
        <f t="shared" si="15"/>
        <v/>
      </c>
      <c r="AG52" t="str">
        <f>IFERROR(MATCH(ROWS($AG$9:AG52),_EngineTrades!$AW$9:$AW$508,0)+8,"")</f>
        <v/>
      </c>
    </row>
    <row r="53" spans="1:33" ht="15" x14ac:dyDescent="0.25">
      <c r="A53" s="61" t="str">
        <f>IF($AG53="","",IFERROR(INDEX(_EngineTrades!$AU$9:$AU$508,MATCH($AG53,_EngineTrades!$AV$9:$AV$508,0)),""))</f>
        <v/>
      </c>
      <c r="B53" s="61" t="str">
        <f>IF($A53="","",INDEX(_EngineTrades!$B$9:$B$508,MATCH($AG53,_EngineTrades!$AV$9:$AV$508,0)))</f>
        <v/>
      </c>
      <c r="C53" s="61" t="str">
        <f>IF($A53="","",INDEX(_EngineTrades!$T$9:$T$508,MATCH($AG53,_EngineTrades!$AV$9:$AV$508,0)))</f>
        <v/>
      </c>
      <c r="D53" s="47" t="str">
        <f>IF($A53="","",INDEX(_EngineTrades!$C$9:$C$508,MATCH($AG53,_EngineTrades!$AV$9:$AV$508,0)))</f>
        <v/>
      </c>
      <c r="E53" s="62" t="str">
        <f>IF($A53="","",IF(IFERROR(LOOKUP(2,1/(_EngineTrades!$AU$9:$AU$508=$A53),_EngineTrades!$AR$9:$AR$508),FALSE),"Closed","Open"))</f>
        <v/>
      </c>
      <c r="F53" s="63" t="str">
        <f>IF($A53="","",INDEX(_EngineTrades!$E$9:$E$508,$AG53-8))</f>
        <v/>
      </c>
      <c r="G53" s="63" t="str">
        <f>IF(OR($A53="",$E53&lt;&gt;"Closed"),"",IFERROR(INDEX(_EngineTrades!$E$9:$E$508,SUMIFS(_EngineTrades!$AX$9:$AX$508,_EngineTrades!$AU$9:$AU$508,$A53)-8),""))</f>
        <v/>
      </c>
      <c r="H53" s="49" t="str">
        <f>IF($A53="","",ROUND(SUMIFS(_EngineTrades!$Y$9:$Y$508,_EngineTrades!$AU$9:$AU$508,$A53),4))</f>
        <v/>
      </c>
      <c r="I53" s="49" t="str">
        <f>IF($A53="","",ROUND(SUMIFS(_EngineTrades!$Z$9:$Z$508,_EngineTrades!$AU$9:$AU$508,$A53),4))</f>
        <v/>
      </c>
      <c r="J53" s="45" t="str">
        <f t="shared" si="8"/>
        <v/>
      </c>
      <c r="K53" s="49" t="str">
        <f>IF($A53="","",ROUND(SUMIFS(_EngineTrades!$AA$9:$AA$508,_EngineTrades!$AU$9:$AU$508,$A53),4))</f>
        <v/>
      </c>
      <c r="L53" s="49" t="str">
        <f>IF($A53="","",ROUND(SUMIFS(_EngineTrades!$AB$9:$AB$508,_EngineTrades!$AU$9:$AU$508,$A53),4))</f>
        <v/>
      </c>
      <c r="M53" s="49" t="str">
        <f>IF($A53="","",ROUND(SUMIFS(_EngineTrades!$AC$9:$AC$508,_EngineTrades!$AU$9:$AU$508,$A53),4))</f>
        <v/>
      </c>
      <c r="N53" s="49" t="str">
        <f>IF($A53="","",ROUND(SUMIFS(_EngineTrades!$AD$9:$AD$508,_EngineTrades!$AU$9:$AU$508,$A53),4))</f>
        <v/>
      </c>
      <c r="O53" s="45" t="str">
        <f t="shared" si="9"/>
        <v/>
      </c>
      <c r="P53" s="61">
        <f>IF(OR($A53="",$E53&lt;&gt;"Open"),0,IFERROR(LOOKUP(2,1/(_EngineTrades!$AU$9:$AU$508=$A53),_EngineTrades!$AM$9:$AM$508),0))</f>
        <v>0</v>
      </c>
      <c r="Q53" s="49" t="str">
        <f>IF(OR($A53="",$P53=0),"",ROUND(IFERROR(LOOKUP(2,1/(_EngineTrades!$AU$9:$AU$508=$A53),_EngineTrades!$AN$9:$AN$508),0)/$P53,4))</f>
        <v/>
      </c>
      <c r="R53" s="49">
        <f>IF(OR($A53="",$E53&lt;&gt;"Open"),0,IFERROR(LOOKUP(2,1/(_EngineTrades!$AU$9:$AU$508=$A53),_EngineTrades!$AO$9:$AO$508),0))</f>
        <v>0</v>
      </c>
      <c r="S53" s="49">
        <f>IF(OR($A53="",$E53&lt;&gt;"Open"),0,ROUND($R53+IFERROR(LOOKUP(2,1/(_EngineTrades!$AU$9:$AU$508=$A53),_EngineTrades!$AN$9:$AN$508),0),4))</f>
        <v>0</v>
      </c>
      <c r="T53" s="49" t="str">
        <f>IF($A53="","",ROUND(IFERROR(LOOKUP(2,1/(_EngineTrades!$AU$9:$AU$508=$A53),_EngineTrades!$AT$9:$AT$508),0),4))</f>
        <v/>
      </c>
      <c r="U53" s="49" t="str">
        <f t="shared" si="10"/>
        <v/>
      </c>
      <c r="V53" s="49" t="str">
        <f>IF(AND($A53&lt;&gt;"",$E53="Open",$P53+N(IFERROR(LOOKUP(2,1/(_EngineTrades!$AU$9:$AU$508=$A53),_EngineTrades!$AP$9:$AP$508),0))&gt;0),ROUND(($R53-$O53)/($P53+N(IFERROR(LOOKUP(2,1/(_EngineTrades!$AU$9:$AU$508=$A53),_EngineTrades!$AP$9:$AP$508),0))),4),"")</f>
        <v/>
      </c>
      <c r="W53" s="64" t="str">
        <f>IF($A53="","",MAX(1,IF($G53="",_EngineTrades!$E$3-$F53,$G53-$F53)))</f>
        <v/>
      </c>
      <c r="X53" s="65" t="str">
        <f t="shared" si="11"/>
        <v/>
      </c>
      <c r="Y53" s="65" t="str">
        <f t="shared" si="12"/>
        <v/>
      </c>
      <c r="Z53" s="44">
        <f>IF(Cycles!U53="",0,Cycles!U53)</f>
        <v>0</v>
      </c>
      <c r="AA53" s="44">
        <f>IF(Cycles!V53="",0,Cycles!V53)</f>
        <v>0</v>
      </c>
      <c r="AB53" s="44">
        <f>IF(Cycles!W53="",0,Cycles!W53)</f>
        <v>0</v>
      </c>
      <c r="AC53" s="44">
        <f>IF(Cycles!X53="",0,Cycles!X53)</f>
        <v>0</v>
      </c>
      <c r="AD53" s="49" t="str">
        <f t="shared" si="13"/>
        <v/>
      </c>
      <c r="AE53" s="49" t="str">
        <f t="shared" si="14"/>
        <v/>
      </c>
      <c r="AF53" s="49" t="str">
        <f t="shared" si="15"/>
        <v/>
      </c>
      <c r="AG53" t="str">
        <f>IFERROR(MATCH(ROWS($AG$9:AG53),_EngineTrades!$AW$9:$AW$508,0)+8,"")</f>
        <v/>
      </c>
    </row>
    <row r="54" spans="1:33" ht="15" x14ac:dyDescent="0.25">
      <c r="A54" s="66" t="str">
        <f>IF($AG54="","",IFERROR(INDEX(_EngineTrades!$AU$9:$AU$508,MATCH($AG54,_EngineTrades!$AV$9:$AV$508,0)),""))</f>
        <v/>
      </c>
      <c r="B54" s="66" t="str">
        <f>IF($A54="","",INDEX(_EngineTrades!$B$9:$B$508,MATCH($AG54,_EngineTrades!$AV$9:$AV$508,0)))</f>
        <v/>
      </c>
      <c r="C54" s="66" t="str">
        <f>IF($A54="","",INDEX(_EngineTrades!$T$9:$T$508,MATCH($AG54,_EngineTrades!$AV$9:$AV$508,0)))</f>
        <v/>
      </c>
      <c r="D54" s="67" t="str">
        <f>IF($A54="","",INDEX(_EngineTrades!$C$9:$C$508,MATCH($AG54,_EngineTrades!$AV$9:$AV$508,0)))</f>
        <v/>
      </c>
      <c r="E54" s="68" t="str">
        <f>IF($A54="","",IF(IFERROR(LOOKUP(2,1/(_EngineTrades!$AU$9:$AU$508=$A54),_EngineTrades!$AR$9:$AR$508),FALSE),"Closed","Open"))</f>
        <v/>
      </c>
      <c r="F54" s="69" t="str">
        <f>IF($A54="","",INDEX(_EngineTrades!$E$9:$E$508,$AG54-8))</f>
        <v/>
      </c>
      <c r="G54" s="69" t="str">
        <f>IF(OR($A54="",$E54&lt;&gt;"Closed"),"",IFERROR(INDEX(_EngineTrades!$E$9:$E$508,SUMIFS(_EngineTrades!$AX$9:$AX$508,_EngineTrades!$AU$9:$AU$508,$A54)-8),""))</f>
        <v/>
      </c>
      <c r="H54" s="70" t="str">
        <f>IF($A54="","",ROUND(SUMIFS(_EngineTrades!$Y$9:$Y$508,_EngineTrades!$AU$9:$AU$508,$A54),4))</f>
        <v/>
      </c>
      <c r="I54" s="70" t="str">
        <f>IF($A54="","",ROUND(SUMIFS(_EngineTrades!$Z$9:$Z$508,_EngineTrades!$AU$9:$AU$508,$A54),4))</f>
        <v/>
      </c>
      <c r="J54" s="71" t="str">
        <f t="shared" si="8"/>
        <v/>
      </c>
      <c r="K54" s="70" t="str">
        <f>IF($A54="","",ROUND(SUMIFS(_EngineTrades!$AA$9:$AA$508,_EngineTrades!$AU$9:$AU$508,$A54),4))</f>
        <v/>
      </c>
      <c r="L54" s="70" t="str">
        <f>IF($A54="","",ROUND(SUMIFS(_EngineTrades!$AB$9:$AB$508,_EngineTrades!$AU$9:$AU$508,$A54),4))</f>
        <v/>
      </c>
      <c r="M54" s="70" t="str">
        <f>IF($A54="","",ROUND(SUMIFS(_EngineTrades!$AC$9:$AC$508,_EngineTrades!$AU$9:$AU$508,$A54),4))</f>
        <v/>
      </c>
      <c r="N54" s="70" t="str">
        <f>IF($A54="","",ROUND(SUMIFS(_EngineTrades!$AD$9:$AD$508,_EngineTrades!$AU$9:$AU$508,$A54),4))</f>
        <v/>
      </c>
      <c r="O54" s="71" t="str">
        <f t="shared" si="9"/>
        <v/>
      </c>
      <c r="P54" s="66">
        <f>IF(OR($A54="",$E54&lt;&gt;"Open"),0,IFERROR(LOOKUP(2,1/(_EngineTrades!$AU$9:$AU$508=$A54),_EngineTrades!$AM$9:$AM$508),0))</f>
        <v>0</v>
      </c>
      <c r="Q54" s="70" t="str">
        <f>IF(OR($A54="",$P54=0),"",ROUND(IFERROR(LOOKUP(2,1/(_EngineTrades!$AU$9:$AU$508=$A54),_EngineTrades!$AN$9:$AN$508),0)/$P54,4))</f>
        <v/>
      </c>
      <c r="R54" s="70">
        <f>IF(OR($A54="",$E54&lt;&gt;"Open"),0,IFERROR(LOOKUP(2,1/(_EngineTrades!$AU$9:$AU$508=$A54),_EngineTrades!$AO$9:$AO$508),0))</f>
        <v>0</v>
      </c>
      <c r="S54" s="70">
        <f>IF(OR($A54="",$E54&lt;&gt;"Open"),0,ROUND($R54+IFERROR(LOOKUP(2,1/(_EngineTrades!$AU$9:$AU$508=$A54),_EngineTrades!$AN$9:$AN$508),0),4))</f>
        <v>0</v>
      </c>
      <c r="T54" s="70" t="str">
        <f>IF($A54="","",ROUND(IFERROR(LOOKUP(2,1/(_EngineTrades!$AU$9:$AU$508=$A54),_EngineTrades!$AT$9:$AT$508),0),4))</f>
        <v/>
      </c>
      <c r="U54" s="70" t="str">
        <f t="shared" si="10"/>
        <v/>
      </c>
      <c r="V54" s="70" t="str">
        <f>IF(AND($A54&lt;&gt;"",$E54="Open",$P54+N(IFERROR(LOOKUP(2,1/(_EngineTrades!$AU$9:$AU$508=$A54),_EngineTrades!$AP$9:$AP$508),0))&gt;0),ROUND(($R54-$O54)/($P54+N(IFERROR(LOOKUP(2,1/(_EngineTrades!$AU$9:$AU$508=$A54),_EngineTrades!$AP$9:$AP$508),0))),4),"")</f>
        <v/>
      </c>
      <c r="W54" s="72" t="str">
        <f>IF($A54="","",MAX(1,IF($G54="",_EngineTrades!$E$3-$F54,$G54-$F54)))</f>
        <v/>
      </c>
      <c r="X54" s="73" t="str">
        <f t="shared" si="11"/>
        <v/>
      </c>
      <c r="Y54" s="73" t="str">
        <f t="shared" si="12"/>
        <v/>
      </c>
      <c r="Z54" s="44">
        <f>IF(Cycles!U54="",0,Cycles!U54)</f>
        <v>0</v>
      </c>
      <c r="AA54" s="44">
        <f>IF(Cycles!V54="",0,Cycles!V54)</f>
        <v>0</v>
      </c>
      <c r="AB54" s="44">
        <f>IF(Cycles!W54="",0,Cycles!W54)</f>
        <v>0</v>
      </c>
      <c r="AC54" s="44">
        <f>IF(Cycles!X54="",0,Cycles!X54)</f>
        <v>0</v>
      </c>
      <c r="AD54" s="70" t="str">
        <f t="shared" si="13"/>
        <v/>
      </c>
      <c r="AE54" s="70" t="str">
        <f t="shared" si="14"/>
        <v/>
      </c>
      <c r="AF54" s="70" t="str">
        <f t="shared" si="15"/>
        <v/>
      </c>
      <c r="AG54" t="str">
        <f>IFERROR(MATCH(ROWS($AG$9:AG54),_EngineTrades!$AW$9:$AW$508,0)+8,"")</f>
        <v/>
      </c>
    </row>
    <row r="55" spans="1:33" ht="15" x14ac:dyDescent="0.25">
      <c r="A55" s="61" t="str">
        <f>IF($AG55="","",IFERROR(INDEX(_EngineTrades!$AU$9:$AU$508,MATCH($AG55,_EngineTrades!$AV$9:$AV$508,0)),""))</f>
        <v/>
      </c>
      <c r="B55" s="61" t="str">
        <f>IF($A55="","",INDEX(_EngineTrades!$B$9:$B$508,MATCH($AG55,_EngineTrades!$AV$9:$AV$508,0)))</f>
        <v/>
      </c>
      <c r="C55" s="61" t="str">
        <f>IF($A55="","",INDEX(_EngineTrades!$T$9:$T$508,MATCH($AG55,_EngineTrades!$AV$9:$AV$508,0)))</f>
        <v/>
      </c>
      <c r="D55" s="47" t="str">
        <f>IF($A55="","",INDEX(_EngineTrades!$C$9:$C$508,MATCH($AG55,_EngineTrades!$AV$9:$AV$508,0)))</f>
        <v/>
      </c>
      <c r="E55" s="62" t="str">
        <f>IF($A55="","",IF(IFERROR(LOOKUP(2,1/(_EngineTrades!$AU$9:$AU$508=$A55),_EngineTrades!$AR$9:$AR$508),FALSE),"Closed","Open"))</f>
        <v/>
      </c>
      <c r="F55" s="63" t="str">
        <f>IF($A55="","",INDEX(_EngineTrades!$E$9:$E$508,$AG55-8))</f>
        <v/>
      </c>
      <c r="G55" s="63" t="str">
        <f>IF(OR($A55="",$E55&lt;&gt;"Closed"),"",IFERROR(INDEX(_EngineTrades!$E$9:$E$508,SUMIFS(_EngineTrades!$AX$9:$AX$508,_EngineTrades!$AU$9:$AU$508,$A55)-8),""))</f>
        <v/>
      </c>
      <c r="H55" s="49" t="str">
        <f>IF($A55="","",ROUND(SUMIFS(_EngineTrades!$Y$9:$Y$508,_EngineTrades!$AU$9:$AU$508,$A55),4))</f>
        <v/>
      </c>
      <c r="I55" s="49" t="str">
        <f>IF($A55="","",ROUND(SUMIFS(_EngineTrades!$Z$9:$Z$508,_EngineTrades!$AU$9:$AU$508,$A55),4))</f>
        <v/>
      </c>
      <c r="J55" s="45" t="str">
        <f t="shared" si="8"/>
        <v/>
      </c>
      <c r="K55" s="49" t="str">
        <f>IF($A55="","",ROUND(SUMIFS(_EngineTrades!$AA$9:$AA$508,_EngineTrades!$AU$9:$AU$508,$A55),4))</f>
        <v/>
      </c>
      <c r="L55" s="49" t="str">
        <f>IF($A55="","",ROUND(SUMIFS(_EngineTrades!$AB$9:$AB$508,_EngineTrades!$AU$9:$AU$508,$A55),4))</f>
        <v/>
      </c>
      <c r="M55" s="49" t="str">
        <f>IF($A55="","",ROUND(SUMIFS(_EngineTrades!$AC$9:$AC$508,_EngineTrades!$AU$9:$AU$508,$A55),4))</f>
        <v/>
      </c>
      <c r="N55" s="49" t="str">
        <f>IF($A55="","",ROUND(SUMIFS(_EngineTrades!$AD$9:$AD$508,_EngineTrades!$AU$9:$AU$508,$A55),4))</f>
        <v/>
      </c>
      <c r="O55" s="45" t="str">
        <f t="shared" si="9"/>
        <v/>
      </c>
      <c r="P55" s="61">
        <f>IF(OR($A55="",$E55&lt;&gt;"Open"),0,IFERROR(LOOKUP(2,1/(_EngineTrades!$AU$9:$AU$508=$A55),_EngineTrades!$AM$9:$AM$508),0))</f>
        <v>0</v>
      </c>
      <c r="Q55" s="49" t="str">
        <f>IF(OR($A55="",$P55=0),"",ROUND(IFERROR(LOOKUP(2,1/(_EngineTrades!$AU$9:$AU$508=$A55),_EngineTrades!$AN$9:$AN$508),0)/$P55,4))</f>
        <v/>
      </c>
      <c r="R55" s="49">
        <f>IF(OR($A55="",$E55&lt;&gt;"Open"),0,IFERROR(LOOKUP(2,1/(_EngineTrades!$AU$9:$AU$508=$A55),_EngineTrades!$AO$9:$AO$508),0))</f>
        <v>0</v>
      </c>
      <c r="S55" s="49">
        <f>IF(OR($A55="",$E55&lt;&gt;"Open"),0,ROUND($R55+IFERROR(LOOKUP(2,1/(_EngineTrades!$AU$9:$AU$508=$A55),_EngineTrades!$AN$9:$AN$508),0),4))</f>
        <v>0</v>
      </c>
      <c r="T55" s="49" t="str">
        <f>IF($A55="","",ROUND(IFERROR(LOOKUP(2,1/(_EngineTrades!$AU$9:$AU$508=$A55),_EngineTrades!$AT$9:$AT$508),0),4))</f>
        <v/>
      </c>
      <c r="U55" s="49" t="str">
        <f t="shared" si="10"/>
        <v/>
      </c>
      <c r="V55" s="49" t="str">
        <f>IF(AND($A55&lt;&gt;"",$E55="Open",$P55+N(IFERROR(LOOKUP(2,1/(_EngineTrades!$AU$9:$AU$508=$A55),_EngineTrades!$AP$9:$AP$508),0))&gt;0),ROUND(($R55-$O55)/($P55+N(IFERROR(LOOKUP(2,1/(_EngineTrades!$AU$9:$AU$508=$A55),_EngineTrades!$AP$9:$AP$508),0))),4),"")</f>
        <v/>
      </c>
      <c r="W55" s="64" t="str">
        <f>IF($A55="","",MAX(1,IF($G55="",_EngineTrades!$E$3-$F55,$G55-$F55)))</f>
        <v/>
      </c>
      <c r="X55" s="65" t="str">
        <f t="shared" si="11"/>
        <v/>
      </c>
      <c r="Y55" s="65" t="str">
        <f t="shared" si="12"/>
        <v/>
      </c>
      <c r="Z55" s="44">
        <f>IF(Cycles!U55="",0,Cycles!U55)</f>
        <v>0</v>
      </c>
      <c r="AA55" s="44">
        <f>IF(Cycles!V55="",0,Cycles!V55)</f>
        <v>0</v>
      </c>
      <c r="AB55" s="44">
        <f>IF(Cycles!W55="",0,Cycles!W55)</f>
        <v>0</v>
      </c>
      <c r="AC55" s="44">
        <f>IF(Cycles!X55="",0,Cycles!X55)</f>
        <v>0</v>
      </c>
      <c r="AD55" s="49" t="str">
        <f t="shared" si="13"/>
        <v/>
      </c>
      <c r="AE55" s="49" t="str">
        <f t="shared" si="14"/>
        <v/>
      </c>
      <c r="AF55" s="49" t="str">
        <f t="shared" si="15"/>
        <v/>
      </c>
      <c r="AG55" t="str">
        <f>IFERROR(MATCH(ROWS($AG$9:AG55),_EngineTrades!$AW$9:$AW$508,0)+8,"")</f>
        <v/>
      </c>
    </row>
    <row r="56" spans="1:33" ht="15" x14ac:dyDescent="0.25">
      <c r="A56" s="66" t="str">
        <f>IF($AG56="","",IFERROR(INDEX(_EngineTrades!$AU$9:$AU$508,MATCH($AG56,_EngineTrades!$AV$9:$AV$508,0)),""))</f>
        <v/>
      </c>
      <c r="B56" s="66" t="str">
        <f>IF($A56="","",INDEX(_EngineTrades!$B$9:$B$508,MATCH($AG56,_EngineTrades!$AV$9:$AV$508,0)))</f>
        <v/>
      </c>
      <c r="C56" s="66" t="str">
        <f>IF($A56="","",INDEX(_EngineTrades!$T$9:$T$508,MATCH($AG56,_EngineTrades!$AV$9:$AV$508,0)))</f>
        <v/>
      </c>
      <c r="D56" s="67" t="str">
        <f>IF($A56="","",INDEX(_EngineTrades!$C$9:$C$508,MATCH($AG56,_EngineTrades!$AV$9:$AV$508,0)))</f>
        <v/>
      </c>
      <c r="E56" s="68" t="str">
        <f>IF($A56="","",IF(IFERROR(LOOKUP(2,1/(_EngineTrades!$AU$9:$AU$508=$A56),_EngineTrades!$AR$9:$AR$508),FALSE),"Closed","Open"))</f>
        <v/>
      </c>
      <c r="F56" s="69" t="str">
        <f>IF($A56="","",INDEX(_EngineTrades!$E$9:$E$508,$AG56-8))</f>
        <v/>
      </c>
      <c r="G56" s="69" t="str">
        <f>IF(OR($A56="",$E56&lt;&gt;"Closed"),"",IFERROR(INDEX(_EngineTrades!$E$9:$E$508,SUMIFS(_EngineTrades!$AX$9:$AX$508,_EngineTrades!$AU$9:$AU$508,$A56)-8),""))</f>
        <v/>
      </c>
      <c r="H56" s="70" t="str">
        <f>IF($A56="","",ROUND(SUMIFS(_EngineTrades!$Y$9:$Y$508,_EngineTrades!$AU$9:$AU$508,$A56),4))</f>
        <v/>
      </c>
      <c r="I56" s="70" t="str">
        <f>IF($A56="","",ROUND(SUMIFS(_EngineTrades!$Z$9:$Z$508,_EngineTrades!$AU$9:$AU$508,$A56),4))</f>
        <v/>
      </c>
      <c r="J56" s="71" t="str">
        <f t="shared" si="8"/>
        <v/>
      </c>
      <c r="K56" s="70" t="str">
        <f>IF($A56="","",ROUND(SUMIFS(_EngineTrades!$AA$9:$AA$508,_EngineTrades!$AU$9:$AU$508,$A56),4))</f>
        <v/>
      </c>
      <c r="L56" s="70" t="str">
        <f>IF($A56="","",ROUND(SUMIFS(_EngineTrades!$AB$9:$AB$508,_EngineTrades!$AU$9:$AU$508,$A56),4))</f>
        <v/>
      </c>
      <c r="M56" s="70" t="str">
        <f>IF($A56="","",ROUND(SUMIFS(_EngineTrades!$AC$9:$AC$508,_EngineTrades!$AU$9:$AU$508,$A56),4))</f>
        <v/>
      </c>
      <c r="N56" s="70" t="str">
        <f>IF($A56="","",ROUND(SUMIFS(_EngineTrades!$AD$9:$AD$508,_EngineTrades!$AU$9:$AU$508,$A56),4))</f>
        <v/>
      </c>
      <c r="O56" s="71" t="str">
        <f t="shared" si="9"/>
        <v/>
      </c>
      <c r="P56" s="66">
        <f>IF(OR($A56="",$E56&lt;&gt;"Open"),0,IFERROR(LOOKUP(2,1/(_EngineTrades!$AU$9:$AU$508=$A56),_EngineTrades!$AM$9:$AM$508),0))</f>
        <v>0</v>
      </c>
      <c r="Q56" s="70" t="str">
        <f>IF(OR($A56="",$P56=0),"",ROUND(IFERROR(LOOKUP(2,1/(_EngineTrades!$AU$9:$AU$508=$A56),_EngineTrades!$AN$9:$AN$508),0)/$P56,4))</f>
        <v/>
      </c>
      <c r="R56" s="70">
        <f>IF(OR($A56="",$E56&lt;&gt;"Open"),0,IFERROR(LOOKUP(2,1/(_EngineTrades!$AU$9:$AU$508=$A56),_EngineTrades!$AO$9:$AO$508),0))</f>
        <v>0</v>
      </c>
      <c r="S56" s="70">
        <f>IF(OR($A56="",$E56&lt;&gt;"Open"),0,ROUND($R56+IFERROR(LOOKUP(2,1/(_EngineTrades!$AU$9:$AU$508=$A56),_EngineTrades!$AN$9:$AN$508),0),4))</f>
        <v>0</v>
      </c>
      <c r="T56" s="70" t="str">
        <f>IF($A56="","",ROUND(IFERROR(LOOKUP(2,1/(_EngineTrades!$AU$9:$AU$508=$A56),_EngineTrades!$AT$9:$AT$508),0),4))</f>
        <v/>
      </c>
      <c r="U56" s="70" t="str">
        <f t="shared" si="10"/>
        <v/>
      </c>
      <c r="V56" s="70" t="str">
        <f>IF(AND($A56&lt;&gt;"",$E56="Open",$P56+N(IFERROR(LOOKUP(2,1/(_EngineTrades!$AU$9:$AU$508=$A56),_EngineTrades!$AP$9:$AP$508),0))&gt;0),ROUND(($R56-$O56)/($P56+N(IFERROR(LOOKUP(2,1/(_EngineTrades!$AU$9:$AU$508=$A56),_EngineTrades!$AP$9:$AP$508),0))),4),"")</f>
        <v/>
      </c>
      <c r="W56" s="72" t="str">
        <f>IF($A56="","",MAX(1,IF($G56="",_EngineTrades!$E$3-$F56,$G56-$F56)))</f>
        <v/>
      </c>
      <c r="X56" s="73" t="str">
        <f t="shared" si="11"/>
        <v/>
      </c>
      <c r="Y56" s="73" t="str">
        <f t="shared" si="12"/>
        <v/>
      </c>
      <c r="Z56" s="44">
        <f>IF(Cycles!U56="",0,Cycles!U56)</f>
        <v>0</v>
      </c>
      <c r="AA56" s="44">
        <f>IF(Cycles!V56="",0,Cycles!V56)</f>
        <v>0</v>
      </c>
      <c r="AB56" s="44">
        <f>IF(Cycles!W56="",0,Cycles!W56)</f>
        <v>0</v>
      </c>
      <c r="AC56" s="44">
        <f>IF(Cycles!X56="",0,Cycles!X56)</f>
        <v>0</v>
      </c>
      <c r="AD56" s="70" t="str">
        <f t="shared" si="13"/>
        <v/>
      </c>
      <c r="AE56" s="70" t="str">
        <f t="shared" si="14"/>
        <v/>
      </c>
      <c r="AF56" s="70" t="str">
        <f t="shared" si="15"/>
        <v/>
      </c>
      <c r="AG56" t="str">
        <f>IFERROR(MATCH(ROWS($AG$9:AG56),_EngineTrades!$AW$9:$AW$508,0)+8,"")</f>
        <v/>
      </c>
    </row>
    <row r="57" spans="1:33" ht="15" x14ac:dyDescent="0.25">
      <c r="A57" s="61" t="str">
        <f>IF($AG57="","",IFERROR(INDEX(_EngineTrades!$AU$9:$AU$508,MATCH($AG57,_EngineTrades!$AV$9:$AV$508,0)),""))</f>
        <v/>
      </c>
      <c r="B57" s="61" t="str">
        <f>IF($A57="","",INDEX(_EngineTrades!$B$9:$B$508,MATCH($AG57,_EngineTrades!$AV$9:$AV$508,0)))</f>
        <v/>
      </c>
      <c r="C57" s="61" t="str">
        <f>IF($A57="","",INDEX(_EngineTrades!$T$9:$T$508,MATCH($AG57,_EngineTrades!$AV$9:$AV$508,0)))</f>
        <v/>
      </c>
      <c r="D57" s="47" t="str">
        <f>IF($A57="","",INDEX(_EngineTrades!$C$9:$C$508,MATCH($AG57,_EngineTrades!$AV$9:$AV$508,0)))</f>
        <v/>
      </c>
      <c r="E57" s="62" t="str">
        <f>IF($A57="","",IF(IFERROR(LOOKUP(2,1/(_EngineTrades!$AU$9:$AU$508=$A57),_EngineTrades!$AR$9:$AR$508),FALSE),"Closed","Open"))</f>
        <v/>
      </c>
      <c r="F57" s="63" t="str">
        <f>IF($A57="","",INDEX(_EngineTrades!$E$9:$E$508,$AG57-8))</f>
        <v/>
      </c>
      <c r="G57" s="63" t="str">
        <f>IF(OR($A57="",$E57&lt;&gt;"Closed"),"",IFERROR(INDEX(_EngineTrades!$E$9:$E$508,SUMIFS(_EngineTrades!$AX$9:$AX$508,_EngineTrades!$AU$9:$AU$508,$A57)-8),""))</f>
        <v/>
      </c>
      <c r="H57" s="49" t="str">
        <f>IF($A57="","",ROUND(SUMIFS(_EngineTrades!$Y$9:$Y$508,_EngineTrades!$AU$9:$AU$508,$A57),4))</f>
        <v/>
      </c>
      <c r="I57" s="49" t="str">
        <f>IF($A57="","",ROUND(SUMIFS(_EngineTrades!$Z$9:$Z$508,_EngineTrades!$AU$9:$AU$508,$A57),4))</f>
        <v/>
      </c>
      <c r="J57" s="45" t="str">
        <f t="shared" si="8"/>
        <v/>
      </c>
      <c r="K57" s="49" t="str">
        <f>IF($A57="","",ROUND(SUMIFS(_EngineTrades!$AA$9:$AA$508,_EngineTrades!$AU$9:$AU$508,$A57),4))</f>
        <v/>
      </c>
      <c r="L57" s="49" t="str">
        <f>IF($A57="","",ROUND(SUMIFS(_EngineTrades!$AB$9:$AB$508,_EngineTrades!$AU$9:$AU$508,$A57),4))</f>
        <v/>
      </c>
      <c r="M57" s="49" t="str">
        <f>IF($A57="","",ROUND(SUMIFS(_EngineTrades!$AC$9:$AC$508,_EngineTrades!$AU$9:$AU$508,$A57),4))</f>
        <v/>
      </c>
      <c r="N57" s="49" t="str">
        <f>IF($A57="","",ROUND(SUMIFS(_EngineTrades!$AD$9:$AD$508,_EngineTrades!$AU$9:$AU$508,$A57),4))</f>
        <v/>
      </c>
      <c r="O57" s="45" t="str">
        <f t="shared" si="9"/>
        <v/>
      </c>
      <c r="P57" s="61">
        <f>IF(OR($A57="",$E57&lt;&gt;"Open"),0,IFERROR(LOOKUP(2,1/(_EngineTrades!$AU$9:$AU$508=$A57),_EngineTrades!$AM$9:$AM$508),0))</f>
        <v>0</v>
      </c>
      <c r="Q57" s="49" t="str">
        <f>IF(OR($A57="",$P57=0),"",ROUND(IFERROR(LOOKUP(2,1/(_EngineTrades!$AU$9:$AU$508=$A57),_EngineTrades!$AN$9:$AN$508),0)/$P57,4))</f>
        <v/>
      </c>
      <c r="R57" s="49">
        <f>IF(OR($A57="",$E57&lt;&gt;"Open"),0,IFERROR(LOOKUP(2,1/(_EngineTrades!$AU$9:$AU$508=$A57),_EngineTrades!$AO$9:$AO$508),0))</f>
        <v>0</v>
      </c>
      <c r="S57" s="49">
        <f>IF(OR($A57="",$E57&lt;&gt;"Open"),0,ROUND($R57+IFERROR(LOOKUP(2,1/(_EngineTrades!$AU$9:$AU$508=$A57),_EngineTrades!$AN$9:$AN$508),0),4))</f>
        <v>0</v>
      </c>
      <c r="T57" s="49" t="str">
        <f>IF($A57="","",ROUND(IFERROR(LOOKUP(2,1/(_EngineTrades!$AU$9:$AU$508=$A57),_EngineTrades!$AT$9:$AT$508),0),4))</f>
        <v/>
      </c>
      <c r="U57" s="49" t="str">
        <f t="shared" si="10"/>
        <v/>
      </c>
      <c r="V57" s="49" t="str">
        <f>IF(AND($A57&lt;&gt;"",$E57="Open",$P57+N(IFERROR(LOOKUP(2,1/(_EngineTrades!$AU$9:$AU$508=$A57),_EngineTrades!$AP$9:$AP$508),0))&gt;0),ROUND(($R57-$O57)/($P57+N(IFERROR(LOOKUP(2,1/(_EngineTrades!$AU$9:$AU$508=$A57),_EngineTrades!$AP$9:$AP$508),0))),4),"")</f>
        <v/>
      </c>
      <c r="W57" s="64" t="str">
        <f>IF($A57="","",MAX(1,IF($G57="",_EngineTrades!$E$3-$F57,$G57-$F57)))</f>
        <v/>
      </c>
      <c r="X57" s="65" t="str">
        <f t="shared" si="11"/>
        <v/>
      </c>
      <c r="Y57" s="65" t="str">
        <f t="shared" si="12"/>
        <v/>
      </c>
      <c r="Z57" s="44">
        <f>IF(Cycles!U57="",0,Cycles!U57)</f>
        <v>0</v>
      </c>
      <c r="AA57" s="44">
        <f>IF(Cycles!V57="",0,Cycles!V57)</f>
        <v>0</v>
      </c>
      <c r="AB57" s="44">
        <f>IF(Cycles!W57="",0,Cycles!W57)</f>
        <v>0</v>
      </c>
      <c r="AC57" s="44">
        <f>IF(Cycles!X57="",0,Cycles!X57)</f>
        <v>0</v>
      </c>
      <c r="AD57" s="49" t="str">
        <f t="shared" si="13"/>
        <v/>
      </c>
      <c r="AE57" s="49" t="str">
        <f t="shared" si="14"/>
        <v/>
      </c>
      <c r="AF57" s="49" t="str">
        <f t="shared" si="15"/>
        <v/>
      </c>
      <c r="AG57" t="str">
        <f>IFERROR(MATCH(ROWS($AG$9:AG57),_EngineTrades!$AW$9:$AW$508,0)+8,"")</f>
        <v/>
      </c>
    </row>
    <row r="58" spans="1:33" ht="15" x14ac:dyDescent="0.25">
      <c r="A58" s="66" t="str">
        <f>IF($AG58="","",IFERROR(INDEX(_EngineTrades!$AU$9:$AU$508,MATCH($AG58,_EngineTrades!$AV$9:$AV$508,0)),""))</f>
        <v/>
      </c>
      <c r="B58" s="66" t="str">
        <f>IF($A58="","",INDEX(_EngineTrades!$B$9:$B$508,MATCH($AG58,_EngineTrades!$AV$9:$AV$508,0)))</f>
        <v/>
      </c>
      <c r="C58" s="66" t="str">
        <f>IF($A58="","",INDEX(_EngineTrades!$T$9:$T$508,MATCH($AG58,_EngineTrades!$AV$9:$AV$508,0)))</f>
        <v/>
      </c>
      <c r="D58" s="67" t="str">
        <f>IF($A58="","",INDEX(_EngineTrades!$C$9:$C$508,MATCH($AG58,_EngineTrades!$AV$9:$AV$508,0)))</f>
        <v/>
      </c>
      <c r="E58" s="68" t="str">
        <f>IF($A58="","",IF(IFERROR(LOOKUP(2,1/(_EngineTrades!$AU$9:$AU$508=$A58),_EngineTrades!$AR$9:$AR$508),FALSE),"Closed","Open"))</f>
        <v/>
      </c>
      <c r="F58" s="69" t="str">
        <f>IF($A58="","",INDEX(_EngineTrades!$E$9:$E$508,$AG58-8))</f>
        <v/>
      </c>
      <c r="G58" s="69" t="str">
        <f>IF(OR($A58="",$E58&lt;&gt;"Closed"),"",IFERROR(INDEX(_EngineTrades!$E$9:$E$508,SUMIFS(_EngineTrades!$AX$9:$AX$508,_EngineTrades!$AU$9:$AU$508,$A58)-8),""))</f>
        <v/>
      </c>
      <c r="H58" s="70" t="str">
        <f>IF($A58="","",ROUND(SUMIFS(_EngineTrades!$Y$9:$Y$508,_EngineTrades!$AU$9:$AU$508,$A58),4))</f>
        <v/>
      </c>
      <c r="I58" s="70" t="str">
        <f>IF($A58="","",ROUND(SUMIFS(_EngineTrades!$Z$9:$Z$508,_EngineTrades!$AU$9:$AU$508,$A58),4))</f>
        <v/>
      </c>
      <c r="J58" s="71" t="str">
        <f t="shared" si="8"/>
        <v/>
      </c>
      <c r="K58" s="70" t="str">
        <f>IF($A58="","",ROUND(SUMIFS(_EngineTrades!$AA$9:$AA$508,_EngineTrades!$AU$9:$AU$508,$A58),4))</f>
        <v/>
      </c>
      <c r="L58" s="70" t="str">
        <f>IF($A58="","",ROUND(SUMIFS(_EngineTrades!$AB$9:$AB$508,_EngineTrades!$AU$9:$AU$508,$A58),4))</f>
        <v/>
      </c>
      <c r="M58" s="70" t="str">
        <f>IF($A58="","",ROUND(SUMIFS(_EngineTrades!$AC$9:$AC$508,_EngineTrades!$AU$9:$AU$508,$A58),4))</f>
        <v/>
      </c>
      <c r="N58" s="70" t="str">
        <f>IF($A58="","",ROUND(SUMIFS(_EngineTrades!$AD$9:$AD$508,_EngineTrades!$AU$9:$AU$508,$A58),4))</f>
        <v/>
      </c>
      <c r="O58" s="71" t="str">
        <f t="shared" si="9"/>
        <v/>
      </c>
      <c r="P58" s="66">
        <f>IF(OR($A58="",$E58&lt;&gt;"Open"),0,IFERROR(LOOKUP(2,1/(_EngineTrades!$AU$9:$AU$508=$A58),_EngineTrades!$AM$9:$AM$508),0))</f>
        <v>0</v>
      </c>
      <c r="Q58" s="70" t="str">
        <f>IF(OR($A58="",$P58=0),"",ROUND(IFERROR(LOOKUP(2,1/(_EngineTrades!$AU$9:$AU$508=$A58),_EngineTrades!$AN$9:$AN$508),0)/$P58,4))</f>
        <v/>
      </c>
      <c r="R58" s="70">
        <f>IF(OR($A58="",$E58&lt;&gt;"Open"),0,IFERROR(LOOKUP(2,1/(_EngineTrades!$AU$9:$AU$508=$A58),_EngineTrades!$AO$9:$AO$508),0))</f>
        <v>0</v>
      </c>
      <c r="S58" s="70">
        <f>IF(OR($A58="",$E58&lt;&gt;"Open"),0,ROUND($R58+IFERROR(LOOKUP(2,1/(_EngineTrades!$AU$9:$AU$508=$A58),_EngineTrades!$AN$9:$AN$508),0),4))</f>
        <v>0</v>
      </c>
      <c r="T58" s="70" t="str">
        <f>IF($A58="","",ROUND(IFERROR(LOOKUP(2,1/(_EngineTrades!$AU$9:$AU$508=$A58),_EngineTrades!$AT$9:$AT$508),0),4))</f>
        <v/>
      </c>
      <c r="U58" s="70" t="str">
        <f t="shared" si="10"/>
        <v/>
      </c>
      <c r="V58" s="70" t="str">
        <f>IF(AND($A58&lt;&gt;"",$E58="Open",$P58+N(IFERROR(LOOKUP(2,1/(_EngineTrades!$AU$9:$AU$508=$A58),_EngineTrades!$AP$9:$AP$508),0))&gt;0),ROUND(($R58-$O58)/($P58+N(IFERROR(LOOKUP(2,1/(_EngineTrades!$AU$9:$AU$508=$A58),_EngineTrades!$AP$9:$AP$508),0))),4),"")</f>
        <v/>
      </c>
      <c r="W58" s="72" t="str">
        <f>IF($A58="","",MAX(1,IF($G58="",_EngineTrades!$E$3-$F58,$G58-$F58)))</f>
        <v/>
      </c>
      <c r="X58" s="73" t="str">
        <f t="shared" si="11"/>
        <v/>
      </c>
      <c r="Y58" s="73" t="str">
        <f t="shared" si="12"/>
        <v/>
      </c>
      <c r="Z58" s="44">
        <f>IF(Cycles!U58="",0,Cycles!U58)</f>
        <v>0</v>
      </c>
      <c r="AA58" s="44">
        <f>IF(Cycles!V58="",0,Cycles!V58)</f>
        <v>0</v>
      </c>
      <c r="AB58" s="44">
        <f>IF(Cycles!W58="",0,Cycles!W58)</f>
        <v>0</v>
      </c>
      <c r="AC58" s="44">
        <f>IF(Cycles!X58="",0,Cycles!X58)</f>
        <v>0</v>
      </c>
      <c r="AD58" s="70" t="str">
        <f t="shared" si="13"/>
        <v/>
      </c>
      <c r="AE58" s="70" t="str">
        <f t="shared" si="14"/>
        <v/>
      </c>
      <c r="AF58" s="70" t="str">
        <f t="shared" si="15"/>
        <v/>
      </c>
      <c r="AG58" t="str">
        <f>IFERROR(MATCH(ROWS($AG$9:AG58),_EngineTrades!$AW$9:$AW$508,0)+8,"")</f>
        <v/>
      </c>
    </row>
    <row r="59" spans="1:33" ht="15" x14ac:dyDescent="0.25">
      <c r="A59" s="61" t="str">
        <f>IF($AG59="","",IFERROR(INDEX(_EngineTrades!$AU$9:$AU$508,MATCH($AG59,_EngineTrades!$AV$9:$AV$508,0)),""))</f>
        <v/>
      </c>
      <c r="B59" s="61" t="str">
        <f>IF($A59="","",INDEX(_EngineTrades!$B$9:$B$508,MATCH($AG59,_EngineTrades!$AV$9:$AV$508,0)))</f>
        <v/>
      </c>
      <c r="C59" s="61" t="str">
        <f>IF($A59="","",INDEX(_EngineTrades!$T$9:$T$508,MATCH($AG59,_EngineTrades!$AV$9:$AV$508,0)))</f>
        <v/>
      </c>
      <c r="D59" s="47" t="str">
        <f>IF($A59="","",INDEX(_EngineTrades!$C$9:$C$508,MATCH($AG59,_EngineTrades!$AV$9:$AV$508,0)))</f>
        <v/>
      </c>
      <c r="E59" s="62" t="str">
        <f>IF($A59="","",IF(IFERROR(LOOKUP(2,1/(_EngineTrades!$AU$9:$AU$508=$A59),_EngineTrades!$AR$9:$AR$508),FALSE),"Closed","Open"))</f>
        <v/>
      </c>
      <c r="F59" s="63" t="str">
        <f>IF($A59="","",INDEX(_EngineTrades!$E$9:$E$508,$AG59-8))</f>
        <v/>
      </c>
      <c r="G59" s="63" t="str">
        <f>IF(OR($A59="",$E59&lt;&gt;"Closed"),"",IFERROR(INDEX(_EngineTrades!$E$9:$E$508,SUMIFS(_EngineTrades!$AX$9:$AX$508,_EngineTrades!$AU$9:$AU$508,$A59)-8),""))</f>
        <v/>
      </c>
      <c r="H59" s="49" t="str">
        <f>IF($A59="","",ROUND(SUMIFS(_EngineTrades!$Y$9:$Y$508,_EngineTrades!$AU$9:$AU$508,$A59),4))</f>
        <v/>
      </c>
      <c r="I59" s="49" t="str">
        <f>IF($A59="","",ROUND(SUMIFS(_EngineTrades!$Z$9:$Z$508,_EngineTrades!$AU$9:$AU$508,$A59),4))</f>
        <v/>
      </c>
      <c r="J59" s="45" t="str">
        <f t="shared" si="8"/>
        <v/>
      </c>
      <c r="K59" s="49" t="str">
        <f>IF($A59="","",ROUND(SUMIFS(_EngineTrades!$AA$9:$AA$508,_EngineTrades!$AU$9:$AU$508,$A59),4))</f>
        <v/>
      </c>
      <c r="L59" s="49" t="str">
        <f>IF($A59="","",ROUND(SUMIFS(_EngineTrades!$AB$9:$AB$508,_EngineTrades!$AU$9:$AU$508,$A59),4))</f>
        <v/>
      </c>
      <c r="M59" s="49" t="str">
        <f>IF($A59="","",ROUND(SUMIFS(_EngineTrades!$AC$9:$AC$508,_EngineTrades!$AU$9:$AU$508,$A59),4))</f>
        <v/>
      </c>
      <c r="N59" s="49" t="str">
        <f>IF($A59="","",ROUND(SUMIFS(_EngineTrades!$AD$9:$AD$508,_EngineTrades!$AU$9:$AU$508,$A59),4))</f>
        <v/>
      </c>
      <c r="O59" s="45" t="str">
        <f t="shared" si="9"/>
        <v/>
      </c>
      <c r="P59" s="61">
        <f>IF(OR($A59="",$E59&lt;&gt;"Open"),0,IFERROR(LOOKUP(2,1/(_EngineTrades!$AU$9:$AU$508=$A59),_EngineTrades!$AM$9:$AM$508),0))</f>
        <v>0</v>
      </c>
      <c r="Q59" s="49" t="str">
        <f>IF(OR($A59="",$P59=0),"",ROUND(IFERROR(LOOKUP(2,1/(_EngineTrades!$AU$9:$AU$508=$A59),_EngineTrades!$AN$9:$AN$508),0)/$P59,4))</f>
        <v/>
      </c>
      <c r="R59" s="49">
        <f>IF(OR($A59="",$E59&lt;&gt;"Open"),0,IFERROR(LOOKUP(2,1/(_EngineTrades!$AU$9:$AU$508=$A59),_EngineTrades!$AO$9:$AO$508),0))</f>
        <v>0</v>
      </c>
      <c r="S59" s="49">
        <f>IF(OR($A59="",$E59&lt;&gt;"Open"),0,ROUND($R59+IFERROR(LOOKUP(2,1/(_EngineTrades!$AU$9:$AU$508=$A59),_EngineTrades!$AN$9:$AN$508),0),4))</f>
        <v>0</v>
      </c>
      <c r="T59" s="49" t="str">
        <f>IF($A59="","",ROUND(IFERROR(LOOKUP(2,1/(_EngineTrades!$AU$9:$AU$508=$A59),_EngineTrades!$AT$9:$AT$508),0),4))</f>
        <v/>
      </c>
      <c r="U59" s="49" t="str">
        <f t="shared" si="10"/>
        <v/>
      </c>
      <c r="V59" s="49" t="str">
        <f>IF(AND($A59&lt;&gt;"",$E59="Open",$P59+N(IFERROR(LOOKUP(2,1/(_EngineTrades!$AU$9:$AU$508=$A59),_EngineTrades!$AP$9:$AP$508),0))&gt;0),ROUND(($R59-$O59)/($P59+N(IFERROR(LOOKUP(2,1/(_EngineTrades!$AU$9:$AU$508=$A59),_EngineTrades!$AP$9:$AP$508),0))),4),"")</f>
        <v/>
      </c>
      <c r="W59" s="64" t="str">
        <f>IF($A59="","",MAX(1,IF($G59="",_EngineTrades!$E$3-$F59,$G59-$F59)))</f>
        <v/>
      </c>
      <c r="X59" s="65" t="str">
        <f t="shared" si="11"/>
        <v/>
      </c>
      <c r="Y59" s="65" t="str">
        <f t="shared" si="12"/>
        <v/>
      </c>
      <c r="Z59" s="44">
        <f>IF(Cycles!U59="",0,Cycles!U59)</f>
        <v>0</v>
      </c>
      <c r="AA59" s="44">
        <f>IF(Cycles!V59="",0,Cycles!V59)</f>
        <v>0</v>
      </c>
      <c r="AB59" s="44">
        <f>IF(Cycles!W59="",0,Cycles!W59)</f>
        <v>0</v>
      </c>
      <c r="AC59" s="44">
        <f>IF(Cycles!X59="",0,Cycles!X59)</f>
        <v>0</v>
      </c>
      <c r="AD59" s="49" t="str">
        <f t="shared" si="13"/>
        <v/>
      </c>
      <c r="AE59" s="49" t="str">
        <f t="shared" si="14"/>
        <v/>
      </c>
      <c r="AF59" s="49" t="str">
        <f t="shared" si="15"/>
        <v/>
      </c>
      <c r="AG59" t="str">
        <f>IFERROR(MATCH(ROWS($AG$9:AG59),_EngineTrades!$AW$9:$AW$508,0)+8,"")</f>
        <v/>
      </c>
    </row>
    <row r="60" spans="1:33" ht="15" x14ac:dyDescent="0.25">
      <c r="A60" s="66" t="str">
        <f>IF($AG60="","",IFERROR(INDEX(_EngineTrades!$AU$9:$AU$508,MATCH($AG60,_EngineTrades!$AV$9:$AV$508,0)),""))</f>
        <v/>
      </c>
      <c r="B60" s="66" t="str">
        <f>IF($A60="","",INDEX(_EngineTrades!$B$9:$B$508,MATCH($AG60,_EngineTrades!$AV$9:$AV$508,0)))</f>
        <v/>
      </c>
      <c r="C60" s="66" t="str">
        <f>IF($A60="","",INDEX(_EngineTrades!$T$9:$T$508,MATCH($AG60,_EngineTrades!$AV$9:$AV$508,0)))</f>
        <v/>
      </c>
      <c r="D60" s="67" t="str">
        <f>IF($A60="","",INDEX(_EngineTrades!$C$9:$C$508,MATCH($AG60,_EngineTrades!$AV$9:$AV$508,0)))</f>
        <v/>
      </c>
      <c r="E60" s="68" t="str">
        <f>IF($A60="","",IF(IFERROR(LOOKUP(2,1/(_EngineTrades!$AU$9:$AU$508=$A60),_EngineTrades!$AR$9:$AR$508),FALSE),"Closed","Open"))</f>
        <v/>
      </c>
      <c r="F60" s="69" t="str">
        <f>IF($A60="","",INDEX(_EngineTrades!$E$9:$E$508,$AG60-8))</f>
        <v/>
      </c>
      <c r="G60" s="69" t="str">
        <f>IF(OR($A60="",$E60&lt;&gt;"Closed"),"",IFERROR(INDEX(_EngineTrades!$E$9:$E$508,SUMIFS(_EngineTrades!$AX$9:$AX$508,_EngineTrades!$AU$9:$AU$508,$A60)-8),""))</f>
        <v/>
      </c>
      <c r="H60" s="70" t="str">
        <f>IF($A60="","",ROUND(SUMIFS(_EngineTrades!$Y$9:$Y$508,_EngineTrades!$AU$9:$AU$508,$A60),4))</f>
        <v/>
      </c>
      <c r="I60" s="70" t="str">
        <f>IF($A60="","",ROUND(SUMIFS(_EngineTrades!$Z$9:$Z$508,_EngineTrades!$AU$9:$AU$508,$A60),4))</f>
        <v/>
      </c>
      <c r="J60" s="71" t="str">
        <f t="shared" si="8"/>
        <v/>
      </c>
      <c r="K60" s="70" t="str">
        <f>IF($A60="","",ROUND(SUMIFS(_EngineTrades!$AA$9:$AA$508,_EngineTrades!$AU$9:$AU$508,$A60),4))</f>
        <v/>
      </c>
      <c r="L60" s="70" t="str">
        <f>IF($A60="","",ROUND(SUMIFS(_EngineTrades!$AB$9:$AB$508,_EngineTrades!$AU$9:$AU$508,$A60),4))</f>
        <v/>
      </c>
      <c r="M60" s="70" t="str">
        <f>IF($A60="","",ROUND(SUMIFS(_EngineTrades!$AC$9:$AC$508,_EngineTrades!$AU$9:$AU$508,$A60),4))</f>
        <v/>
      </c>
      <c r="N60" s="70" t="str">
        <f>IF($A60="","",ROUND(SUMIFS(_EngineTrades!$AD$9:$AD$508,_EngineTrades!$AU$9:$AU$508,$A60),4))</f>
        <v/>
      </c>
      <c r="O60" s="71" t="str">
        <f t="shared" si="9"/>
        <v/>
      </c>
      <c r="P60" s="66">
        <f>IF(OR($A60="",$E60&lt;&gt;"Open"),0,IFERROR(LOOKUP(2,1/(_EngineTrades!$AU$9:$AU$508=$A60),_EngineTrades!$AM$9:$AM$508),0))</f>
        <v>0</v>
      </c>
      <c r="Q60" s="70" t="str">
        <f>IF(OR($A60="",$P60=0),"",ROUND(IFERROR(LOOKUP(2,1/(_EngineTrades!$AU$9:$AU$508=$A60),_EngineTrades!$AN$9:$AN$508),0)/$P60,4))</f>
        <v/>
      </c>
      <c r="R60" s="70">
        <f>IF(OR($A60="",$E60&lt;&gt;"Open"),0,IFERROR(LOOKUP(2,1/(_EngineTrades!$AU$9:$AU$508=$A60),_EngineTrades!$AO$9:$AO$508),0))</f>
        <v>0</v>
      </c>
      <c r="S60" s="70">
        <f>IF(OR($A60="",$E60&lt;&gt;"Open"),0,ROUND($R60+IFERROR(LOOKUP(2,1/(_EngineTrades!$AU$9:$AU$508=$A60),_EngineTrades!$AN$9:$AN$508),0),4))</f>
        <v>0</v>
      </c>
      <c r="T60" s="70" t="str">
        <f>IF($A60="","",ROUND(IFERROR(LOOKUP(2,1/(_EngineTrades!$AU$9:$AU$508=$A60),_EngineTrades!$AT$9:$AT$508),0),4))</f>
        <v/>
      </c>
      <c r="U60" s="70" t="str">
        <f t="shared" si="10"/>
        <v/>
      </c>
      <c r="V60" s="70" t="str">
        <f>IF(AND($A60&lt;&gt;"",$E60="Open",$P60+N(IFERROR(LOOKUP(2,1/(_EngineTrades!$AU$9:$AU$508=$A60),_EngineTrades!$AP$9:$AP$508),0))&gt;0),ROUND(($R60-$O60)/($P60+N(IFERROR(LOOKUP(2,1/(_EngineTrades!$AU$9:$AU$508=$A60),_EngineTrades!$AP$9:$AP$508),0))),4),"")</f>
        <v/>
      </c>
      <c r="W60" s="72" t="str">
        <f>IF($A60="","",MAX(1,IF($G60="",_EngineTrades!$E$3-$F60,$G60-$F60)))</f>
        <v/>
      </c>
      <c r="X60" s="73" t="str">
        <f t="shared" si="11"/>
        <v/>
      </c>
      <c r="Y60" s="73" t="str">
        <f t="shared" si="12"/>
        <v/>
      </c>
      <c r="Z60" s="44">
        <f>IF(Cycles!U60="",0,Cycles!U60)</f>
        <v>0</v>
      </c>
      <c r="AA60" s="44">
        <f>IF(Cycles!V60="",0,Cycles!V60)</f>
        <v>0</v>
      </c>
      <c r="AB60" s="44">
        <f>IF(Cycles!W60="",0,Cycles!W60)</f>
        <v>0</v>
      </c>
      <c r="AC60" s="44">
        <f>IF(Cycles!X60="",0,Cycles!X60)</f>
        <v>0</v>
      </c>
      <c r="AD60" s="70" t="str">
        <f t="shared" si="13"/>
        <v/>
      </c>
      <c r="AE60" s="70" t="str">
        <f t="shared" si="14"/>
        <v/>
      </c>
      <c r="AF60" s="70" t="str">
        <f t="shared" si="15"/>
        <v/>
      </c>
      <c r="AG60" t="str">
        <f>IFERROR(MATCH(ROWS($AG$9:AG60),_EngineTrades!$AW$9:$AW$508,0)+8,"")</f>
        <v/>
      </c>
    </row>
    <row r="61" spans="1:33" ht="15" x14ac:dyDescent="0.25">
      <c r="A61" s="61" t="str">
        <f>IF($AG61="","",IFERROR(INDEX(_EngineTrades!$AU$9:$AU$508,MATCH($AG61,_EngineTrades!$AV$9:$AV$508,0)),""))</f>
        <v/>
      </c>
      <c r="B61" s="61" t="str">
        <f>IF($A61="","",INDEX(_EngineTrades!$B$9:$B$508,MATCH($AG61,_EngineTrades!$AV$9:$AV$508,0)))</f>
        <v/>
      </c>
      <c r="C61" s="61" t="str">
        <f>IF($A61="","",INDEX(_EngineTrades!$T$9:$T$508,MATCH($AG61,_EngineTrades!$AV$9:$AV$508,0)))</f>
        <v/>
      </c>
      <c r="D61" s="47" t="str">
        <f>IF($A61="","",INDEX(_EngineTrades!$C$9:$C$508,MATCH($AG61,_EngineTrades!$AV$9:$AV$508,0)))</f>
        <v/>
      </c>
      <c r="E61" s="62" t="str">
        <f>IF($A61="","",IF(IFERROR(LOOKUP(2,1/(_EngineTrades!$AU$9:$AU$508=$A61),_EngineTrades!$AR$9:$AR$508),FALSE),"Closed","Open"))</f>
        <v/>
      </c>
      <c r="F61" s="63" t="str">
        <f>IF($A61="","",INDEX(_EngineTrades!$E$9:$E$508,$AG61-8))</f>
        <v/>
      </c>
      <c r="G61" s="63" t="str">
        <f>IF(OR($A61="",$E61&lt;&gt;"Closed"),"",IFERROR(INDEX(_EngineTrades!$E$9:$E$508,SUMIFS(_EngineTrades!$AX$9:$AX$508,_EngineTrades!$AU$9:$AU$508,$A61)-8),""))</f>
        <v/>
      </c>
      <c r="H61" s="49" t="str">
        <f>IF($A61="","",ROUND(SUMIFS(_EngineTrades!$Y$9:$Y$508,_EngineTrades!$AU$9:$AU$508,$A61),4))</f>
        <v/>
      </c>
      <c r="I61" s="49" t="str">
        <f>IF($A61="","",ROUND(SUMIFS(_EngineTrades!$Z$9:$Z$508,_EngineTrades!$AU$9:$AU$508,$A61),4))</f>
        <v/>
      </c>
      <c r="J61" s="45" t="str">
        <f t="shared" si="8"/>
        <v/>
      </c>
      <c r="K61" s="49" t="str">
        <f>IF($A61="","",ROUND(SUMIFS(_EngineTrades!$AA$9:$AA$508,_EngineTrades!$AU$9:$AU$508,$A61),4))</f>
        <v/>
      </c>
      <c r="L61" s="49" t="str">
        <f>IF($A61="","",ROUND(SUMIFS(_EngineTrades!$AB$9:$AB$508,_EngineTrades!$AU$9:$AU$508,$A61),4))</f>
        <v/>
      </c>
      <c r="M61" s="49" t="str">
        <f>IF($A61="","",ROUND(SUMIFS(_EngineTrades!$AC$9:$AC$508,_EngineTrades!$AU$9:$AU$508,$A61),4))</f>
        <v/>
      </c>
      <c r="N61" s="49" t="str">
        <f>IF($A61="","",ROUND(SUMIFS(_EngineTrades!$AD$9:$AD$508,_EngineTrades!$AU$9:$AU$508,$A61),4))</f>
        <v/>
      </c>
      <c r="O61" s="45" t="str">
        <f t="shared" si="9"/>
        <v/>
      </c>
      <c r="P61" s="61">
        <f>IF(OR($A61="",$E61&lt;&gt;"Open"),0,IFERROR(LOOKUP(2,1/(_EngineTrades!$AU$9:$AU$508=$A61),_EngineTrades!$AM$9:$AM$508),0))</f>
        <v>0</v>
      </c>
      <c r="Q61" s="49" t="str">
        <f>IF(OR($A61="",$P61=0),"",ROUND(IFERROR(LOOKUP(2,1/(_EngineTrades!$AU$9:$AU$508=$A61),_EngineTrades!$AN$9:$AN$508),0)/$P61,4))</f>
        <v/>
      </c>
      <c r="R61" s="49">
        <f>IF(OR($A61="",$E61&lt;&gt;"Open"),0,IFERROR(LOOKUP(2,1/(_EngineTrades!$AU$9:$AU$508=$A61),_EngineTrades!$AO$9:$AO$508),0))</f>
        <v>0</v>
      </c>
      <c r="S61" s="49">
        <f>IF(OR($A61="",$E61&lt;&gt;"Open"),0,ROUND($R61+IFERROR(LOOKUP(2,1/(_EngineTrades!$AU$9:$AU$508=$A61),_EngineTrades!$AN$9:$AN$508),0),4))</f>
        <v>0</v>
      </c>
      <c r="T61" s="49" t="str">
        <f>IF($A61="","",ROUND(IFERROR(LOOKUP(2,1/(_EngineTrades!$AU$9:$AU$508=$A61),_EngineTrades!$AT$9:$AT$508),0),4))</f>
        <v/>
      </c>
      <c r="U61" s="49" t="str">
        <f t="shared" si="10"/>
        <v/>
      </c>
      <c r="V61" s="49" t="str">
        <f>IF(AND($A61&lt;&gt;"",$E61="Open",$P61+N(IFERROR(LOOKUP(2,1/(_EngineTrades!$AU$9:$AU$508=$A61),_EngineTrades!$AP$9:$AP$508),0))&gt;0),ROUND(($R61-$O61)/($P61+N(IFERROR(LOOKUP(2,1/(_EngineTrades!$AU$9:$AU$508=$A61),_EngineTrades!$AP$9:$AP$508),0))),4),"")</f>
        <v/>
      </c>
      <c r="W61" s="64" t="str">
        <f>IF($A61="","",MAX(1,IF($G61="",_EngineTrades!$E$3-$F61,$G61-$F61)))</f>
        <v/>
      </c>
      <c r="X61" s="65" t="str">
        <f t="shared" si="11"/>
        <v/>
      </c>
      <c r="Y61" s="65" t="str">
        <f t="shared" si="12"/>
        <v/>
      </c>
      <c r="Z61" s="44">
        <f>IF(Cycles!U61="",0,Cycles!U61)</f>
        <v>0</v>
      </c>
      <c r="AA61" s="44">
        <f>IF(Cycles!V61="",0,Cycles!V61)</f>
        <v>0</v>
      </c>
      <c r="AB61" s="44">
        <f>IF(Cycles!W61="",0,Cycles!W61)</f>
        <v>0</v>
      </c>
      <c r="AC61" s="44">
        <f>IF(Cycles!X61="",0,Cycles!X61)</f>
        <v>0</v>
      </c>
      <c r="AD61" s="49" t="str">
        <f t="shared" si="13"/>
        <v/>
      </c>
      <c r="AE61" s="49" t="str">
        <f t="shared" si="14"/>
        <v/>
      </c>
      <c r="AF61" s="49" t="str">
        <f t="shared" si="15"/>
        <v/>
      </c>
      <c r="AG61" t="str">
        <f>IFERROR(MATCH(ROWS($AG$9:AG61),_EngineTrades!$AW$9:$AW$508,0)+8,"")</f>
        <v/>
      </c>
    </row>
    <row r="62" spans="1:33" ht="15" x14ac:dyDescent="0.25">
      <c r="A62" s="66" t="str">
        <f>IF($AG62="","",IFERROR(INDEX(_EngineTrades!$AU$9:$AU$508,MATCH($AG62,_EngineTrades!$AV$9:$AV$508,0)),""))</f>
        <v/>
      </c>
      <c r="B62" s="66" t="str">
        <f>IF($A62="","",INDEX(_EngineTrades!$B$9:$B$508,MATCH($AG62,_EngineTrades!$AV$9:$AV$508,0)))</f>
        <v/>
      </c>
      <c r="C62" s="66" t="str">
        <f>IF($A62="","",INDEX(_EngineTrades!$T$9:$T$508,MATCH($AG62,_EngineTrades!$AV$9:$AV$508,0)))</f>
        <v/>
      </c>
      <c r="D62" s="67" t="str">
        <f>IF($A62="","",INDEX(_EngineTrades!$C$9:$C$508,MATCH($AG62,_EngineTrades!$AV$9:$AV$508,0)))</f>
        <v/>
      </c>
      <c r="E62" s="68" t="str">
        <f>IF($A62="","",IF(IFERROR(LOOKUP(2,1/(_EngineTrades!$AU$9:$AU$508=$A62),_EngineTrades!$AR$9:$AR$508),FALSE),"Closed","Open"))</f>
        <v/>
      </c>
      <c r="F62" s="69" t="str">
        <f>IF($A62="","",INDEX(_EngineTrades!$E$9:$E$508,$AG62-8))</f>
        <v/>
      </c>
      <c r="G62" s="69" t="str">
        <f>IF(OR($A62="",$E62&lt;&gt;"Closed"),"",IFERROR(INDEX(_EngineTrades!$E$9:$E$508,SUMIFS(_EngineTrades!$AX$9:$AX$508,_EngineTrades!$AU$9:$AU$508,$A62)-8),""))</f>
        <v/>
      </c>
      <c r="H62" s="70" t="str">
        <f>IF($A62="","",ROUND(SUMIFS(_EngineTrades!$Y$9:$Y$508,_EngineTrades!$AU$9:$AU$508,$A62),4))</f>
        <v/>
      </c>
      <c r="I62" s="70" t="str">
        <f>IF($A62="","",ROUND(SUMIFS(_EngineTrades!$Z$9:$Z$508,_EngineTrades!$AU$9:$AU$508,$A62),4))</f>
        <v/>
      </c>
      <c r="J62" s="71" t="str">
        <f t="shared" si="8"/>
        <v/>
      </c>
      <c r="K62" s="70" t="str">
        <f>IF($A62="","",ROUND(SUMIFS(_EngineTrades!$AA$9:$AA$508,_EngineTrades!$AU$9:$AU$508,$A62),4))</f>
        <v/>
      </c>
      <c r="L62" s="70" t="str">
        <f>IF($A62="","",ROUND(SUMIFS(_EngineTrades!$AB$9:$AB$508,_EngineTrades!$AU$9:$AU$508,$A62),4))</f>
        <v/>
      </c>
      <c r="M62" s="70" t="str">
        <f>IF($A62="","",ROUND(SUMIFS(_EngineTrades!$AC$9:$AC$508,_EngineTrades!$AU$9:$AU$508,$A62),4))</f>
        <v/>
      </c>
      <c r="N62" s="70" t="str">
        <f>IF($A62="","",ROUND(SUMIFS(_EngineTrades!$AD$9:$AD$508,_EngineTrades!$AU$9:$AU$508,$A62),4))</f>
        <v/>
      </c>
      <c r="O62" s="71" t="str">
        <f t="shared" si="9"/>
        <v/>
      </c>
      <c r="P62" s="66">
        <f>IF(OR($A62="",$E62&lt;&gt;"Open"),0,IFERROR(LOOKUP(2,1/(_EngineTrades!$AU$9:$AU$508=$A62),_EngineTrades!$AM$9:$AM$508),0))</f>
        <v>0</v>
      </c>
      <c r="Q62" s="70" t="str">
        <f>IF(OR($A62="",$P62=0),"",ROUND(IFERROR(LOOKUP(2,1/(_EngineTrades!$AU$9:$AU$508=$A62),_EngineTrades!$AN$9:$AN$508),0)/$P62,4))</f>
        <v/>
      </c>
      <c r="R62" s="70">
        <f>IF(OR($A62="",$E62&lt;&gt;"Open"),0,IFERROR(LOOKUP(2,1/(_EngineTrades!$AU$9:$AU$508=$A62),_EngineTrades!$AO$9:$AO$508),0))</f>
        <v>0</v>
      </c>
      <c r="S62" s="70">
        <f>IF(OR($A62="",$E62&lt;&gt;"Open"),0,ROUND($R62+IFERROR(LOOKUP(2,1/(_EngineTrades!$AU$9:$AU$508=$A62),_EngineTrades!$AN$9:$AN$508),0),4))</f>
        <v>0</v>
      </c>
      <c r="T62" s="70" t="str">
        <f>IF($A62="","",ROUND(IFERROR(LOOKUP(2,1/(_EngineTrades!$AU$9:$AU$508=$A62),_EngineTrades!$AT$9:$AT$508),0),4))</f>
        <v/>
      </c>
      <c r="U62" s="70" t="str">
        <f t="shared" si="10"/>
        <v/>
      </c>
      <c r="V62" s="70" t="str">
        <f>IF(AND($A62&lt;&gt;"",$E62="Open",$P62+N(IFERROR(LOOKUP(2,1/(_EngineTrades!$AU$9:$AU$508=$A62),_EngineTrades!$AP$9:$AP$508),0))&gt;0),ROUND(($R62-$O62)/($P62+N(IFERROR(LOOKUP(2,1/(_EngineTrades!$AU$9:$AU$508=$A62),_EngineTrades!$AP$9:$AP$508),0))),4),"")</f>
        <v/>
      </c>
      <c r="W62" s="72" t="str">
        <f>IF($A62="","",MAX(1,IF($G62="",_EngineTrades!$E$3-$F62,$G62-$F62)))</f>
        <v/>
      </c>
      <c r="X62" s="73" t="str">
        <f t="shared" si="11"/>
        <v/>
      </c>
      <c r="Y62" s="73" t="str">
        <f t="shared" si="12"/>
        <v/>
      </c>
      <c r="Z62" s="44">
        <f>IF(Cycles!U62="",0,Cycles!U62)</f>
        <v>0</v>
      </c>
      <c r="AA62" s="44">
        <f>IF(Cycles!V62="",0,Cycles!V62)</f>
        <v>0</v>
      </c>
      <c r="AB62" s="44">
        <f>IF(Cycles!W62="",0,Cycles!W62)</f>
        <v>0</v>
      </c>
      <c r="AC62" s="44">
        <f>IF(Cycles!X62="",0,Cycles!X62)</f>
        <v>0</v>
      </c>
      <c r="AD62" s="70" t="str">
        <f t="shared" si="13"/>
        <v/>
      </c>
      <c r="AE62" s="70" t="str">
        <f t="shared" si="14"/>
        <v/>
      </c>
      <c r="AF62" s="70" t="str">
        <f t="shared" si="15"/>
        <v/>
      </c>
      <c r="AG62" t="str">
        <f>IFERROR(MATCH(ROWS($AG$9:AG62),_EngineTrades!$AW$9:$AW$508,0)+8,"")</f>
        <v/>
      </c>
    </row>
    <row r="63" spans="1:33" ht="15" x14ac:dyDescent="0.25">
      <c r="A63" s="61" t="str">
        <f>IF($AG63="","",IFERROR(INDEX(_EngineTrades!$AU$9:$AU$508,MATCH($AG63,_EngineTrades!$AV$9:$AV$508,0)),""))</f>
        <v/>
      </c>
      <c r="B63" s="61" t="str">
        <f>IF($A63="","",INDEX(_EngineTrades!$B$9:$B$508,MATCH($AG63,_EngineTrades!$AV$9:$AV$508,0)))</f>
        <v/>
      </c>
      <c r="C63" s="61" t="str">
        <f>IF($A63="","",INDEX(_EngineTrades!$T$9:$T$508,MATCH($AG63,_EngineTrades!$AV$9:$AV$508,0)))</f>
        <v/>
      </c>
      <c r="D63" s="47" t="str">
        <f>IF($A63="","",INDEX(_EngineTrades!$C$9:$C$508,MATCH($AG63,_EngineTrades!$AV$9:$AV$508,0)))</f>
        <v/>
      </c>
      <c r="E63" s="62" t="str">
        <f>IF($A63="","",IF(IFERROR(LOOKUP(2,1/(_EngineTrades!$AU$9:$AU$508=$A63),_EngineTrades!$AR$9:$AR$508),FALSE),"Closed","Open"))</f>
        <v/>
      </c>
      <c r="F63" s="63" t="str">
        <f>IF($A63="","",INDEX(_EngineTrades!$E$9:$E$508,$AG63-8))</f>
        <v/>
      </c>
      <c r="G63" s="63" t="str">
        <f>IF(OR($A63="",$E63&lt;&gt;"Closed"),"",IFERROR(INDEX(_EngineTrades!$E$9:$E$508,SUMIFS(_EngineTrades!$AX$9:$AX$508,_EngineTrades!$AU$9:$AU$508,$A63)-8),""))</f>
        <v/>
      </c>
      <c r="H63" s="49" t="str">
        <f>IF($A63="","",ROUND(SUMIFS(_EngineTrades!$Y$9:$Y$508,_EngineTrades!$AU$9:$AU$508,$A63),4))</f>
        <v/>
      </c>
      <c r="I63" s="49" t="str">
        <f>IF($A63="","",ROUND(SUMIFS(_EngineTrades!$Z$9:$Z$508,_EngineTrades!$AU$9:$AU$508,$A63),4))</f>
        <v/>
      </c>
      <c r="J63" s="45" t="str">
        <f t="shared" si="8"/>
        <v/>
      </c>
      <c r="K63" s="49" t="str">
        <f>IF($A63="","",ROUND(SUMIFS(_EngineTrades!$AA$9:$AA$508,_EngineTrades!$AU$9:$AU$508,$A63),4))</f>
        <v/>
      </c>
      <c r="L63" s="49" t="str">
        <f>IF($A63="","",ROUND(SUMIFS(_EngineTrades!$AB$9:$AB$508,_EngineTrades!$AU$9:$AU$508,$A63),4))</f>
        <v/>
      </c>
      <c r="M63" s="49" t="str">
        <f>IF($A63="","",ROUND(SUMIFS(_EngineTrades!$AC$9:$AC$508,_EngineTrades!$AU$9:$AU$508,$A63),4))</f>
        <v/>
      </c>
      <c r="N63" s="49" t="str">
        <f>IF($A63="","",ROUND(SUMIFS(_EngineTrades!$AD$9:$AD$508,_EngineTrades!$AU$9:$AU$508,$A63),4))</f>
        <v/>
      </c>
      <c r="O63" s="45" t="str">
        <f t="shared" si="9"/>
        <v/>
      </c>
      <c r="P63" s="61">
        <f>IF(OR($A63="",$E63&lt;&gt;"Open"),0,IFERROR(LOOKUP(2,1/(_EngineTrades!$AU$9:$AU$508=$A63),_EngineTrades!$AM$9:$AM$508),0))</f>
        <v>0</v>
      </c>
      <c r="Q63" s="49" t="str">
        <f>IF(OR($A63="",$P63=0),"",ROUND(IFERROR(LOOKUP(2,1/(_EngineTrades!$AU$9:$AU$508=$A63),_EngineTrades!$AN$9:$AN$508),0)/$P63,4))</f>
        <v/>
      </c>
      <c r="R63" s="49">
        <f>IF(OR($A63="",$E63&lt;&gt;"Open"),0,IFERROR(LOOKUP(2,1/(_EngineTrades!$AU$9:$AU$508=$A63),_EngineTrades!$AO$9:$AO$508),0))</f>
        <v>0</v>
      </c>
      <c r="S63" s="49">
        <f>IF(OR($A63="",$E63&lt;&gt;"Open"),0,ROUND($R63+IFERROR(LOOKUP(2,1/(_EngineTrades!$AU$9:$AU$508=$A63),_EngineTrades!$AN$9:$AN$508),0),4))</f>
        <v>0</v>
      </c>
      <c r="T63" s="49" t="str">
        <f>IF($A63="","",ROUND(IFERROR(LOOKUP(2,1/(_EngineTrades!$AU$9:$AU$508=$A63),_EngineTrades!$AT$9:$AT$508),0),4))</f>
        <v/>
      </c>
      <c r="U63" s="49" t="str">
        <f t="shared" si="10"/>
        <v/>
      </c>
      <c r="V63" s="49" t="str">
        <f>IF(AND($A63&lt;&gt;"",$E63="Open",$P63+N(IFERROR(LOOKUP(2,1/(_EngineTrades!$AU$9:$AU$508=$A63),_EngineTrades!$AP$9:$AP$508),0))&gt;0),ROUND(($R63-$O63)/($P63+N(IFERROR(LOOKUP(2,1/(_EngineTrades!$AU$9:$AU$508=$A63),_EngineTrades!$AP$9:$AP$508),0))),4),"")</f>
        <v/>
      </c>
      <c r="W63" s="64" t="str">
        <f>IF($A63="","",MAX(1,IF($G63="",_EngineTrades!$E$3-$F63,$G63-$F63)))</f>
        <v/>
      </c>
      <c r="X63" s="65" t="str">
        <f t="shared" si="11"/>
        <v/>
      </c>
      <c r="Y63" s="65" t="str">
        <f t="shared" si="12"/>
        <v/>
      </c>
      <c r="Z63" s="44">
        <f>IF(Cycles!U63="",0,Cycles!U63)</f>
        <v>0</v>
      </c>
      <c r="AA63" s="44">
        <f>IF(Cycles!V63="",0,Cycles!V63)</f>
        <v>0</v>
      </c>
      <c r="AB63" s="44">
        <f>IF(Cycles!W63="",0,Cycles!W63)</f>
        <v>0</v>
      </c>
      <c r="AC63" s="44">
        <f>IF(Cycles!X63="",0,Cycles!X63)</f>
        <v>0</v>
      </c>
      <c r="AD63" s="49" t="str">
        <f t="shared" si="13"/>
        <v/>
      </c>
      <c r="AE63" s="49" t="str">
        <f t="shared" si="14"/>
        <v/>
      </c>
      <c r="AF63" s="49" t="str">
        <f t="shared" si="15"/>
        <v/>
      </c>
      <c r="AG63" t="str">
        <f>IFERROR(MATCH(ROWS($AG$9:AG63),_EngineTrades!$AW$9:$AW$508,0)+8,"")</f>
        <v/>
      </c>
    </row>
    <row r="64" spans="1:33" ht="15" x14ac:dyDescent="0.25">
      <c r="A64" s="66" t="str">
        <f>IF($AG64="","",IFERROR(INDEX(_EngineTrades!$AU$9:$AU$508,MATCH($AG64,_EngineTrades!$AV$9:$AV$508,0)),""))</f>
        <v/>
      </c>
      <c r="B64" s="66" t="str">
        <f>IF($A64="","",INDEX(_EngineTrades!$B$9:$B$508,MATCH($AG64,_EngineTrades!$AV$9:$AV$508,0)))</f>
        <v/>
      </c>
      <c r="C64" s="66" t="str">
        <f>IF($A64="","",INDEX(_EngineTrades!$T$9:$T$508,MATCH($AG64,_EngineTrades!$AV$9:$AV$508,0)))</f>
        <v/>
      </c>
      <c r="D64" s="67" t="str">
        <f>IF($A64="","",INDEX(_EngineTrades!$C$9:$C$508,MATCH($AG64,_EngineTrades!$AV$9:$AV$508,0)))</f>
        <v/>
      </c>
      <c r="E64" s="68" t="str">
        <f>IF($A64="","",IF(IFERROR(LOOKUP(2,1/(_EngineTrades!$AU$9:$AU$508=$A64),_EngineTrades!$AR$9:$AR$508),FALSE),"Closed","Open"))</f>
        <v/>
      </c>
      <c r="F64" s="69" t="str">
        <f>IF($A64="","",INDEX(_EngineTrades!$E$9:$E$508,$AG64-8))</f>
        <v/>
      </c>
      <c r="G64" s="69" t="str">
        <f>IF(OR($A64="",$E64&lt;&gt;"Closed"),"",IFERROR(INDEX(_EngineTrades!$E$9:$E$508,SUMIFS(_EngineTrades!$AX$9:$AX$508,_EngineTrades!$AU$9:$AU$508,$A64)-8),""))</f>
        <v/>
      </c>
      <c r="H64" s="70" t="str">
        <f>IF($A64="","",ROUND(SUMIFS(_EngineTrades!$Y$9:$Y$508,_EngineTrades!$AU$9:$AU$508,$A64),4))</f>
        <v/>
      </c>
      <c r="I64" s="70" t="str">
        <f>IF($A64="","",ROUND(SUMIFS(_EngineTrades!$Z$9:$Z$508,_EngineTrades!$AU$9:$AU$508,$A64),4))</f>
        <v/>
      </c>
      <c r="J64" s="71" t="str">
        <f t="shared" si="8"/>
        <v/>
      </c>
      <c r="K64" s="70" t="str">
        <f>IF($A64="","",ROUND(SUMIFS(_EngineTrades!$AA$9:$AA$508,_EngineTrades!$AU$9:$AU$508,$A64),4))</f>
        <v/>
      </c>
      <c r="L64" s="70" t="str">
        <f>IF($A64="","",ROUND(SUMIFS(_EngineTrades!$AB$9:$AB$508,_EngineTrades!$AU$9:$AU$508,$A64),4))</f>
        <v/>
      </c>
      <c r="M64" s="70" t="str">
        <f>IF($A64="","",ROUND(SUMIFS(_EngineTrades!$AC$9:$AC$508,_EngineTrades!$AU$9:$AU$508,$A64),4))</f>
        <v/>
      </c>
      <c r="N64" s="70" t="str">
        <f>IF($A64="","",ROUND(SUMIFS(_EngineTrades!$AD$9:$AD$508,_EngineTrades!$AU$9:$AU$508,$A64),4))</f>
        <v/>
      </c>
      <c r="O64" s="71" t="str">
        <f t="shared" si="9"/>
        <v/>
      </c>
      <c r="P64" s="66">
        <f>IF(OR($A64="",$E64&lt;&gt;"Open"),0,IFERROR(LOOKUP(2,1/(_EngineTrades!$AU$9:$AU$508=$A64),_EngineTrades!$AM$9:$AM$508),0))</f>
        <v>0</v>
      </c>
      <c r="Q64" s="70" t="str">
        <f>IF(OR($A64="",$P64=0),"",ROUND(IFERROR(LOOKUP(2,1/(_EngineTrades!$AU$9:$AU$508=$A64),_EngineTrades!$AN$9:$AN$508),0)/$P64,4))</f>
        <v/>
      </c>
      <c r="R64" s="70">
        <f>IF(OR($A64="",$E64&lt;&gt;"Open"),0,IFERROR(LOOKUP(2,1/(_EngineTrades!$AU$9:$AU$508=$A64),_EngineTrades!$AO$9:$AO$508),0))</f>
        <v>0</v>
      </c>
      <c r="S64" s="70">
        <f>IF(OR($A64="",$E64&lt;&gt;"Open"),0,ROUND($R64+IFERROR(LOOKUP(2,1/(_EngineTrades!$AU$9:$AU$508=$A64),_EngineTrades!$AN$9:$AN$508),0),4))</f>
        <v>0</v>
      </c>
      <c r="T64" s="70" t="str">
        <f>IF($A64="","",ROUND(IFERROR(LOOKUP(2,1/(_EngineTrades!$AU$9:$AU$508=$A64),_EngineTrades!$AT$9:$AT$508),0),4))</f>
        <v/>
      </c>
      <c r="U64" s="70" t="str">
        <f t="shared" si="10"/>
        <v/>
      </c>
      <c r="V64" s="70" t="str">
        <f>IF(AND($A64&lt;&gt;"",$E64="Open",$P64+N(IFERROR(LOOKUP(2,1/(_EngineTrades!$AU$9:$AU$508=$A64),_EngineTrades!$AP$9:$AP$508),0))&gt;0),ROUND(($R64-$O64)/($P64+N(IFERROR(LOOKUP(2,1/(_EngineTrades!$AU$9:$AU$508=$A64),_EngineTrades!$AP$9:$AP$508),0))),4),"")</f>
        <v/>
      </c>
      <c r="W64" s="72" t="str">
        <f>IF($A64="","",MAX(1,IF($G64="",_EngineTrades!$E$3-$F64,$G64-$F64)))</f>
        <v/>
      </c>
      <c r="X64" s="73" t="str">
        <f t="shared" si="11"/>
        <v/>
      </c>
      <c r="Y64" s="73" t="str">
        <f t="shared" si="12"/>
        <v/>
      </c>
      <c r="Z64" s="44">
        <f>IF(Cycles!U64="",0,Cycles!U64)</f>
        <v>0</v>
      </c>
      <c r="AA64" s="44">
        <f>IF(Cycles!V64="",0,Cycles!V64)</f>
        <v>0</v>
      </c>
      <c r="AB64" s="44">
        <f>IF(Cycles!W64="",0,Cycles!W64)</f>
        <v>0</v>
      </c>
      <c r="AC64" s="44">
        <f>IF(Cycles!X64="",0,Cycles!X64)</f>
        <v>0</v>
      </c>
      <c r="AD64" s="70" t="str">
        <f t="shared" si="13"/>
        <v/>
      </c>
      <c r="AE64" s="70" t="str">
        <f t="shared" si="14"/>
        <v/>
      </c>
      <c r="AF64" s="70" t="str">
        <f t="shared" si="15"/>
        <v/>
      </c>
      <c r="AG64" t="str">
        <f>IFERROR(MATCH(ROWS($AG$9:AG64),_EngineTrades!$AW$9:$AW$508,0)+8,"")</f>
        <v/>
      </c>
    </row>
    <row r="65" spans="1:33" ht="15" x14ac:dyDescent="0.25">
      <c r="A65" s="61" t="str">
        <f>IF($AG65="","",IFERROR(INDEX(_EngineTrades!$AU$9:$AU$508,MATCH($AG65,_EngineTrades!$AV$9:$AV$508,0)),""))</f>
        <v/>
      </c>
      <c r="B65" s="61" t="str">
        <f>IF($A65="","",INDEX(_EngineTrades!$B$9:$B$508,MATCH($AG65,_EngineTrades!$AV$9:$AV$508,0)))</f>
        <v/>
      </c>
      <c r="C65" s="61" t="str">
        <f>IF($A65="","",INDEX(_EngineTrades!$T$9:$T$508,MATCH($AG65,_EngineTrades!$AV$9:$AV$508,0)))</f>
        <v/>
      </c>
      <c r="D65" s="47" t="str">
        <f>IF($A65="","",INDEX(_EngineTrades!$C$9:$C$508,MATCH($AG65,_EngineTrades!$AV$9:$AV$508,0)))</f>
        <v/>
      </c>
      <c r="E65" s="62" t="str">
        <f>IF($A65="","",IF(IFERROR(LOOKUP(2,1/(_EngineTrades!$AU$9:$AU$508=$A65),_EngineTrades!$AR$9:$AR$508),FALSE),"Closed","Open"))</f>
        <v/>
      </c>
      <c r="F65" s="63" t="str">
        <f>IF($A65="","",INDEX(_EngineTrades!$E$9:$E$508,$AG65-8))</f>
        <v/>
      </c>
      <c r="G65" s="63" t="str">
        <f>IF(OR($A65="",$E65&lt;&gt;"Closed"),"",IFERROR(INDEX(_EngineTrades!$E$9:$E$508,SUMIFS(_EngineTrades!$AX$9:$AX$508,_EngineTrades!$AU$9:$AU$508,$A65)-8),""))</f>
        <v/>
      </c>
      <c r="H65" s="49" t="str">
        <f>IF($A65="","",ROUND(SUMIFS(_EngineTrades!$Y$9:$Y$508,_EngineTrades!$AU$9:$AU$508,$A65),4))</f>
        <v/>
      </c>
      <c r="I65" s="49" t="str">
        <f>IF($A65="","",ROUND(SUMIFS(_EngineTrades!$Z$9:$Z$508,_EngineTrades!$AU$9:$AU$508,$A65),4))</f>
        <v/>
      </c>
      <c r="J65" s="45" t="str">
        <f t="shared" si="8"/>
        <v/>
      </c>
      <c r="K65" s="49" t="str">
        <f>IF($A65="","",ROUND(SUMIFS(_EngineTrades!$AA$9:$AA$508,_EngineTrades!$AU$9:$AU$508,$A65),4))</f>
        <v/>
      </c>
      <c r="L65" s="49" t="str">
        <f>IF($A65="","",ROUND(SUMIFS(_EngineTrades!$AB$9:$AB$508,_EngineTrades!$AU$9:$AU$508,$A65),4))</f>
        <v/>
      </c>
      <c r="M65" s="49" t="str">
        <f>IF($A65="","",ROUND(SUMIFS(_EngineTrades!$AC$9:$AC$508,_EngineTrades!$AU$9:$AU$508,$A65),4))</f>
        <v/>
      </c>
      <c r="N65" s="49" t="str">
        <f>IF($A65="","",ROUND(SUMIFS(_EngineTrades!$AD$9:$AD$508,_EngineTrades!$AU$9:$AU$508,$A65),4))</f>
        <v/>
      </c>
      <c r="O65" s="45" t="str">
        <f t="shared" si="9"/>
        <v/>
      </c>
      <c r="P65" s="61">
        <f>IF(OR($A65="",$E65&lt;&gt;"Open"),0,IFERROR(LOOKUP(2,1/(_EngineTrades!$AU$9:$AU$508=$A65),_EngineTrades!$AM$9:$AM$508),0))</f>
        <v>0</v>
      </c>
      <c r="Q65" s="49" t="str">
        <f>IF(OR($A65="",$P65=0),"",ROUND(IFERROR(LOOKUP(2,1/(_EngineTrades!$AU$9:$AU$508=$A65),_EngineTrades!$AN$9:$AN$508),0)/$P65,4))</f>
        <v/>
      </c>
      <c r="R65" s="49">
        <f>IF(OR($A65="",$E65&lt;&gt;"Open"),0,IFERROR(LOOKUP(2,1/(_EngineTrades!$AU$9:$AU$508=$A65),_EngineTrades!$AO$9:$AO$508),0))</f>
        <v>0</v>
      </c>
      <c r="S65" s="49">
        <f>IF(OR($A65="",$E65&lt;&gt;"Open"),0,ROUND($R65+IFERROR(LOOKUP(2,1/(_EngineTrades!$AU$9:$AU$508=$A65),_EngineTrades!$AN$9:$AN$508),0),4))</f>
        <v>0</v>
      </c>
      <c r="T65" s="49" t="str">
        <f>IF($A65="","",ROUND(IFERROR(LOOKUP(2,1/(_EngineTrades!$AU$9:$AU$508=$A65),_EngineTrades!$AT$9:$AT$508),0),4))</f>
        <v/>
      </c>
      <c r="U65" s="49" t="str">
        <f t="shared" si="10"/>
        <v/>
      </c>
      <c r="V65" s="49" t="str">
        <f>IF(AND($A65&lt;&gt;"",$E65="Open",$P65+N(IFERROR(LOOKUP(2,1/(_EngineTrades!$AU$9:$AU$508=$A65),_EngineTrades!$AP$9:$AP$508),0))&gt;0),ROUND(($R65-$O65)/($P65+N(IFERROR(LOOKUP(2,1/(_EngineTrades!$AU$9:$AU$508=$A65),_EngineTrades!$AP$9:$AP$508),0))),4),"")</f>
        <v/>
      </c>
      <c r="W65" s="64" t="str">
        <f>IF($A65="","",MAX(1,IF($G65="",_EngineTrades!$E$3-$F65,$G65-$F65)))</f>
        <v/>
      </c>
      <c r="X65" s="65" t="str">
        <f t="shared" si="11"/>
        <v/>
      </c>
      <c r="Y65" s="65" t="str">
        <f t="shared" si="12"/>
        <v/>
      </c>
      <c r="Z65" s="44">
        <f>IF(Cycles!U65="",0,Cycles!U65)</f>
        <v>0</v>
      </c>
      <c r="AA65" s="44">
        <f>IF(Cycles!V65="",0,Cycles!V65)</f>
        <v>0</v>
      </c>
      <c r="AB65" s="44">
        <f>IF(Cycles!W65="",0,Cycles!W65)</f>
        <v>0</v>
      </c>
      <c r="AC65" s="44">
        <f>IF(Cycles!X65="",0,Cycles!X65)</f>
        <v>0</v>
      </c>
      <c r="AD65" s="49" t="str">
        <f t="shared" si="13"/>
        <v/>
      </c>
      <c r="AE65" s="49" t="str">
        <f t="shared" si="14"/>
        <v/>
      </c>
      <c r="AF65" s="49" t="str">
        <f t="shared" si="15"/>
        <v/>
      </c>
      <c r="AG65" t="str">
        <f>IFERROR(MATCH(ROWS($AG$9:AG65),_EngineTrades!$AW$9:$AW$508,0)+8,"")</f>
        <v/>
      </c>
    </row>
    <row r="66" spans="1:33" ht="15" x14ac:dyDescent="0.25">
      <c r="A66" s="66" t="str">
        <f>IF($AG66="","",IFERROR(INDEX(_EngineTrades!$AU$9:$AU$508,MATCH($AG66,_EngineTrades!$AV$9:$AV$508,0)),""))</f>
        <v/>
      </c>
      <c r="B66" s="66" t="str">
        <f>IF($A66="","",INDEX(_EngineTrades!$B$9:$B$508,MATCH($AG66,_EngineTrades!$AV$9:$AV$508,0)))</f>
        <v/>
      </c>
      <c r="C66" s="66" t="str">
        <f>IF($A66="","",INDEX(_EngineTrades!$T$9:$T$508,MATCH($AG66,_EngineTrades!$AV$9:$AV$508,0)))</f>
        <v/>
      </c>
      <c r="D66" s="67" t="str">
        <f>IF($A66="","",INDEX(_EngineTrades!$C$9:$C$508,MATCH($AG66,_EngineTrades!$AV$9:$AV$508,0)))</f>
        <v/>
      </c>
      <c r="E66" s="68" t="str">
        <f>IF($A66="","",IF(IFERROR(LOOKUP(2,1/(_EngineTrades!$AU$9:$AU$508=$A66),_EngineTrades!$AR$9:$AR$508),FALSE),"Closed","Open"))</f>
        <v/>
      </c>
      <c r="F66" s="69" t="str">
        <f>IF($A66="","",INDEX(_EngineTrades!$E$9:$E$508,$AG66-8))</f>
        <v/>
      </c>
      <c r="G66" s="69" t="str">
        <f>IF(OR($A66="",$E66&lt;&gt;"Closed"),"",IFERROR(INDEX(_EngineTrades!$E$9:$E$508,SUMIFS(_EngineTrades!$AX$9:$AX$508,_EngineTrades!$AU$9:$AU$508,$A66)-8),""))</f>
        <v/>
      </c>
      <c r="H66" s="70" t="str">
        <f>IF($A66="","",ROUND(SUMIFS(_EngineTrades!$Y$9:$Y$508,_EngineTrades!$AU$9:$AU$508,$A66),4))</f>
        <v/>
      </c>
      <c r="I66" s="70" t="str">
        <f>IF($A66="","",ROUND(SUMIFS(_EngineTrades!$Z$9:$Z$508,_EngineTrades!$AU$9:$AU$508,$A66),4))</f>
        <v/>
      </c>
      <c r="J66" s="71" t="str">
        <f t="shared" si="8"/>
        <v/>
      </c>
      <c r="K66" s="70" t="str">
        <f>IF($A66="","",ROUND(SUMIFS(_EngineTrades!$AA$9:$AA$508,_EngineTrades!$AU$9:$AU$508,$A66),4))</f>
        <v/>
      </c>
      <c r="L66" s="70" t="str">
        <f>IF($A66="","",ROUND(SUMIFS(_EngineTrades!$AB$9:$AB$508,_EngineTrades!$AU$9:$AU$508,$A66),4))</f>
        <v/>
      </c>
      <c r="M66" s="70" t="str">
        <f>IF($A66="","",ROUND(SUMIFS(_EngineTrades!$AC$9:$AC$508,_EngineTrades!$AU$9:$AU$508,$A66),4))</f>
        <v/>
      </c>
      <c r="N66" s="70" t="str">
        <f>IF($A66="","",ROUND(SUMIFS(_EngineTrades!$AD$9:$AD$508,_EngineTrades!$AU$9:$AU$508,$A66),4))</f>
        <v/>
      </c>
      <c r="O66" s="71" t="str">
        <f t="shared" si="9"/>
        <v/>
      </c>
      <c r="P66" s="66">
        <f>IF(OR($A66="",$E66&lt;&gt;"Open"),0,IFERROR(LOOKUP(2,1/(_EngineTrades!$AU$9:$AU$508=$A66),_EngineTrades!$AM$9:$AM$508),0))</f>
        <v>0</v>
      </c>
      <c r="Q66" s="70" t="str">
        <f>IF(OR($A66="",$P66=0),"",ROUND(IFERROR(LOOKUP(2,1/(_EngineTrades!$AU$9:$AU$508=$A66),_EngineTrades!$AN$9:$AN$508),0)/$P66,4))</f>
        <v/>
      </c>
      <c r="R66" s="70">
        <f>IF(OR($A66="",$E66&lt;&gt;"Open"),0,IFERROR(LOOKUP(2,1/(_EngineTrades!$AU$9:$AU$508=$A66),_EngineTrades!$AO$9:$AO$508),0))</f>
        <v>0</v>
      </c>
      <c r="S66" s="70">
        <f>IF(OR($A66="",$E66&lt;&gt;"Open"),0,ROUND($R66+IFERROR(LOOKUP(2,1/(_EngineTrades!$AU$9:$AU$508=$A66),_EngineTrades!$AN$9:$AN$508),0),4))</f>
        <v>0</v>
      </c>
      <c r="T66" s="70" t="str">
        <f>IF($A66="","",ROUND(IFERROR(LOOKUP(2,1/(_EngineTrades!$AU$9:$AU$508=$A66),_EngineTrades!$AT$9:$AT$508),0),4))</f>
        <v/>
      </c>
      <c r="U66" s="70" t="str">
        <f t="shared" si="10"/>
        <v/>
      </c>
      <c r="V66" s="70" t="str">
        <f>IF(AND($A66&lt;&gt;"",$E66="Open",$P66+N(IFERROR(LOOKUP(2,1/(_EngineTrades!$AU$9:$AU$508=$A66),_EngineTrades!$AP$9:$AP$508),0))&gt;0),ROUND(($R66-$O66)/($P66+N(IFERROR(LOOKUP(2,1/(_EngineTrades!$AU$9:$AU$508=$A66),_EngineTrades!$AP$9:$AP$508),0))),4),"")</f>
        <v/>
      </c>
      <c r="W66" s="72" t="str">
        <f>IF($A66="","",MAX(1,IF($G66="",_EngineTrades!$E$3-$F66,$G66-$F66)))</f>
        <v/>
      </c>
      <c r="X66" s="73" t="str">
        <f t="shared" si="11"/>
        <v/>
      </c>
      <c r="Y66" s="73" t="str">
        <f t="shared" si="12"/>
        <v/>
      </c>
      <c r="Z66" s="44">
        <f>IF(Cycles!U66="",0,Cycles!U66)</f>
        <v>0</v>
      </c>
      <c r="AA66" s="44">
        <f>IF(Cycles!V66="",0,Cycles!V66)</f>
        <v>0</v>
      </c>
      <c r="AB66" s="44">
        <f>IF(Cycles!W66="",0,Cycles!W66)</f>
        <v>0</v>
      </c>
      <c r="AC66" s="44">
        <f>IF(Cycles!X66="",0,Cycles!X66)</f>
        <v>0</v>
      </c>
      <c r="AD66" s="70" t="str">
        <f t="shared" si="13"/>
        <v/>
      </c>
      <c r="AE66" s="70" t="str">
        <f t="shared" si="14"/>
        <v/>
      </c>
      <c r="AF66" s="70" t="str">
        <f t="shared" si="15"/>
        <v/>
      </c>
      <c r="AG66" t="str">
        <f>IFERROR(MATCH(ROWS($AG$9:AG66),_EngineTrades!$AW$9:$AW$508,0)+8,"")</f>
        <v/>
      </c>
    </row>
    <row r="67" spans="1:33" ht="15" x14ac:dyDescent="0.25">
      <c r="A67" s="61" t="str">
        <f>IF($AG67="","",IFERROR(INDEX(_EngineTrades!$AU$9:$AU$508,MATCH($AG67,_EngineTrades!$AV$9:$AV$508,0)),""))</f>
        <v/>
      </c>
      <c r="B67" s="61" t="str">
        <f>IF($A67="","",INDEX(_EngineTrades!$B$9:$B$508,MATCH($AG67,_EngineTrades!$AV$9:$AV$508,0)))</f>
        <v/>
      </c>
      <c r="C67" s="61" t="str">
        <f>IF($A67="","",INDEX(_EngineTrades!$T$9:$T$508,MATCH($AG67,_EngineTrades!$AV$9:$AV$508,0)))</f>
        <v/>
      </c>
      <c r="D67" s="47" t="str">
        <f>IF($A67="","",INDEX(_EngineTrades!$C$9:$C$508,MATCH($AG67,_EngineTrades!$AV$9:$AV$508,0)))</f>
        <v/>
      </c>
      <c r="E67" s="62" t="str">
        <f>IF($A67="","",IF(IFERROR(LOOKUP(2,1/(_EngineTrades!$AU$9:$AU$508=$A67),_EngineTrades!$AR$9:$AR$508),FALSE),"Closed","Open"))</f>
        <v/>
      </c>
      <c r="F67" s="63" t="str">
        <f>IF($A67="","",INDEX(_EngineTrades!$E$9:$E$508,$AG67-8))</f>
        <v/>
      </c>
      <c r="G67" s="63" t="str">
        <f>IF(OR($A67="",$E67&lt;&gt;"Closed"),"",IFERROR(INDEX(_EngineTrades!$E$9:$E$508,SUMIFS(_EngineTrades!$AX$9:$AX$508,_EngineTrades!$AU$9:$AU$508,$A67)-8),""))</f>
        <v/>
      </c>
      <c r="H67" s="49" t="str">
        <f>IF($A67="","",ROUND(SUMIFS(_EngineTrades!$Y$9:$Y$508,_EngineTrades!$AU$9:$AU$508,$A67),4))</f>
        <v/>
      </c>
      <c r="I67" s="49" t="str">
        <f>IF($A67="","",ROUND(SUMIFS(_EngineTrades!$Z$9:$Z$508,_EngineTrades!$AU$9:$AU$508,$A67),4))</f>
        <v/>
      </c>
      <c r="J67" s="45" t="str">
        <f t="shared" si="8"/>
        <v/>
      </c>
      <c r="K67" s="49" t="str">
        <f>IF($A67="","",ROUND(SUMIFS(_EngineTrades!$AA$9:$AA$508,_EngineTrades!$AU$9:$AU$508,$A67),4))</f>
        <v/>
      </c>
      <c r="L67" s="49" t="str">
        <f>IF($A67="","",ROUND(SUMIFS(_EngineTrades!$AB$9:$AB$508,_EngineTrades!$AU$9:$AU$508,$A67),4))</f>
        <v/>
      </c>
      <c r="M67" s="49" t="str">
        <f>IF($A67="","",ROUND(SUMIFS(_EngineTrades!$AC$9:$AC$508,_EngineTrades!$AU$9:$AU$508,$A67),4))</f>
        <v/>
      </c>
      <c r="N67" s="49" t="str">
        <f>IF($A67="","",ROUND(SUMIFS(_EngineTrades!$AD$9:$AD$508,_EngineTrades!$AU$9:$AU$508,$A67),4))</f>
        <v/>
      </c>
      <c r="O67" s="45" t="str">
        <f t="shared" si="9"/>
        <v/>
      </c>
      <c r="P67" s="61">
        <f>IF(OR($A67="",$E67&lt;&gt;"Open"),0,IFERROR(LOOKUP(2,1/(_EngineTrades!$AU$9:$AU$508=$A67),_EngineTrades!$AM$9:$AM$508),0))</f>
        <v>0</v>
      </c>
      <c r="Q67" s="49" t="str">
        <f>IF(OR($A67="",$P67=0),"",ROUND(IFERROR(LOOKUP(2,1/(_EngineTrades!$AU$9:$AU$508=$A67),_EngineTrades!$AN$9:$AN$508),0)/$P67,4))</f>
        <v/>
      </c>
      <c r="R67" s="49">
        <f>IF(OR($A67="",$E67&lt;&gt;"Open"),0,IFERROR(LOOKUP(2,1/(_EngineTrades!$AU$9:$AU$508=$A67),_EngineTrades!$AO$9:$AO$508),0))</f>
        <v>0</v>
      </c>
      <c r="S67" s="49">
        <f>IF(OR($A67="",$E67&lt;&gt;"Open"),0,ROUND($R67+IFERROR(LOOKUP(2,1/(_EngineTrades!$AU$9:$AU$508=$A67),_EngineTrades!$AN$9:$AN$508),0),4))</f>
        <v>0</v>
      </c>
      <c r="T67" s="49" t="str">
        <f>IF($A67="","",ROUND(IFERROR(LOOKUP(2,1/(_EngineTrades!$AU$9:$AU$508=$A67),_EngineTrades!$AT$9:$AT$508),0),4))</f>
        <v/>
      </c>
      <c r="U67" s="49" t="str">
        <f t="shared" si="10"/>
        <v/>
      </c>
      <c r="V67" s="49" t="str">
        <f>IF(AND($A67&lt;&gt;"",$E67="Open",$P67+N(IFERROR(LOOKUP(2,1/(_EngineTrades!$AU$9:$AU$508=$A67),_EngineTrades!$AP$9:$AP$508),0))&gt;0),ROUND(($R67-$O67)/($P67+N(IFERROR(LOOKUP(2,1/(_EngineTrades!$AU$9:$AU$508=$A67),_EngineTrades!$AP$9:$AP$508),0))),4),"")</f>
        <v/>
      </c>
      <c r="W67" s="64" t="str">
        <f>IF($A67="","",MAX(1,IF($G67="",_EngineTrades!$E$3-$F67,$G67-$F67)))</f>
        <v/>
      </c>
      <c r="X67" s="65" t="str">
        <f t="shared" si="11"/>
        <v/>
      </c>
      <c r="Y67" s="65" t="str">
        <f t="shared" si="12"/>
        <v/>
      </c>
      <c r="Z67" s="44">
        <f>IF(Cycles!U67="",0,Cycles!U67)</f>
        <v>0</v>
      </c>
      <c r="AA67" s="44">
        <f>IF(Cycles!V67="",0,Cycles!V67)</f>
        <v>0</v>
      </c>
      <c r="AB67" s="44">
        <f>IF(Cycles!W67="",0,Cycles!W67)</f>
        <v>0</v>
      </c>
      <c r="AC67" s="44">
        <f>IF(Cycles!X67="",0,Cycles!X67)</f>
        <v>0</v>
      </c>
      <c r="AD67" s="49" t="str">
        <f t="shared" si="13"/>
        <v/>
      </c>
      <c r="AE67" s="49" t="str">
        <f t="shared" si="14"/>
        <v/>
      </c>
      <c r="AF67" s="49" t="str">
        <f t="shared" si="15"/>
        <v/>
      </c>
      <c r="AG67" t="str">
        <f>IFERROR(MATCH(ROWS($AG$9:AG67),_EngineTrades!$AW$9:$AW$508,0)+8,"")</f>
        <v/>
      </c>
    </row>
    <row r="68" spans="1:33" ht="15" x14ac:dyDescent="0.25">
      <c r="A68" s="66" t="str">
        <f>IF($AG68="","",IFERROR(INDEX(_EngineTrades!$AU$9:$AU$508,MATCH($AG68,_EngineTrades!$AV$9:$AV$508,0)),""))</f>
        <v/>
      </c>
      <c r="B68" s="66" t="str">
        <f>IF($A68="","",INDEX(_EngineTrades!$B$9:$B$508,MATCH($AG68,_EngineTrades!$AV$9:$AV$508,0)))</f>
        <v/>
      </c>
      <c r="C68" s="66" t="str">
        <f>IF($A68="","",INDEX(_EngineTrades!$T$9:$T$508,MATCH($AG68,_EngineTrades!$AV$9:$AV$508,0)))</f>
        <v/>
      </c>
      <c r="D68" s="67" t="str">
        <f>IF($A68="","",INDEX(_EngineTrades!$C$9:$C$508,MATCH($AG68,_EngineTrades!$AV$9:$AV$508,0)))</f>
        <v/>
      </c>
      <c r="E68" s="68" t="str">
        <f>IF($A68="","",IF(IFERROR(LOOKUP(2,1/(_EngineTrades!$AU$9:$AU$508=$A68),_EngineTrades!$AR$9:$AR$508),FALSE),"Closed","Open"))</f>
        <v/>
      </c>
      <c r="F68" s="69" t="str">
        <f>IF($A68="","",INDEX(_EngineTrades!$E$9:$E$508,$AG68-8))</f>
        <v/>
      </c>
      <c r="G68" s="69" t="str">
        <f>IF(OR($A68="",$E68&lt;&gt;"Closed"),"",IFERROR(INDEX(_EngineTrades!$E$9:$E$508,SUMIFS(_EngineTrades!$AX$9:$AX$508,_EngineTrades!$AU$9:$AU$508,$A68)-8),""))</f>
        <v/>
      </c>
      <c r="H68" s="70" t="str">
        <f>IF($A68="","",ROUND(SUMIFS(_EngineTrades!$Y$9:$Y$508,_EngineTrades!$AU$9:$AU$508,$A68),4))</f>
        <v/>
      </c>
      <c r="I68" s="70" t="str">
        <f>IF($A68="","",ROUND(SUMIFS(_EngineTrades!$Z$9:$Z$508,_EngineTrades!$AU$9:$AU$508,$A68),4))</f>
        <v/>
      </c>
      <c r="J68" s="71" t="str">
        <f t="shared" si="8"/>
        <v/>
      </c>
      <c r="K68" s="70" t="str">
        <f>IF($A68="","",ROUND(SUMIFS(_EngineTrades!$AA$9:$AA$508,_EngineTrades!$AU$9:$AU$508,$A68),4))</f>
        <v/>
      </c>
      <c r="L68" s="70" t="str">
        <f>IF($A68="","",ROUND(SUMIFS(_EngineTrades!$AB$9:$AB$508,_EngineTrades!$AU$9:$AU$508,$A68),4))</f>
        <v/>
      </c>
      <c r="M68" s="70" t="str">
        <f>IF($A68="","",ROUND(SUMIFS(_EngineTrades!$AC$9:$AC$508,_EngineTrades!$AU$9:$AU$508,$A68),4))</f>
        <v/>
      </c>
      <c r="N68" s="70" t="str">
        <f>IF($A68="","",ROUND(SUMIFS(_EngineTrades!$AD$9:$AD$508,_EngineTrades!$AU$9:$AU$508,$A68),4))</f>
        <v/>
      </c>
      <c r="O68" s="71" t="str">
        <f t="shared" si="9"/>
        <v/>
      </c>
      <c r="P68" s="66">
        <f>IF(OR($A68="",$E68&lt;&gt;"Open"),0,IFERROR(LOOKUP(2,1/(_EngineTrades!$AU$9:$AU$508=$A68),_EngineTrades!$AM$9:$AM$508),0))</f>
        <v>0</v>
      </c>
      <c r="Q68" s="70" t="str">
        <f>IF(OR($A68="",$P68=0),"",ROUND(IFERROR(LOOKUP(2,1/(_EngineTrades!$AU$9:$AU$508=$A68),_EngineTrades!$AN$9:$AN$508),0)/$P68,4))</f>
        <v/>
      </c>
      <c r="R68" s="70">
        <f>IF(OR($A68="",$E68&lt;&gt;"Open"),0,IFERROR(LOOKUP(2,1/(_EngineTrades!$AU$9:$AU$508=$A68),_EngineTrades!$AO$9:$AO$508),0))</f>
        <v>0</v>
      </c>
      <c r="S68" s="70">
        <f>IF(OR($A68="",$E68&lt;&gt;"Open"),0,ROUND($R68+IFERROR(LOOKUP(2,1/(_EngineTrades!$AU$9:$AU$508=$A68),_EngineTrades!$AN$9:$AN$508),0),4))</f>
        <v>0</v>
      </c>
      <c r="T68" s="70" t="str">
        <f>IF($A68="","",ROUND(IFERROR(LOOKUP(2,1/(_EngineTrades!$AU$9:$AU$508=$A68),_EngineTrades!$AT$9:$AT$508),0),4))</f>
        <v/>
      </c>
      <c r="U68" s="70" t="str">
        <f t="shared" si="10"/>
        <v/>
      </c>
      <c r="V68" s="70" t="str">
        <f>IF(AND($A68&lt;&gt;"",$E68="Open",$P68+N(IFERROR(LOOKUP(2,1/(_EngineTrades!$AU$9:$AU$508=$A68),_EngineTrades!$AP$9:$AP$508),0))&gt;0),ROUND(($R68-$O68)/($P68+N(IFERROR(LOOKUP(2,1/(_EngineTrades!$AU$9:$AU$508=$A68),_EngineTrades!$AP$9:$AP$508),0))),4),"")</f>
        <v/>
      </c>
      <c r="W68" s="72" t="str">
        <f>IF($A68="","",MAX(1,IF($G68="",_EngineTrades!$E$3-$F68,$G68-$F68)))</f>
        <v/>
      </c>
      <c r="X68" s="73" t="str">
        <f t="shared" si="11"/>
        <v/>
      </c>
      <c r="Y68" s="73" t="str">
        <f t="shared" si="12"/>
        <v/>
      </c>
      <c r="Z68" s="44">
        <f>IF(Cycles!U68="",0,Cycles!U68)</f>
        <v>0</v>
      </c>
      <c r="AA68" s="44">
        <f>IF(Cycles!V68="",0,Cycles!V68)</f>
        <v>0</v>
      </c>
      <c r="AB68" s="44">
        <f>IF(Cycles!W68="",0,Cycles!W68)</f>
        <v>0</v>
      </c>
      <c r="AC68" s="44">
        <f>IF(Cycles!X68="",0,Cycles!X68)</f>
        <v>0</v>
      </c>
      <c r="AD68" s="70" t="str">
        <f t="shared" si="13"/>
        <v/>
      </c>
      <c r="AE68" s="70" t="str">
        <f t="shared" si="14"/>
        <v/>
      </c>
      <c r="AF68" s="70" t="str">
        <f t="shared" si="15"/>
        <v/>
      </c>
      <c r="AG68" t="str">
        <f>IFERROR(MATCH(ROWS($AG$9:AG68),_EngineTrades!$AW$9:$AW$508,0)+8,"")</f>
        <v/>
      </c>
    </row>
    <row r="69" spans="1:33" ht="15" x14ac:dyDescent="0.25">
      <c r="A69" s="61" t="str">
        <f>IF($AG69="","",IFERROR(INDEX(_EngineTrades!$AU$9:$AU$508,MATCH($AG69,_EngineTrades!$AV$9:$AV$508,0)),""))</f>
        <v/>
      </c>
      <c r="B69" s="61" t="str">
        <f>IF($A69="","",INDEX(_EngineTrades!$B$9:$B$508,MATCH($AG69,_EngineTrades!$AV$9:$AV$508,0)))</f>
        <v/>
      </c>
      <c r="C69" s="61" t="str">
        <f>IF($A69="","",INDEX(_EngineTrades!$T$9:$T$508,MATCH($AG69,_EngineTrades!$AV$9:$AV$508,0)))</f>
        <v/>
      </c>
      <c r="D69" s="47" t="str">
        <f>IF($A69="","",INDEX(_EngineTrades!$C$9:$C$508,MATCH($AG69,_EngineTrades!$AV$9:$AV$508,0)))</f>
        <v/>
      </c>
      <c r="E69" s="62" t="str">
        <f>IF($A69="","",IF(IFERROR(LOOKUP(2,1/(_EngineTrades!$AU$9:$AU$508=$A69),_EngineTrades!$AR$9:$AR$508),FALSE),"Closed","Open"))</f>
        <v/>
      </c>
      <c r="F69" s="63" t="str">
        <f>IF($A69="","",INDEX(_EngineTrades!$E$9:$E$508,$AG69-8))</f>
        <v/>
      </c>
      <c r="G69" s="63" t="str">
        <f>IF(OR($A69="",$E69&lt;&gt;"Closed"),"",IFERROR(INDEX(_EngineTrades!$E$9:$E$508,SUMIFS(_EngineTrades!$AX$9:$AX$508,_EngineTrades!$AU$9:$AU$508,$A69)-8),""))</f>
        <v/>
      </c>
      <c r="H69" s="49" t="str">
        <f>IF($A69="","",ROUND(SUMIFS(_EngineTrades!$Y$9:$Y$508,_EngineTrades!$AU$9:$AU$508,$A69),4))</f>
        <v/>
      </c>
      <c r="I69" s="49" t="str">
        <f>IF($A69="","",ROUND(SUMIFS(_EngineTrades!$Z$9:$Z$508,_EngineTrades!$AU$9:$AU$508,$A69),4))</f>
        <v/>
      </c>
      <c r="J69" s="45" t="str">
        <f t="shared" si="8"/>
        <v/>
      </c>
      <c r="K69" s="49" t="str">
        <f>IF($A69="","",ROUND(SUMIFS(_EngineTrades!$AA$9:$AA$508,_EngineTrades!$AU$9:$AU$508,$A69),4))</f>
        <v/>
      </c>
      <c r="L69" s="49" t="str">
        <f>IF($A69="","",ROUND(SUMIFS(_EngineTrades!$AB$9:$AB$508,_EngineTrades!$AU$9:$AU$508,$A69),4))</f>
        <v/>
      </c>
      <c r="M69" s="49" t="str">
        <f>IF($A69="","",ROUND(SUMIFS(_EngineTrades!$AC$9:$AC$508,_EngineTrades!$AU$9:$AU$508,$A69),4))</f>
        <v/>
      </c>
      <c r="N69" s="49" t="str">
        <f>IF($A69="","",ROUND(SUMIFS(_EngineTrades!$AD$9:$AD$508,_EngineTrades!$AU$9:$AU$508,$A69),4))</f>
        <v/>
      </c>
      <c r="O69" s="45" t="str">
        <f t="shared" si="9"/>
        <v/>
      </c>
      <c r="P69" s="61">
        <f>IF(OR($A69="",$E69&lt;&gt;"Open"),0,IFERROR(LOOKUP(2,1/(_EngineTrades!$AU$9:$AU$508=$A69),_EngineTrades!$AM$9:$AM$508),0))</f>
        <v>0</v>
      </c>
      <c r="Q69" s="49" t="str">
        <f>IF(OR($A69="",$P69=0),"",ROUND(IFERROR(LOOKUP(2,1/(_EngineTrades!$AU$9:$AU$508=$A69),_EngineTrades!$AN$9:$AN$508),0)/$P69,4))</f>
        <v/>
      </c>
      <c r="R69" s="49">
        <f>IF(OR($A69="",$E69&lt;&gt;"Open"),0,IFERROR(LOOKUP(2,1/(_EngineTrades!$AU$9:$AU$508=$A69),_EngineTrades!$AO$9:$AO$508),0))</f>
        <v>0</v>
      </c>
      <c r="S69" s="49">
        <f>IF(OR($A69="",$E69&lt;&gt;"Open"),0,ROUND($R69+IFERROR(LOOKUP(2,1/(_EngineTrades!$AU$9:$AU$508=$A69),_EngineTrades!$AN$9:$AN$508),0),4))</f>
        <v>0</v>
      </c>
      <c r="T69" s="49" t="str">
        <f>IF($A69="","",ROUND(IFERROR(LOOKUP(2,1/(_EngineTrades!$AU$9:$AU$508=$A69),_EngineTrades!$AT$9:$AT$508),0),4))</f>
        <v/>
      </c>
      <c r="U69" s="49" t="str">
        <f t="shared" si="10"/>
        <v/>
      </c>
      <c r="V69" s="49" t="str">
        <f>IF(AND($A69&lt;&gt;"",$E69="Open",$P69+N(IFERROR(LOOKUP(2,1/(_EngineTrades!$AU$9:$AU$508=$A69),_EngineTrades!$AP$9:$AP$508),0))&gt;0),ROUND(($R69-$O69)/($P69+N(IFERROR(LOOKUP(2,1/(_EngineTrades!$AU$9:$AU$508=$A69),_EngineTrades!$AP$9:$AP$508),0))),4),"")</f>
        <v/>
      </c>
      <c r="W69" s="64" t="str">
        <f>IF($A69="","",MAX(1,IF($G69="",_EngineTrades!$E$3-$F69,$G69-$F69)))</f>
        <v/>
      </c>
      <c r="X69" s="65" t="str">
        <f t="shared" si="11"/>
        <v/>
      </c>
      <c r="Y69" s="65" t="str">
        <f t="shared" si="12"/>
        <v/>
      </c>
      <c r="Z69" s="44">
        <f>IF(Cycles!U69="",0,Cycles!U69)</f>
        <v>0</v>
      </c>
      <c r="AA69" s="44">
        <f>IF(Cycles!V69="",0,Cycles!V69)</f>
        <v>0</v>
      </c>
      <c r="AB69" s="44">
        <f>IF(Cycles!W69="",0,Cycles!W69)</f>
        <v>0</v>
      </c>
      <c r="AC69" s="44">
        <f>IF(Cycles!X69="",0,Cycles!X69)</f>
        <v>0</v>
      </c>
      <c r="AD69" s="49" t="str">
        <f t="shared" si="13"/>
        <v/>
      </c>
      <c r="AE69" s="49" t="str">
        <f t="shared" si="14"/>
        <v/>
      </c>
      <c r="AF69" s="49" t="str">
        <f t="shared" si="15"/>
        <v/>
      </c>
      <c r="AG69" t="str">
        <f>IFERROR(MATCH(ROWS($AG$9:AG69),_EngineTrades!$AW$9:$AW$508,0)+8,"")</f>
        <v/>
      </c>
    </row>
    <row r="70" spans="1:33" ht="15" x14ac:dyDescent="0.25">
      <c r="A70" s="66" t="str">
        <f>IF($AG70="","",IFERROR(INDEX(_EngineTrades!$AU$9:$AU$508,MATCH($AG70,_EngineTrades!$AV$9:$AV$508,0)),""))</f>
        <v/>
      </c>
      <c r="B70" s="66" t="str">
        <f>IF($A70="","",INDEX(_EngineTrades!$B$9:$B$508,MATCH($AG70,_EngineTrades!$AV$9:$AV$508,0)))</f>
        <v/>
      </c>
      <c r="C70" s="66" t="str">
        <f>IF($A70="","",INDEX(_EngineTrades!$T$9:$T$508,MATCH($AG70,_EngineTrades!$AV$9:$AV$508,0)))</f>
        <v/>
      </c>
      <c r="D70" s="67" t="str">
        <f>IF($A70="","",INDEX(_EngineTrades!$C$9:$C$508,MATCH($AG70,_EngineTrades!$AV$9:$AV$508,0)))</f>
        <v/>
      </c>
      <c r="E70" s="68" t="str">
        <f>IF($A70="","",IF(IFERROR(LOOKUP(2,1/(_EngineTrades!$AU$9:$AU$508=$A70),_EngineTrades!$AR$9:$AR$508),FALSE),"Closed","Open"))</f>
        <v/>
      </c>
      <c r="F70" s="69" t="str">
        <f>IF($A70="","",INDEX(_EngineTrades!$E$9:$E$508,$AG70-8))</f>
        <v/>
      </c>
      <c r="G70" s="69" t="str">
        <f>IF(OR($A70="",$E70&lt;&gt;"Closed"),"",IFERROR(INDEX(_EngineTrades!$E$9:$E$508,SUMIFS(_EngineTrades!$AX$9:$AX$508,_EngineTrades!$AU$9:$AU$508,$A70)-8),""))</f>
        <v/>
      </c>
      <c r="H70" s="70" t="str">
        <f>IF($A70="","",ROUND(SUMIFS(_EngineTrades!$Y$9:$Y$508,_EngineTrades!$AU$9:$AU$508,$A70),4))</f>
        <v/>
      </c>
      <c r="I70" s="70" t="str">
        <f>IF($A70="","",ROUND(SUMIFS(_EngineTrades!$Z$9:$Z$508,_EngineTrades!$AU$9:$AU$508,$A70),4))</f>
        <v/>
      </c>
      <c r="J70" s="71" t="str">
        <f t="shared" si="8"/>
        <v/>
      </c>
      <c r="K70" s="70" t="str">
        <f>IF($A70="","",ROUND(SUMIFS(_EngineTrades!$AA$9:$AA$508,_EngineTrades!$AU$9:$AU$508,$A70),4))</f>
        <v/>
      </c>
      <c r="L70" s="70" t="str">
        <f>IF($A70="","",ROUND(SUMIFS(_EngineTrades!$AB$9:$AB$508,_EngineTrades!$AU$9:$AU$508,$A70),4))</f>
        <v/>
      </c>
      <c r="M70" s="70" t="str">
        <f>IF($A70="","",ROUND(SUMIFS(_EngineTrades!$AC$9:$AC$508,_EngineTrades!$AU$9:$AU$508,$A70),4))</f>
        <v/>
      </c>
      <c r="N70" s="70" t="str">
        <f>IF($A70="","",ROUND(SUMIFS(_EngineTrades!$AD$9:$AD$508,_EngineTrades!$AU$9:$AU$508,$A70),4))</f>
        <v/>
      </c>
      <c r="O70" s="71" t="str">
        <f t="shared" si="9"/>
        <v/>
      </c>
      <c r="P70" s="66">
        <f>IF(OR($A70="",$E70&lt;&gt;"Open"),0,IFERROR(LOOKUP(2,1/(_EngineTrades!$AU$9:$AU$508=$A70),_EngineTrades!$AM$9:$AM$508),0))</f>
        <v>0</v>
      </c>
      <c r="Q70" s="70" t="str">
        <f>IF(OR($A70="",$P70=0),"",ROUND(IFERROR(LOOKUP(2,1/(_EngineTrades!$AU$9:$AU$508=$A70),_EngineTrades!$AN$9:$AN$508),0)/$P70,4))</f>
        <v/>
      </c>
      <c r="R70" s="70">
        <f>IF(OR($A70="",$E70&lt;&gt;"Open"),0,IFERROR(LOOKUP(2,1/(_EngineTrades!$AU$9:$AU$508=$A70),_EngineTrades!$AO$9:$AO$508),0))</f>
        <v>0</v>
      </c>
      <c r="S70" s="70">
        <f>IF(OR($A70="",$E70&lt;&gt;"Open"),0,ROUND($R70+IFERROR(LOOKUP(2,1/(_EngineTrades!$AU$9:$AU$508=$A70),_EngineTrades!$AN$9:$AN$508),0),4))</f>
        <v>0</v>
      </c>
      <c r="T70" s="70" t="str">
        <f>IF($A70="","",ROUND(IFERROR(LOOKUP(2,1/(_EngineTrades!$AU$9:$AU$508=$A70),_EngineTrades!$AT$9:$AT$508),0),4))</f>
        <v/>
      </c>
      <c r="U70" s="70" t="str">
        <f t="shared" si="10"/>
        <v/>
      </c>
      <c r="V70" s="70" t="str">
        <f>IF(AND($A70&lt;&gt;"",$E70="Open",$P70+N(IFERROR(LOOKUP(2,1/(_EngineTrades!$AU$9:$AU$508=$A70),_EngineTrades!$AP$9:$AP$508),0))&gt;0),ROUND(($R70-$O70)/($P70+N(IFERROR(LOOKUP(2,1/(_EngineTrades!$AU$9:$AU$508=$A70),_EngineTrades!$AP$9:$AP$508),0))),4),"")</f>
        <v/>
      </c>
      <c r="W70" s="72" t="str">
        <f>IF($A70="","",MAX(1,IF($G70="",_EngineTrades!$E$3-$F70,$G70-$F70)))</f>
        <v/>
      </c>
      <c r="X70" s="73" t="str">
        <f t="shared" si="11"/>
        <v/>
      </c>
      <c r="Y70" s="73" t="str">
        <f t="shared" si="12"/>
        <v/>
      </c>
      <c r="Z70" s="44">
        <f>IF(Cycles!U70="",0,Cycles!U70)</f>
        <v>0</v>
      </c>
      <c r="AA70" s="44">
        <f>IF(Cycles!V70="",0,Cycles!V70)</f>
        <v>0</v>
      </c>
      <c r="AB70" s="44">
        <f>IF(Cycles!W70="",0,Cycles!W70)</f>
        <v>0</v>
      </c>
      <c r="AC70" s="44">
        <f>IF(Cycles!X70="",0,Cycles!X70)</f>
        <v>0</v>
      </c>
      <c r="AD70" s="70" t="str">
        <f t="shared" si="13"/>
        <v/>
      </c>
      <c r="AE70" s="70" t="str">
        <f t="shared" si="14"/>
        <v/>
      </c>
      <c r="AF70" s="70" t="str">
        <f t="shared" si="15"/>
        <v/>
      </c>
      <c r="AG70" t="str">
        <f>IFERROR(MATCH(ROWS($AG$9:AG70),_EngineTrades!$AW$9:$AW$508,0)+8,"")</f>
        <v/>
      </c>
    </row>
    <row r="71" spans="1:33" ht="15" x14ac:dyDescent="0.25">
      <c r="A71" s="61" t="str">
        <f>IF($AG71="","",IFERROR(INDEX(_EngineTrades!$AU$9:$AU$508,MATCH($AG71,_EngineTrades!$AV$9:$AV$508,0)),""))</f>
        <v/>
      </c>
      <c r="B71" s="61" t="str">
        <f>IF($A71="","",INDEX(_EngineTrades!$B$9:$B$508,MATCH($AG71,_EngineTrades!$AV$9:$AV$508,0)))</f>
        <v/>
      </c>
      <c r="C71" s="61" t="str">
        <f>IF($A71="","",INDEX(_EngineTrades!$T$9:$T$508,MATCH($AG71,_EngineTrades!$AV$9:$AV$508,0)))</f>
        <v/>
      </c>
      <c r="D71" s="47" t="str">
        <f>IF($A71="","",INDEX(_EngineTrades!$C$9:$C$508,MATCH($AG71,_EngineTrades!$AV$9:$AV$508,0)))</f>
        <v/>
      </c>
      <c r="E71" s="62" t="str">
        <f>IF($A71="","",IF(IFERROR(LOOKUP(2,1/(_EngineTrades!$AU$9:$AU$508=$A71),_EngineTrades!$AR$9:$AR$508),FALSE),"Closed","Open"))</f>
        <v/>
      </c>
      <c r="F71" s="63" t="str">
        <f>IF($A71="","",INDEX(_EngineTrades!$E$9:$E$508,$AG71-8))</f>
        <v/>
      </c>
      <c r="G71" s="63" t="str">
        <f>IF(OR($A71="",$E71&lt;&gt;"Closed"),"",IFERROR(INDEX(_EngineTrades!$E$9:$E$508,SUMIFS(_EngineTrades!$AX$9:$AX$508,_EngineTrades!$AU$9:$AU$508,$A71)-8),""))</f>
        <v/>
      </c>
      <c r="H71" s="49" t="str">
        <f>IF($A71="","",ROUND(SUMIFS(_EngineTrades!$Y$9:$Y$508,_EngineTrades!$AU$9:$AU$508,$A71),4))</f>
        <v/>
      </c>
      <c r="I71" s="49" t="str">
        <f>IF($A71="","",ROUND(SUMIFS(_EngineTrades!$Z$9:$Z$508,_EngineTrades!$AU$9:$AU$508,$A71),4))</f>
        <v/>
      </c>
      <c r="J71" s="45" t="str">
        <f t="shared" si="8"/>
        <v/>
      </c>
      <c r="K71" s="49" t="str">
        <f>IF($A71="","",ROUND(SUMIFS(_EngineTrades!$AA$9:$AA$508,_EngineTrades!$AU$9:$AU$508,$A71),4))</f>
        <v/>
      </c>
      <c r="L71" s="49" t="str">
        <f>IF($A71="","",ROUND(SUMIFS(_EngineTrades!$AB$9:$AB$508,_EngineTrades!$AU$9:$AU$508,$A71),4))</f>
        <v/>
      </c>
      <c r="M71" s="49" t="str">
        <f>IF($A71="","",ROUND(SUMIFS(_EngineTrades!$AC$9:$AC$508,_EngineTrades!$AU$9:$AU$508,$A71),4))</f>
        <v/>
      </c>
      <c r="N71" s="49" t="str">
        <f>IF($A71="","",ROUND(SUMIFS(_EngineTrades!$AD$9:$AD$508,_EngineTrades!$AU$9:$AU$508,$A71),4))</f>
        <v/>
      </c>
      <c r="O71" s="45" t="str">
        <f t="shared" si="9"/>
        <v/>
      </c>
      <c r="P71" s="61">
        <f>IF(OR($A71="",$E71&lt;&gt;"Open"),0,IFERROR(LOOKUP(2,1/(_EngineTrades!$AU$9:$AU$508=$A71),_EngineTrades!$AM$9:$AM$508),0))</f>
        <v>0</v>
      </c>
      <c r="Q71" s="49" t="str">
        <f>IF(OR($A71="",$P71=0),"",ROUND(IFERROR(LOOKUP(2,1/(_EngineTrades!$AU$9:$AU$508=$A71),_EngineTrades!$AN$9:$AN$508),0)/$P71,4))</f>
        <v/>
      </c>
      <c r="R71" s="49">
        <f>IF(OR($A71="",$E71&lt;&gt;"Open"),0,IFERROR(LOOKUP(2,1/(_EngineTrades!$AU$9:$AU$508=$A71),_EngineTrades!$AO$9:$AO$508),0))</f>
        <v>0</v>
      </c>
      <c r="S71" s="49">
        <f>IF(OR($A71="",$E71&lt;&gt;"Open"),0,ROUND($R71+IFERROR(LOOKUP(2,1/(_EngineTrades!$AU$9:$AU$508=$A71),_EngineTrades!$AN$9:$AN$508),0),4))</f>
        <v>0</v>
      </c>
      <c r="T71" s="49" t="str">
        <f>IF($A71="","",ROUND(IFERROR(LOOKUP(2,1/(_EngineTrades!$AU$9:$AU$508=$A71),_EngineTrades!$AT$9:$AT$508),0),4))</f>
        <v/>
      </c>
      <c r="U71" s="49" t="str">
        <f t="shared" si="10"/>
        <v/>
      </c>
      <c r="V71" s="49" t="str">
        <f>IF(AND($A71&lt;&gt;"",$E71="Open",$P71+N(IFERROR(LOOKUP(2,1/(_EngineTrades!$AU$9:$AU$508=$A71),_EngineTrades!$AP$9:$AP$508),0))&gt;0),ROUND(($R71-$O71)/($P71+N(IFERROR(LOOKUP(2,1/(_EngineTrades!$AU$9:$AU$508=$A71),_EngineTrades!$AP$9:$AP$508),0))),4),"")</f>
        <v/>
      </c>
      <c r="W71" s="64" t="str">
        <f>IF($A71="","",MAX(1,IF($G71="",_EngineTrades!$E$3-$F71,$G71-$F71)))</f>
        <v/>
      </c>
      <c r="X71" s="65" t="str">
        <f t="shared" si="11"/>
        <v/>
      </c>
      <c r="Y71" s="65" t="str">
        <f t="shared" si="12"/>
        <v/>
      </c>
      <c r="Z71" s="44">
        <f>IF(Cycles!U71="",0,Cycles!U71)</f>
        <v>0</v>
      </c>
      <c r="AA71" s="44">
        <f>IF(Cycles!V71="",0,Cycles!V71)</f>
        <v>0</v>
      </c>
      <c r="AB71" s="44">
        <f>IF(Cycles!W71="",0,Cycles!W71)</f>
        <v>0</v>
      </c>
      <c r="AC71" s="44">
        <f>IF(Cycles!X71="",0,Cycles!X71)</f>
        <v>0</v>
      </c>
      <c r="AD71" s="49" t="str">
        <f t="shared" si="13"/>
        <v/>
      </c>
      <c r="AE71" s="49" t="str">
        <f t="shared" si="14"/>
        <v/>
      </c>
      <c r="AF71" s="49" t="str">
        <f t="shared" si="15"/>
        <v/>
      </c>
      <c r="AG71" t="str">
        <f>IFERROR(MATCH(ROWS($AG$9:AG71),_EngineTrades!$AW$9:$AW$508,0)+8,"")</f>
        <v/>
      </c>
    </row>
    <row r="72" spans="1:33" ht="15" x14ac:dyDescent="0.25">
      <c r="A72" s="66" t="str">
        <f>IF($AG72="","",IFERROR(INDEX(_EngineTrades!$AU$9:$AU$508,MATCH($AG72,_EngineTrades!$AV$9:$AV$508,0)),""))</f>
        <v/>
      </c>
      <c r="B72" s="66" t="str">
        <f>IF($A72="","",INDEX(_EngineTrades!$B$9:$B$508,MATCH($AG72,_EngineTrades!$AV$9:$AV$508,0)))</f>
        <v/>
      </c>
      <c r="C72" s="66" t="str">
        <f>IF($A72="","",INDEX(_EngineTrades!$T$9:$T$508,MATCH($AG72,_EngineTrades!$AV$9:$AV$508,0)))</f>
        <v/>
      </c>
      <c r="D72" s="67" t="str">
        <f>IF($A72="","",INDEX(_EngineTrades!$C$9:$C$508,MATCH($AG72,_EngineTrades!$AV$9:$AV$508,0)))</f>
        <v/>
      </c>
      <c r="E72" s="68" t="str">
        <f>IF($A72="","",IF(IFERROR(LOOKUP(2,1/(_EngineTrades!$AU$9:$AU$508=$A72),_EngineTrades!$AR$9:$AR$508),FALSE),"Closed","Open"))</f>
        <v/>
      </c>
      <c r="F72" s="69" t="str">
        <f>IF($A72="","",INDEX(_EngineTrades!$E$9:$E$508,$AG72-8))</f>
        <v/>
      </c>
      <c r="G72" s="69" t="str">
        <f>IF(OR($A72="",$E72&lt;&gt;"Closed"),"",IFERROR(INDEX(_EngineTrades!$E$9:$E$508,SUMIFS(_EngineTrades!$AX$9:$AX$508,_EngineTrades!$AU$9:$AU$508,$A72)-8),""))</f>
        <v/>
      </c>
      <c r="H72" s="70" t="str">
        <f>IF($A72="","",ROUND(SUMIFS(_EngineTrades!$Y$9:$Y$508,_EngineTrades!$AU$9:$AU$508,$A72),4))</f>
        <v/>
      </c>
      <c r="I72" s="70" t="str">
        <f>IF($A72="","",ROUND(SUMIFS(_EngineTrades!$Z$9:$Z$508,_EngineTrades!$AU$9:$AU$508,$A72),4))</f>
        <v/>
      </c>
      <c r="J72" s="71" t="str">
        <f t="shared" si="8"/>
        <v/>
      </c>
      <c r="K72" s="70" t="str">
        <f>IF($A72="","",ROUND(SUMIFS(_EngineTrades!$AA$9:$AA$508,_EngineTrades!$AU$9:$AU$508,$A72),4))</f>
        <v/>
      </c>
      <c r="L72" s="70" t="str">
        <f>IF($A72="","",ROUND(SUMIFS(_EngineTrades!$AB$9:$AB$508,_EngineTrades!$AU$9:$AU$508,$A72),4))</f>
        <v/>
      </c>
      <c r="M72" s="70" t="str">
        <f>IF($A72="","",ROUND(SUMIFS(_EngineTrades!$AC$9:$AC$508,_EngineTrades!$AU$9:$AU$508,$A72),4))</f>
        <v/>
      </c>
      <c r="N72" s="70" t="str">
        <f>IF($A72="","",ROUND(SUMIFS(_EngineTrades!$AD$9:$AD$508,_EngineTrades!$AU$9:$AU$508,$A72),4))</f>
        <v/>
      </c>
      <c r="O72" s="71" t="str">
        <f t="shared" si="9"/>
        <v/>
      </c>
      <c r="P72" s="66">
        <f>IF(OR($A72="",$E72&lt;&gt;"Open"),0,IFERROR(LOOKUP(2,1/(_EngineTrades!$AU$9:$AU$508=$A72),_EngineTrades!$AM$9:$AM$508),0))</f>
        <v>0</v>
      </c>
      <c r="Q72" s="70" t="str">
        <f>IF(OR($A72="",$P72=0),"",ROUND(IFERROR(LOOKUP(2,1/(_EngineTrades!$AU$9:$AU$508=$A72),_EngineTrades!$AN$9:$AN$508),0)/$P72,4))</f>
        <v/>
      </c>
      <c r="R72" s="70">
        <f>IF(OR($A72="",$E72&lt;&gt;"Open"),0,IFERROR(LOOKUP(2,1/(_EngineTrades!$AU$9:$AU$508=$A72),_EngineTrades!$AO$9:$AO$508),0))</f>
        <v>0</v>
      </c>
      <c r="S72" s="70">
        <f>IF(OR($A72="",$E72&lt;&gt;"Open"),0,ROUND($R72+IFERROR(LOOKUP(2,1/(_EngineTrades!$AU$9:$AU$508=$A72),_EngineTrades!$AN$9:$AN$508),0),4))</f>
        <v>0</v>
      </c>
      <c r="T72" s="70" t="str">
        <f>IF($A72="","",ROUND(IFERROR(LOOKUP(2,1/(_EngineTrades!$AU$9:$AU$508=$A72),_EngineTrades!$AT$9:$AT$508),0),4))</f>
        <v/>
      </c>
      <c r="U72" s="70" t="str">
        <f t="shared" si="10"/>
        <v/>
      </c>
      <c r="V72" s="70" t="str">
        <f>IF(AND($A72&lt;&gt;"",$E72="Open",$P72+N(IFERROR(LOOKUP(2,1/(_EngineTrades!$AU$9:$AU$508=$A72),_EngineTrades!$AP$9:$AP$508),0))&gt;0),ROUND(($R72-$O72)/($P72+N(IFERROR(LOOKUP(2,1/(_EngineTrades!$AU$9:$AU$508=$A72),_EngineTrades!$AP$9:$AP$508),0))),4),"")</f>
        <v/>
      </c>
      <c r="W72" s="72" t="str">
        <f>IF($A72="","",MAX(1,IF($G72="",_EngineTrades!$E$3-$F72,$G72-$F72)))</f>
        <v/>
      </c>
      <c r="X72" s="73" t="str">
        <f t="shared" si="11"/>
        <v/>
      </c>
      <c r="Y72" s="73" t="str">
        <f t="shared" si="12"/>
        <v/>
      </c>
      <c r="Z72" s="44">
        <f>IF(Cycles!U72="",0,Cycles!U72)</f>
        <v>0</v>
      </c>
      <c r="AA72" s="44">
        <f>IF(Cycles!V72="",0,Cycles!V72)</f>
        <v>0</v>
      </c>
      <c r="AB72" s="44">
        <f>IF(Cycles!W72="",0,Cycles!W72)</f>
        <v>0</v>
      </c>
      <c r="AC72" s="44">
        <f>IF(Cycles!X72="",0,Cycles!X72)</f>
        <v>0</v>
      </c>
      <c r="AD72" s="70" t="str">
        <f t="shared" si="13"/>
        <v/>
      </c>
      <c r="AE72" s="70" t="str">
        <f t="shared" si="14"/>
        <v/>
      </c>
      <c r="AF72" s="70" t="str">
        <f t="shared" si="15"/>
        <v/>
      </c>
      <c r="AG72" t="str">
        <f>IFERROR(MATCH(ROWS($AG$9:AG72),_EngineTrades!$AW$9:$AW$508,0)+8,"")</f>
        <v/>
      </c>
    </row>
    <row r="73" spans="1:33" ht="15" x14ac:dyDescent="0.25">
      <c r="A73" s="61" t="str">
        <f>IF($AG73="","",IFERROR(INDEX(_EngineTrades!$AU$9:$AU$508,MATCH($AG73,_EngineTrades!$AV$9:$AV$508,0)),""))</f>
        <v/>
      </c>
      <c r="B73" s="61" t="str">
        <f>IF($A73="","",INDEX(_EngineTrades!$B$9:$B$508,MATCH($AG73,_EngineTrades!$AV$9:$AV$508,0)))</f>
        <v/>
      </c>
      <c r="C73" s="61" t="str">
        <f>IF($A73="","",INDEX(_EngineTrades!$T$9:$T$508,MATCH($AG73,_EngineTrades!$AV$9:$AV$508,0)))</f>
        <v/>
      </c>
      <c r="D73" s="47" t="str">
        <f>IF($A73="","",INDEX(_EngineTrades!$C$9:$C$508,MATCH($AG73,_EngineTrades!$AV$9:$AV$508,0)))</f>
        <v/>
      </c>
      <c r="E73" s="62" t="str">
        <f>IF($A73="","",IF(IFERROR(LOOKUP(2,1/(_EngineTrades!$AU$9:$AU$508=$A73),_EngineTrades!$AR$9:$AR$508),FALSE),"Closed","Open"))</f>
        <v/>
      </c>
      <c r="F73" s="63" t="str">
        <f>IF($A73="","",INDEX(_EngineTrades!$E$9:$E$508,$AG73-8))</f>
        <v/>
      </c>
      <c r="G73" s="63" t="str">
        <f>IF(OR($A73="",$E73&lt;&gt;"Closed"),"",IFERROR(INDEX(_EngineTrades!$E$9:$E$508,SUMIFS(_EngineTrades!$AX$9:$AX$508,_EngineTrades!$AU$9:$AU$508,$A73)-8),""))</f>
        <v/>
      </c>
      <c r="H73" s="49" t="str">
        <f>IF($A73="","",ROUND(SUMIFS(_EngineTrades!$Y$9:$Y$508,_EngineTrades!$AU$9:$AU$508,$A73),4))</f>
        <v/>
      </c>
      <c r="I73" s="49" t="str">
        <f>IF($A73="","",ROUND(SUMIFS(_EngineTrades!$Z$9:$Z$508,_EngineTrades!$AU$9:$AU$508,$A73),4))</f>
        <v/>
      </c>
      <c r="J73" s="45" t="str">
        <f t="shared" ref="J73:J104" si="16">IF($A73="","",$H73-$I73)</f>
        <v/>
      </c>
      <c r="K73" s="49" t="str">
        <f>IF($A73="","",ROUND(SUMIFS(_EngineTrades!$AA$9:$AA$508,_EngineTrades!$AU$9:$AU$508,$A73),4))</f>
        <v/>
      </c>
      <c r="L73" s="49" t="str">
        <f>IF($A73="","",ROUND(SUMIFS(_EngineTrades!$AB$9:$AB$508,_EngineTrades!$AU$9:$AU$508,$A73),4))</f>
        <v/>
      </c>
      <c r="M73" s="49" t="str">
        <f>IF($A73="","",ROUND(SUMIFS(_EngineTrades!$AC$9:$AC$508,_EngineTrades!$AU$9:$AU$508,$A73),4))</f>
        <v/>
      </c>
      <c r="N73" s="49" t="str">
        <f>IF($A73="","",ROUND(SUMIFS(_EngineTrades!$AD$9:$AD$508,_EngineTrades!$AU$9:$AU$508,$A73),4))</f>
        <v/>
      </c>
      <c r="O73" s="45" t="str">
        <f t="shared" ref="O73:O104" si="17">IF($A73="","",ROUND($J73+$K73-$L73-$M73+$N73,4))</f>
        <v/>
      </c>
      <c r="P73" s="61">
        <f>IF(OR($A73="",$E73&lt;&gt;"Open"),0,IFERROR(LOOKUP(2,1/(_EngineTrades!$AU$9:$AU$508=$A73),_EngineTrades!$AM$9:$AM$508),0))</f>
        <v>0</v>
      </c>
      <c r="Q73" s="49" t="str">
        <f>IF(OR($A73="",$P73=0),"",ROUND(IFERROR(LOOKUP(2,1/(_EngineTrades!$AU$9:$AU$508=$A73),_EngineTrades!$AN$9:$AN$508),0)/$P73,4))</f>
        <v/>
      </c>
      <c r="R73" s="49">
        <f>IF(OR($A73="",$E73&lt;&gt;"Open"),0,IFERROR(LOOKUP(2,1/(_EngineTrades!$AU$9:$AU$508=$A73),_EngineTrades!$AO$9:$AO$508),0))</f>
        <v>0</v>
      </c>
      <c r="S73" s="49">
        <f>IF(OR($A73="",$E73&lt;&gt;"Open"),0,ROUND($R73+IFERROR(LOOKUP(2,1/(_EngineTrades!$AU$9:$AU$508=$A73),_EngineTrades!$AN$9:$AN$508),0),4))</f>
        <v>0</v>
      </c>
      <c r="T73" s="49" t="str">
        <f>IF($A73="","",ROUND(IFERROR(LOOKUP(2,1/(_EngineTrades!$AU$9:$AU$508=$A73),_EngineTrades!$AT$9:$AT$508),0),4))</f>
        <v/>
      </c>
      <c r="U73" s="49" t="str">
        <f t="shared" ref="U73:U104" si="18">IF(AND($A73&lt;&gt;"",$E73="Open",$P73&gt;0),ROUND(-$O73/$P73,4),"")</f>
        <v/>
      </c>
      <c r="V73" s="49" t="str">
        <f>IF(AND($A73&lt;&gt;"",$E73="Open",$P73+N(IFERROR(LOOKUP(2,1/(_EngineTrades!$AU$9:$AU$508=$A73),_EngineTrades!$AP$9:$AP$508),0))&gt;0),ROUND(($R73-$O73)/($P73+N(IFERROR(LOOKUP(2,1/(_EngineTrades!$AU$9:$AU$508=$A73),_EngineTrades!$AP$9:$AP$508),0))),4),"")</f>
        <v/>
      </c>
      <c r="W73" s="64" t="str">
        <f>IF($A73="","",MAX(1,IF($G73="",_EngineTrades!$E$3-$F73,$G73-$F73)))</f>
        <v/>
      </c>
      <c r="X73" s="65" t="str">
        <f t="shared" ref="X73:X104" si="19">IF(OR($A73="",$T73=0),"",ROUND(IF($E73="Open",($J73+$K73-$L73)/$T73,$O73/$T73),6))</f>
        <v/>
      </c>
      <c r="Y73" s="65" t="str">
        <f t="shared" ref="Y73:Y104" si="20">IF(OR($A73="",$T73=0),"",ROUND(IF($E73="Open",($J73+$K73-$L73)/$T73,$O73/$T73)*365/$W73,6))</f>
        <v/>
      </c>
      <c r="Z73" s="44">
        <f>IF(Cycles!U73="",0,Cycles!U73)</f>
        <v>0</v>
      </c>
      <c r="AA73" s="44">
        <f>IF(Cycles!V73="",0,Cycles!V73)</f>
        <v>0</v>
      </c>
      <c r="AB73" s="44">
        <f>IF(Cycles!W73="",0,Cycles!W73)</f>
        <v>0</v>
      </c>
      <c r="AC73" s="44">
        <f>IF(Cycles!X73="",0,Cycles!X73)</f>
        <v>0</v>
      </c>
      <c r="AD73" s="49" t="str">
        <f t="shared" ref="AD73:AD104" si="21">IF(AND($A73&lt;&gt;"",$E73="Open",$P73&gt;0),ROUND($U73-IF($Z73&gt;=0,$Z73,0)+IF($AA73&gt;=0,$AA73,0)/$P73+IF(ISNUMBER($AB73),$AB73,0),4),"")</f>
        <v/>
      </c>
      <c r="AE73" s="49" t="str">
        <f t="shared" ref="AE73:AE104" si="22">IF($AD73="","",ROUND(MAX(0,IF($AC73&gt;0,ROUNDUP(ROUND($AD73/$AC73,9),0)*$AC73,$AD73)),4))</f>
        <v/>
      </c>
      <c r="AF73" s="49" t="str">
        <f t="shared" ref="AF73:AF104" si="23">IF($AE73="","",ROUND($P73*($AE73+IF($Z73&gt;=0,$Z73,0)-$U73)-IF($AA73&gt;=0,$AA73,0),4))</f>
        <v/>
      </c>
      <c r="AG73" t="str">
        <f>IFERROR(MATCH(ROWS($AG$9:AG73),_EngineTrades!$AW$9:$AW$508,0)+8,"")</f>
        <v/>
      </c>
    </row>
    <row r="74" spans="1:33" ht="15" x14ac:dyDescent="0.25">
      <c r="A74" s="66" t="str">
        <f>IF($AG74="","",IFERROR(INDEX(_EngineTrades!$AU$9:$AU$508,MATCH($AG74,_EngineTrades!$AV$9:$AV$508,0)),""))</f>
        <v/>
      </c>
      <c r="B74" s="66" t="str">
        <f>IF($A74="","",INDEX(_EngineTrades!$B$9:$B$508,MATCH($AG74,_EngineTrades!$AV$9:$AV$508,0)))</f>
        <v/>
      </c>
      <c r="C74" s="66" t="str">
        <f>IF($A74="","",INDEX(_EngineTrades!$T$9:$T$508,MATCH($AG74,_EngineTrades!$AV$9:$AV$508,0)))</f>
        <v/>
      </c>
      <c r="D74" s="67" t="str">
        <f>IF($A74="","",INDEX(_EngineTrades!$C$9:$C$508,MATCH($AG74,_EngineTrades!$AV$9:$AV$508,0)))</f>
        <v/>
      </c>
      <c r="E74" s="68" t="str">
        <f>IF($A74="","",IF(IFERROR(LOOKUP(2,1/(_EngineTrades!$AU$9:$AU$508=$A74),_EngineTrades!$AR$9:$AR$508),FALSE),"Closed","Open"))</f>
        <v/>
      </c>
      <c r="F74" s="69" t="str">
        <f>IF($A74="","",INDEX(_EngineTrades!$E$9:$E$508,$AG74-8))</f>
        <v/>
      </c>
      <c r="G74" s="69" t="str">
        <f>IF(OR($A74="",$E74&lt;&gt;"Closed"),"",IFERROR(INDEX(_EngineTrades!$E$9:$E$508,SUMIFS(_EngineTrades!$AX$9:$AX$508,_EngineTrades!$AU$9:$AU$508,$A74)-8),""))</f>
        <v/>
      </c>
      <c r="H74" s="70" t="str">
        <f>IF($A74="","",ROUND(SUMIFS(_EngineTrades!$Y$9:$Y$508,_EngineTrades!$AU$9:$AU$508,$A74),4))</f>
        <v/>
      </c>
      <c r="I74" s="70" t="str">
        <f>IF($A74="","",ROUND(SUMIFS(_EngineTrades!$Z$9:$Z$508,_EngineTrades!$AU$9:$AU$508,$A74),4))</f>
        <v/>
      </c>
      <c r="J74" s="71" t="str">
        <f t="shared" si="16"/>
        <v/>
      </c>
      <c r="K74" s="70" t="str">
        <f>IF($A74="","",ROUND(SUMIFS(_EngineTrades!$AA$9:$AA$508,_EngineTrades!$AU$9:$AU$508,$A74),4))</f>
        <v/>
      </c>
      <c r="L74" s="70" t="str">
        <f>IF($A74="","",ROUND(SUMIFS(_EngineTrades!$AB$9:$AB$508,_EngineTrades!$AU$9:$AU$508,$A74),4))</f>
        <v/>
      </c>
      <c r="M74" s="70" t="str">
        <f>IF($A74="","",ROUND(SUMIFS(_EngineTrades!$AC$9:$AC$508,_EngineTrades!$AU$9:$AU$508,$A74),4))</f>
        <v/>
      </c>
      <c r="N74" s="70" t="str">
        <f>IF($A74="","",ROUND(SUMIFS(_EngineTrades!$AD$9:$AD$508,_EngineTrades!$AU$9:$AU$508,$A74),4))</f>
        <v/>
      </c>
      <c r="O74" s="71" t="str">
        <f t="shared" si="17"/>
        <v/>
      </c>
      <c r="P74" s="66">
        <f>IF(OR($A74="",$E74&lt;&gt;"Open"),0,IFERROR(LOOKUP(2,1/(_EngineTrades!$AU$9:$AU$508=$A74),_EngineTrades!$AM$9:$AM$508),0))</f>
        <v>0</v>
      </c>
      <c r="Q74" s="70" t="str">
        <f>IF(OR($A74="",$P74=0),"",ROUND(IFERROR(LOOKUP(2,1/(_EngineTrades!$AU$9:$AU$508=$A74),_EngineTrades!$AN$9:$AN$508),0)/$P74,4))</f>
        <v/>
      </c>
      <c r="R74" s="70">
        <f>IF(OR($A74="",$E74&lt;&gt;"Open"),0,IFERROR(LOOKUP(2,1/(_EngineTrades!$AU$9:$AU$508=$A74),_EngineTrades!$AO$9:$AO$508),0))</f>
        <v>0</v>
      </c>
      <c r="S74" s="70">
        <f>IF(OR($A74="",$E74&lt;&gt;"Open"),0,ROUND($R74+IFERROR(LOOKUP(2,1/(_EngineTrades!$AU$9:$AU$508=$A74),_EngineTrades!$AN$9:$AN$508),0),4))</f>
        <v>0</v>
      </c>
      <c r="T74" s="70" t="str">
        <f>IF($A74="","",ROUND(IFERROR(LOOKUP(2,1/(_EngineTrades!$AU$9:$AU$508=$A74),_EngineTrades!$AT$9:$AT$508),0),4))</f>
        <v/>
      </c>
      <c r="U74" s="70" t="str">
        <f t="shared" si="18"/>
        <v/>
      </c>
      <c r="V74" s="70" t="str">
        <f>IF(AND($A74&lt;&gt;"",$E74="Open",$P74+N(IFERROR(LOOKUP(2,1/(_EngineTrades!$AU$9:$AU$508=$A74),_EngineTrades!$AP$9:$AP$508),0))&gt;0),ROUND(($R74-$O74)/($P74+N(IFERROR(LOOKUP(2,1/(_EngineTrades!$AU$9:$AU$508=$A74),_EngineTrades!$AP$9:$AP$508),0))),4),"")</f>
        <v/>
      </c>
      <c r="W74" s="72" t="str">
        <f>IF($A74="","",MAX(1,IF($G74="",_EngineTrades!$E$3-$F74,$G74-$F74)))</f>
        <v/>
      </c>
      <c r="X74" s="73" t="str">
        <f t="shared" si="19"/>
        <v/>
      </c>
      <c r="Y74" s="73" t="str">
        <f t="shared" si="20"/>
        <v/>
      </c>
      <c r="Z74" s="44">
        <f>IF(Cycles!U74="",0,Cycles!U74)</f>
        <v>0</v>
      </c>
      <c r="AA74" s="44">
        <f>IF(Cycles!V74="",0,Cycles!V74)</f>
        <v>0</v>
      </c>
      <c r="AB74" s="44">
        <f>IF(Cycles!W74="",0,Cycles!W74)</f>
        <v>0</v>
      </c>
      <c r="AC74" s="44">
        <f>IF(Cycles!X74="",0,Cycles!X74)</f>
        <v>0</v>
      </c>
      <c r="AD74" s="70" t="str">
        <f t="shared" si="21"/>
        <v/>
      </c>
      <c r="AE74" s="70" t="str">
        <f t="shared" si="22"/>
        <v/>
      </c>
      <c r="AF74" s="70" t="str">
        <f t="shared" si="23"/>
        <v/>
      </c>
      <c r="AG74" t="str">
        <f>IFERROR(MATCH(ROWS($AG$9:AG74),_EngineTrades!$AW$9:$AW$508,0)+8,"")</f>
        <v/>
      </c>
    </row>
    <row r="75" spans="1:33" ht="15" x14ac:dyDescent="0.25">
      <c r="A75" s="61" t="str">
        <f>IF($AG75="","",IFERROR(INDEX(_EngineTrades!$AU$9:$AU$508,MATCH($AG75,_EngineTrades!$AV$9:$AV$508,0)),""))</f>
        <v/>
      </c>
      <c r="B75" s="61" t="str">
        <f>IF($A75="","",INDEX(_EngineTrades!$B$9:$B$508,MATCH($AG75,_EngineTrades!$AV$9:$AV$508,0)))</f>
        <v/>
      </c>
      <c r="C75" s="61" t="str">
        <f>IF($A75="","",INDEX(_EngineTrades!$T$9:$T$508,MATCH($AG75,_EngineTrades!$AV$9:$AV$508,0)))</f>
        <v/>
      </c>
      <c r="D75" s="47" t="str">
        <f>IF($A75="","",INDEX(_EngineTrades!$C$9:$C$508,MATCH($AG75,_EngineTrades!$AV$9:$AV$508,0)))</f>
        <v/>
      </c>
      <c r="E75" s="62" t="str">
        <f>IF($A75="","",IF(IFERROR(LOOKUP(2,1/(_EngineTrades!$AU$9:$AU$508=$A75),_EngineTrades!$AR$9:$AR$508),FALSE),"Closed","Open"))</f>
        <v/>
      </c>
      <c r="F75" s="63" t="str">
        <f>IF($A75="","",INDEX(_EngineTrades!$E$9:$E$508,$AG75-8))</f>
        <v/>
      </c>
      <c r="G75" s="63" t="str">
        <f>IF(OR($A75="",$E75&lt;&gt;"Closed"),"",IFERROR(INDEX(_EngineTrades!$E$9:$E$508,SUMIFS(_EngineTrades!$AX$9:$AX$508,_EngineTrades!$AU$9:$AU$508,$A75)-8),""))</f>
        <v/>
      </c>
      <c r="H75" s="49" t="str">
        <f>IF($A75="","",ROUND(SUMIFS(_EngineTrades!$Y$9:$Y$508,_EngineTrades!$AU$9:$AU$508,$A75),4))</f>
        <v/>
      </c>
      <c r="I75" s="49" t="str">
        <f>IF($A75="","",ROUND(SUMIFS(_EngineTrades!$Z$9:$Z$508,_EngineTrades!$AU$9:$AU$508,$A75),4))</f>
        <v/>
      </c>
      <c r="J75" s="45" t="str">
        <f t="shared" si="16"/>
        <v/>
      </c>
      <c r="K75" s="49" t="str">
        <f>IF($A75="","",ROUND(SUMIFS(_EngineTrades!$AA$9:$AA$508,_EngineTrades!$AU$9:$AU$508,$A75),4))</f>
        <v/>
      </c>
      <c r="L75" s="49" t="str">
        <f>IF($A75="","",ROUND(SUMIFS(_EngineTrades!$AB$9:$AB$508,_EngineTrades!$AU$9:$AU$508,$A75),4))</f>
        <v/>
      </c>
      <c r="M75" s="49" t="str">
        <f>IF($A75="","",ROUND(SUMIFS(_EngineTrades!$AC$9:$AC$508,_EngineTrades!$AU$9:$AU$508,$A75),4))</f>
        <v/>
      </c>
      <c r="N75" s="49" t="str">
        <f>IF($A75="","",ROUND(SUMIFS(_EngineTrades!$AD$9:$AD$508,_EngineTrades!$AU$9:$AU$508,$A75),4))</f>
        <v/>
      </c>
      <c r="O75" s="45" t="str">
        <f t="shared" si="17"/>
        <v/>
      </c>
      <c r="P75" s="61">
        <f>IF(OR($A75="",$E75&lt;&gt;"Open"),0,IFERROR(LOOKUP(2,1/(_EngineTrades!$AU$9:$AU$508=$A75),_EngineTrades!$AM$9:$AM$508),0))</f>
        <v>0</v>
      </c>
      <c r="Q75" s="49" t="str">
        <f>IF(OR($A75="",$P75=0),"",ROUND(IFERROR(LOOKUP(2,1/(_EngineTrades!$AU$9:$AU$508=$A75),_EngineTrades!$AN$9:$AN$508),0)/$P75,4))</f>
        <v/>
      </c>
      <c r="R75" s="49">
        <f>IF(OR($A75="",$E75&lt;&gt;"Open"),0,IFERROR(LOOKUP(2,1/(_EngineTrades!$AU$9:$AU$508=$A75),_EngineTrades!$AO$9:$AO$508),0))</f>
        <v>0</v>
      </c>
      <c r="S75" s="49">
        <f>IF(OR($A75="",$E75&lt;&gt;"Open"),0,ROUND($R75+IFERROR(LOOKUP(2,1/(_EngineTrades!$AU$9:$AU$508=$A75),_EngineTrades!$AN$9:$AN$508),0),4))</f>
        <v>0</v>
      </c>
      <c r="T75" s="49" t="str">
        <f>IF($A75="","",ROUND(IFERROR(LOOKUP(2,1/(_EngineTrades!$AU$9:$AU$508=$A75),_EngineTrades!$AT$9:$AT$508),0),4))</f>
        <v/>
      </c>
      <c r="U75" s="49" t="str">
        <f t="shared" si="18"/>
        <v/>
      </c>
      <c r="V75" s="49" t="str">
        <f>IF(AND($A75&lt;&gt;"",$E75="Open",$P75+N(IFERROR(LOOKUP(2,1/(_EngineTrades!$AU$9:$AU$508=$A75),_EngineTrades!$AP$9:$AP$508),0))&gt;0),ROUND(($R75-$O75)/($P75+N(IFERROR(LOOKUP(2,1/(_EngineTrades!$AU$9:$AU$508=$A75),_EngineTrades!$AP$9:$AP$508),0))),4),"")</f>
        <v/>
      </c>
      <c r="W75" s="64" t="str">
        <f>IF($A75="","",MAX(1,IF($G75="",_EngineTrades!$E$3-$F75,$G75-$F75)))</f>
        <v/>
      </c>
      <c r="X75" s="65" t="str">
        <f t="shared" si="19"/>
        <v/>
      </c>
      <c r="Y75" s="65" t="str">
        <f t="shared" si="20"/>
        <v/>
      </c>
      <c r="Z75" s="44">
        <f>IF(Cycles!U75="",0,Cycles!U75)</f>
        <v>0</v>
      </c>
      <c r="AA75" s="44">
        <f>IF(Cycles!V75="",0,Cycles!V75)</f>
        <v>0</v>
      </c>
      <c r="AB75" s="44">
        <f>IF(Cycles!W75="",0,Cycles!W75)</f>
        <v>0</v>
      </c>
      <c r="AC75" s="44">
        <f>IF(Cycles!X75="",0,Cycles!X75)</f>
        <v>0</v>
      </c>
      <c r="AD75" s="49" t="str">
        <f t="shared" si="21"/>
        <v/>
      </c>
      <c r="AE75" s="49" t="str">
        <f t="shared" si="22"/>
        <v/>
      </c>
      <c r="AF75" s="49" t="str">
        <f t="shared" si="23"/>
        <v/>
      </c>
      <c r="AG75" t="str">
        <f>IFERROR(MATCH(ROWS($AG$9:AG75),_EngineTrades!$AW$9:$AW$508,0)+8,"")</f>
        <v/>
      </c>
    </row>
    <row r="76" spans="1:33" ht="15" x14ac:dyDescent="0.25">
      <c r="A76" s="66" t="str">
        <f>IF($AG76="","",IFERROR(INDEX(_EngineTrades!$AU$9:$AU$508,MATCH($AG76,_EngineTrades!$AV$9:$AV$508,0)),""))</f>
        <v/>
      </c>
      <c r="B76" s="66" t="str">
        <f>IF($A76="","",INDEX(_EngineTrades!$B$9:$B$508,MATCH($AG76,_EngineTrades!$AV$9:$AV$508,0)))</f>
        <v/>
      </c>
      <c r="C76" s="66" t="str">
        <f>IF($A76="","",INDEX(_EngineTrades!$T$9:$T$508,MATCH($AG76,_EngineTrades!$AV$9:$AV$508,0)))</f>
        <v/>
      </c>
      <c r="D76" s="67" t="str">
        <f>IF($A76="","",INDEX(_EngineTrades!$C$9:$C$508,MATCH($AG76,_EngineTrades!$AV$9:$AV$508,0)))</f>
        <v/>
      </c>
      <c r="E76" s="68" t="str">
        <f>IF($A76="","",IF(IFERROR(LOOKUP(2,1/(_EngineTrades!$AU$9:$AU$508=$A76),_EngineTrades!$AR$9:$AR$508),FALSE),"Closed","Open"))</f>
        <v/>
      </c>
      <c r="F76" s="69" t="str">
        <f>IF($A76="","",INDEX(_EngineTrades!$E$9:$E$508,$AG76-8))</f>
        <v/>
      </c>
      <c r="G76" s="69" t="str">
        <f>IF(OR($A76="",$E76&lt;&gt;"Closed"),"",IFERROR(INDEX(_EngineTrades!$E$9:$E$508,SUMIFS(_EngineTrades!$AX$9:$AX$508,_EngineTrades!$AU$9:$AU$508,$A76)-8),""))</f>
        <v/>
      </c>
      <c r="H76" s="70" t="str">
        <f>IF($A76="","",ROUND(SUMIFS(_EngineTrades!$Y$9:$Y$508,_EngineTrades!$AU$9:$AU$508,$A76),4))</f>
        <v/>
      </c>
      <c r="I76" s="70" t="str">
        <f>IF($A76="","",ROUND(SUMIFS(_EngineTrades!$Z$9:$Z$508,_EngineTrades!$AU$9:$AU$508,$A76),4))</f>
        <v/>
      </c>
      <c r="J76" s="71" t="str">
        <f t="shared" si="16"/>
        <v/>
      </c>
      <c r="K76" s="70" t="str">
        <f>IF($A76="","",ROUND(SUMIFS(_EngineTrades!$AA$9:$AA$508,_EngineTrades!$AU$9:$AU$508,$A76),4))</f>
        <v/>
      </c>
      <c r="L76" s="70" t="str">
        <f>IF($A76="","",ROUND(SUMIFS(_EngineTrades!$AB$9:$AB$508,_EngineTrades!$AU$9:$AU$508,$A76),4))</f>
        <v/>
      </c>
      <c r="M76" s="70" t="str">
        <f>IF($A76="","",ROUND(SUMIFS(_EngineTrades!$AC$9:$AC$508,_EngineTrades!$AU$9:$AU$508,$A76),4))</f>
        <v/>
      </c>
      <c r="N76" s="70" t="str">
        <f>IF($A76="","",ROUND(SUMIFS(_EngineTrades!$AD$9:$AD$508,_EngineTrades!$AU$9:$AU$508,$A76),4))</f>
        <v/>
      </c>
      <c r="O76" s="71" t="str">
        <f t="shared" si="17"/>
        <v/>
      </c>
      <c r="P76" s="66">
        <f>IF(OR($A76="",$E76&lt;&gt;"Open"),0,IFERROR(LOOKUP(2,1/(_EngineTrades!$AU$9:$AU$508=$A76),_EngineTrades!$AM$9:$AM$508),0))</f>
        <v>0</v>
      </c>
      <c r="Q76" s="70" t="str">
        <f>IF(OR($A76="",$P76=0),"",ROUND(IFERROR(LOOKUP(2,1/(_EngineTrades!$AU$9:$AU$508=$A76),_EngineTrades!$AN$9:$AN$508),0)/$P76,4))</f>
        <v/>
      </c>
      <c r="R76" s="70">
        <f>IF(OR($A76="",$E76&lt;&gt;"Open"),0,IFERROR(LOOKUP(2,1/(_EngineTrades!$AU$9:$AU$508=$A76),_EngineTrades!$AO$9:$AO$508),0))</f>
        <v>0</v>
      </c>
      <c r="S76" s="70">
        <f>IF(OR($A76="",$E76&lt;&gt;"Open"),0,ROUND($R76+IFERROR(LOOKUP(2,1/(_EngineTrades!$AU$9:$AU$508=$A76),_EngineTrades!$AN$9:$AN$508),0),4))</f>
        <v>0</v>
      </c>
      <c r="T76" s="70" t="str">
        <f>IF($A76="","",ROUND(IFERROR(LOOKUP(2,1/(_EngineTrades!$AU$9:$AU$508=$A76),_EngineTrades!$AT$9:$AT$508),0),4))</f>
        <v/>
      </c>
      <c r="U76" s="70" t="str">
        <f t="shared" si="18"/>
        <v/>
      </c>
      <c r="V76" s="70" t="str">
        <f>IF(AND($A76&lt;&gt;"",$E76="Open",$P76+N(IFERROR(LOOKUP(2,1/(_EngineTrades!$AU$9:$AU$508=$A76),_EngineTrades!$AP$9:$AP$508),0))&gt;0),ROUND(($R76-$O76)/($P76+N(IFERROR(LOOKUP(2,1/(_EngineTrades!$AU$9:$AU$508=$A76),_EngineTrades!$AP$9:$AP$508),0))),4),"")</f>
        <v/>
      </c>
      <c r="W76" s="72" t="str">
        <f>IF($A76="","",MAX(1,IF($G76="",_EngineTrades!$E$3-$F76,$G76-$F76)))</f>
        <v/>
      </c>
      <c r="X76" s="73" t="str">
        <f t="shared" si="19"/>
        <v/>
      </c>
      <c r="Y76" s="73" t="str">
        <f t="shared" si="20"/>
        <v/>
      </c>
      <c r="Z76" s="44">
        <f>IF(Cycles!U76="",0,Cycles!U76)</f>
        <v>0</v>
      </c>
      <c r="AA76" s="44">
        <f>IF(Cycles!V76="",0,Cycles!V76)</f>
        <v>0</v>
      </c>
      <c r="AB76" s="44">
        <f>IF(Cycles!W76="",0,Cycles!W76)</f>
        <v>0</v>
      </c>
      <c r="AC76" s="44">
        <f>IF(Cycles!X76="",0,Cycles!X76)</f>
        <v>0</v>
      </c>
      <c r="AD76" s="70" t="str">
        <f t="shared" si="21"/>
        <v/>
      </c>
      <c r="AE76" s="70" t="str">
        <f t="shared" si="22"/>
        <v/>
      </c>
      <c r="AF76" s="70" t="str">
        <f t="shared" si="23"/>
        <v/>
      </c>
      <c r="AG76" t="str">
        <f>IFERROR(MATCH(ROWS($AG$9:AG76),_EngineTrades!$AW$9:$AW$508,0)+8,"")</f>
        <v/>
      </c>
    </row>
    <row r="77" spans="1:33" ht="15" x14ac:dyDescent="0.25">
      <c r="A77" s="61" t="str">
        <f>IF($AG77="","",IFERROR(INDEX(_EngineTrades!$AU$9:$AU$508,MATCH($AG77,_EngineTrades!$AV$9:$AV$508,0)),""))</f>
        <v/>
      </c>
      <c r="B77" s="61" t="str">
        <f>IF($A77="","",INDEX(_EngineTrades!$B$9:$B$508,MATCH($AG77,_EngineTrades!$AV$9:$AV$508,0)))</f>
        <v/>
      </c>
      <c r="C77" s="61" t="str">
        <f>IF($A77="","",INDEX(_EngineTrades!$T$9:$T$508,MATCH($AG77,_EngineTrades!$AV$9:$AV$508,0)))</f>
        <v/>
      </c>
      <c r="D77" s="47" t="str">
        <f>IF($A77="","",INDEX(_EngineTrades!$C$9:$C$508,MATCH($AG77,_EngineTrades!$AV$9:$AV$508,0)))</f>
        <v/>
      </c>
      <c r="E77" s="62" t="str">
        <f>IF($A77="","",IF(IFERROR(LOOKUP(2,1/(_EngineTrades!$AU$9:$AU$508=$A77),_EngineTrades!$AR$9:$AR$508),FALSE),"Closed","Open"))</f>
        <v/>
      </c>
      <c r="F77" s="63" t="str">
        <f>IF($A77="","",INDEX(_EngineTrades!$E$9:$E$508,$AG77-8))</f>
        <v/>
      </c>
      <c r="G77" s="63" t="str">
        <f>IF(OR($A77="",$E77&lt;&gt;"Closed"),"",IFERROR(INDEX(_EngineTrades!$E$9:$E$508,SUMIFS(_EngineTrades!$AX$9:$AX$508,_EngineTrades!$AU$9:$AU$508,$A77)-8),""))</f>
        <v/>
      </c>
      <c r="H77" s="49" t="str">
        <f>IF($A77="","",ROUND(SUMIFS(_EngineTrades!$Y$9:$Y$508,_EngineTrades!$AU$9:$AU$508,$A77),4))</f>
        <v/>
      </c>
      <c r="I77" s="49" t="str">
        <f>IF($A77="","",ROUND(SUMIFS(_EngineTrades!$Z$9:$Z$508,_EngineTrades!$AU$9:$AU$508,$A77),4))</f>
        <v/>
      </c>
      <c r="J77" s="45" t="str">
        <f t="shared" si="16"/>
        <v/>
      </c>
      <c r="K77" s="49" t="str">
        <f>IF($A77="","",ROUND(SUMIFS(_EngineTrades!$AA$9:$AA$508,_EngineTrades!$AU$9:$AU$508,$A77),4))</f>
        <v/>
      </c>
      <c r="L77" s="49" t="str">
        <f>IF($A77="","",ROUND(SUMIFS(_EngineTrades!$AB$9:$AB$508,_EngineTrades!$AU$9:$AU$508,$A77),4))</f>
        <v/>
      </c>
      <c r="M77" s="49" t="str">
        <f>IF($A77="","",ROUND(SUMIFS(_EngineTrades!$AC$9:$AC$508,_EngineTrades!$AU$9:$AU$508,$A77),4))</f>
        <v/>
      </c>
      <c r="N77" s="49" t="str">
        <f>IF($A77="","",ROUND(SUMIFS(_EngineTrades!$AD$9:$AD$508,_EngineTrades!$AU$9:$AU$508,$A77),4))</f>
        <v/>
      </c>
      <c r="O77" s="45" t="str">
        <f t="shared" si="17"/>
        <v/>
      </c>
      <c r="P77" s="61">
        <f>IF(OR($A77="",$E77&lt;&gt;"Open"),0,IFERROR(LOOKUP(2,1/(_EngineTrades!$AU$9:$AU$508=$A77),_EngineTrades!$AM$9:$AM$508),0))</f>
        <v>0</v>
      </c>
      <c r="Q77" s="49" t="str">
        <f>IF(OR($A77="",$P77=0),"",ROUND(IFERROR(LOOKUP(2,1/(_EngineTrades!$AU$9:$AU$508=$A77),_EngineTrades!$AN$9:$AN$508),0)/$P77,4))</f>
        <v/>
      </c>
      <c r="R77" s="49">
        <f>IF(OR($A77="",$E77&lt;&gt;"Open"),0,IFERROR(LOOKUP(2,1/(_EngineTrades!$AU$9:$AU$508=$A77),_EngineTrades!$AO$9:$AO$508),0))</f>
        <v>0</v>
      </c>
      <c r="S77" s="49">
        <f>IF(OR($A77="",$E77&lt;&gt;"Open"),0,ROUND($R77+IFERROR(LOOKUP(2,1/(_EngineTrades!$AU$9:$AU$508=$A77),_EngineTrades!$AN$9:$AN$508),0),4))</f>
        <v>0</v>
      </c>
      <c r="T77" s="49" t="str">
        <f>IF($A77="","",ROUND(IFERROR(LOOKUP(2,1/(_EngineTrades!$AU$9:$AU$508=$A77),_EngineTrades!$AT$9:$AT$508),0),4))</f>
        <v/>
      </c>
      <c r="U77" s="49" t="str">
        <f t="shared" si="18"/>
        <v/>
      </c>
      <c r="V77" s="49" t="str">
        <f>IF(AND($A77&lt;&gt;"",$E77="Open",$P77+N(IFERROR(LOOKUP(2,1/(_EngineTrades!$AU$9:$AU$508=$A77),_EngineTrades!$AP$9:$AP$508),0))&gt;0),ROUND(($R77-$O77)/($P77+N(IFERROR(LOOKUP(2,1/(_EngineTrades!$AU$9:$AU$508=$A77),_EngineTrades!$AP$9:$AP$508),0))),4),"")</f>
        <v/>
      </c>
      <c r="W77" s="64" t="str">
        <f>IF($A77="","",MAX(1,IF($G77="",_EngineTrades!$E$3-$F77,$G77-$F77)))</f>
        <v/>
      </c>
      <c r="X77" s="65" t="str">
        <f t="shared" si="19"/>
        <v/>
      </c>
      <c r="Y77" s="65" t="str">
        <f t="shared" si="20"/>
        <v/>
      </c>
      <c r="Z77" s="44">
        <f>IF(Cycles!U77="",0,Cycles!U77)</f>
        <v>0</v>
      </c>
      <c r="AA77" s="44">
        <f>IF(Cycles!V77="",0,Cycles!V77)</f>
        <v>0</v>
      </c>
      <c r="AB77" s="44">
        <f>IF(Cycles!W77="",0,Cycles!W77)</f>
        <v>0</v>
      </c>
      <c r="AC77" s="44">
        <f>IF(Cycles!X77="",0,Cycles!X77)</f>
        <v>0</v>
      </c>
      <c r="AD77" s="49" t="str">
        <f t="shared" si="21"/>
        <v/>
      </c>
      <c r="AE77" s="49" t="str">
        <f t="shared" si="22"/>
        <v/>
      </c>
      <c r="AF77" s="49" t="str">
        <f t="shared" si="23"/>
        <v/>
      </c>
      <c r="AG77" t="str">
        <f>IFERROR(MATCH(ROWS($AG$9:AG77),_EngineTrades!$AW$9:$AW$508,0)+8,"")</f>
        <v/>
      </c>
    </row>
    <row r="78" spans="1:33" ht="15" x14ac:dyDescent="0.25">
      <c r="A78" s="66" t="str">
        <f>IF($AG78="","",IFERROR(INDEX(_EngineTrades!$AU$9:$AU$508,MATCH($AG78,_EngineTrades!$AV$9:$AV$508,0)),""))</f>
        <v/>
      </c>
      <c r="B78" s="66" t="str">
        <f>IF($A78="","",INDEX(_EngineTrades!$B$9:$B$508,MATCH($AG78,_EngineTrades!$AV$9:$AV$508,0)))</f>
        <v/>
      </c>
      <c r="C78" s="66" t="str">
        <f>IF($A78="","",INDEX(_EngineTrades!$T$9:$T$508,MATCH($AG78,_EngineTrades!$AV$9:$AV$508,0)))</f>
        <v/>
      </c>
      <c r="D78" s="67" t="str">
        <f>IF($A78="","",INDEX(_EngineTrades!$C$9:$C$508,MATCH($AG78,_EngineTrades!$AV$9:$AV$508,0)))</f>
        <v/>
      </c>
      <c r="E78" s="68" t="str">
        <f>IF($A78="","",IF(IFERROR(LOOKUP(2,1/(_EngineTrades!$AU$9:$AU$508=$A78),_EngineTrades!$AR$9:$AR$508),FALSE),"Closed","Open"))</f>
        <v/>
      </c>
      <c r="F78" s="69" t="str">
        <f>IF($A78="","",INDEX(_EngineTrades!$E$9:$E$508,$AG78-8))</f>
        <v/>
      </c>
      <c r="G78" s="69" t="str">
        <f>IF(OR($A78="",$E78&lt;&gt;"Closed"),"",IFERROR(INDEX(_EngineTrades!$E$9:$E$508,SUMIFS(_EngineTrades!$AX$9:$AX$508,_EngineTrades!$AU$9:$AU$508,$A78)-8),""))</f>
        <v/>
      </c>
      <c r="H78" s="70" t="str">
        <f>IF($A78="","",ROUND(SUMIFS(_EngineTrades!$Y$9:$Y$508,_EngineTrades!$AU$9:$AU$508,$A78),4))</f>
        <v/>
      </c>
      <c r="I78" s="70" t="str">
        <f>IF($A78="","",ROUND(SUMIFS(_EngineTrades!$Z$9:$Z$508,_EngineTrades!$AU$9:$AU$508,$A78),4))</f>
        <v/>
      </c>
      <c r="J78" s="71" t="str">
        <f t="shared" si="16"/>
        <v/>
      </c>
      <c r="K78" s="70" t="str">
        <f>IF($A78="","",ROUND(SUMIFS(_EngineTrades!$AA$9:$AA$508,_EngineTrades!$AU$9:$AU$508,$A78),4))</f>
        <v/>
      </c>
      <c r="L78" s="70" t="str">
        <f>IF($A78="","",ROUND(SUMIFS(_EngineTrades!$AB$9:$AB$508,_EngineTrades!$AU$9:$AU$508,$A78),4))</f>
        <v/>
      </c>
      <c r="M78" s="70" t="str">
        <f>IF($A78="","",ROUND(SUMIFS(_EngineTrades!$AC$9:$AC$508,_EngineTrades!$AU$9:$AU$508,$A78),4))</f>
        <v/>
      </c>
      <c r="N78" s="70" t="str">
        <f>IF($A78="","",ROUND(SUMIFS(_EngineTrades!$AD$9:$AD$508,_EngineTrades!$AU$9:$AU$508,$A78),4))</f>
        <v/>
      </c>
      <c r="O78" s="71" t="str">
        <f t="shared" si="17"/>
        <v/>
      </c>
      <c r="P78" s="66">
        <f>IF(OR($A78="",$E78&lt;&gt;"Open"),0,IFERROR(LOOKUP(2,1/(_EngineTrades!$AU$9:$AU$508=$A78),_EngineTrades!$AM$9:$AM$508),0))</f>
        <v>0</v>
      </c>
      <c r="Q78" s="70" t="str">
        <f>IF(OR($A78="",$P78=0),"",ROUND(IFERROR(LOOKUP(2,1/(_EngineTrades!$AU$9:$AU$508=$A78),_EngineTrades!$AN$9:$AN$508),0)/$P78,4))</f>
        <v/>
      </c>
      <c r="R78" s="70">
        <f>IF(OR($A78="",$E78&lt;&gt;"Open"),0,IFERROR(LOOKUP(2,1/(_EngineTrades!$AU$9:$AU$508=$A78),_EngineTrades!$AO$9:$AO$508),0))</f>
        <v>0</v>
      </c>
      <c r="S78" s="70">
        <f>IF(OR($A78="",$E78&lt;&gt;"Open"),0,ROUND($R78+IFERROR(LOOKUP(2,1/(_EngineTrades!$AU$9:$AU$508=$A78),_EngineTrades!$AN$9:$AN$508),0),4))</f>
        <v>0</v>
      </c>
      <c r="T78" s="70" t="str">
        <f>IF($A78="","",ROUND(IFERROR(LOOKUP(2,1/(_EngineTrades!$AU$9:$AU$508=$A78),_EngineTrades!$AT$9:$AT$508),0),4))</f>
        <v/>
      </c>
      <c r="U78" s="70" t="str">
        <f t="shared" si="18"/>
        <v/>
      </c>
      <c r="V78" s="70" t="str">
        <f>IF(AND($A78&lt;&gt;"",$E78="Open",$P78+N(IFERROR(LOOKUP(2,1/(_EngineTrades!$AU$9:$AU$508=$A78),_EngineTrades!$AP$9:$AP$508),0))&gt;0),ROUND(($R78-$O78)/($P78+N(IFERROR(LOOKUP(2,1/(_EngineTrades!$AU$9:$AU$508=$A78),_EngineTrades!$AP$9:$AP$508),0))),4),"")</f>
        <v/>
      </c>
      <c r="W78" s="72" t="str">
        <f>IF($A78="","",MAX(1,IF($G78="",_EngineTrades!$E$3-$F78,$G78-$F78)))</f>
        <v/>
      </c>
      <c r="X78" s="73" t="str">
        <f t="shared" si="19"/>
        <v/>
      </c>
      <c r="Y78" s="73" t="str">
        <f t="shared" si="20"/>
        <v/>
      </c>
      <c r="Z78" s="44">
        <f>IF(Cycles!U78="",0,Cycles!U78)</f>
        <v>0</v>
      </c>
      <c r="AA78" s="44">
        <f>IF(Cycles!V78="",0,Cycles!V78)</f>
        <v>0</v>
      </c>
      <c r="AB78" s="44">
        <f>IF(Cycles!W78="",0,Cycles!W78)</f>
        <v>0</v>
      </c>
      <c r="AC78" s="44">
        <f>IF(Cycles!X78="",0,Cycles!X78)</f>
        <v>0</v>
      </c>
      <c r="AD78" s="70" t="str">
        <f t="shared" si="21"/>
        <v/>
      </c>
      <c r="AE78" s="70" t="str">
        <f t="shared" si="22"/>
        <v/>
      </c>
      <c r="AF78" s="70" t="str">
        <f t="shared" si="23"/>
        <v/>
      </c>
      <c r="AG78" t="str">
        <f>IFERROR(MATCH(ROWS($AG$9:AG78),_EngineTrades!$AW$9:$AW$508,0)+8,"")</f>
        <v/>
      </c>
    </row>
    <row r="79" spans="1:33" ht="15" x14ac:dyDescent="0.25">
      <c r="A79" s="61" t="str">
        <f>IF($AG79="","",IFERROR(INDEX(_EngineTrades!$AU$9:$AU$508,MATCH($AG79,_EngineTrades!$AV$9:$AV$508,0)),""))</f>
        <v/>
      </c>
      <c r="B79" s="61" t="str">
        <f>IF($A79="","",INDEX(_EngineTrades!$B$9:$B$508,MATCH($AG79,_EngineTrades!$AV$9:$AV$508,0)))</f>
        <v/>
      </c>
      <c r="C79" s="61" t="str">
        <f>IF($A79="","",INDEX(_EngineTrades!$T$9:$T$508,MATCH($AG79,_EngineTrades!$AV$9:$AV$508,0)))</f>
        <v/>
      </c>
      <c r="D79" s="47" t="str">
        <f>IF($A79="","",INDEX(_EngineTrades!$C$9:$C$508,MATCH($AG79,_EngineTrades!$AV$9:$AV$508,0)))</f>
        <v/>
      </c>
      <c r="E79" s="62" t="str">
        <f>IF($A79="","",IF(IFERROR(LOOKUP(2,1/(_EngineTrades!$AU$9:$AU$508=$A79),_EngineTrades!$AR$9:$AR$508),FALSE),"Closed","Open"))</f>
        <v/>
      </c>
      <c r="F79" s="63" t="str">
        <f>IF($A79="","",INDEX(_EngineTrades!$E$9:$E$508,$AG79-8))</f>
        <v/>
      </c>
      <c r="G79" s="63" t="str">
        <f>IF(OR($A79="",$E79&lt;&gt;"Closed"),"",IFERROR(INDEX(_EngineTrades!$E$9:$E$508,SUMIFS(_EngineTrades!$AX$9:$AX$508,_EngineTrades!$AU$9:$AU$508,$A79)-8),""))</f>
        <v/>
      </c>
      <c r="H79" s="49" t="str">
        <f>IF($A79="","",ROUND(SUMIFS(_EngineTrades!$Y$9:$Y$508,_EngineTrades!$AU$9:$AU$508,$A79),4))</f>
        <v/>
      </c>
      <c r="I79" s="49" t="str">
        <f>IF($A79="","",ROUND(SUMIFS(_EngineTrades!$Z$9:$Z$508,_EngineTrades!$AU$9:$AU$508,$A79),4))</f>
        <v/>
      </c>
      <c r="J79" s="45" t="str">
        <f t="shared" si="16"/>
        <v/>
      </c>
      <c r="K79" s="49" t="str">
        <f>IF($A79="","",ROUND(SUMIFS(_EngineTrades!$AA$9:$AA$508,_EngineTrades!$AU$9:$AU$508,$A79),4))</f>
        <v/>
      </c>
      <c r="L79" s="49" t="str">
        <f>IF($A79="","",ROUND(SUMIFS(_EngineTrades!$AB$9:$AB$508,_EngineTrades!$AU$9:$AU$508,$A79),4))</f>
        <v/>
      </c>
      <c r="M79" s="49" t="str">
        <f>IF($A79="","",ROUND(SUMIFS(_EngineTrades!$AC$9:$AC$508,_EngineTrades!$AU$9:$AU$508,$A79),4))</f>
        <v/>
      </c>
      <c r="N79" s="49" t="str">
        <f>IF($A79="","",ROUND(SUMIFS(_EngineTrades!$AD$9:$AD$508,_EngineTrades!$AU$9:$AU$508,$A79),4))</f>
        <v/>
      </c>
      <c r="O79" s="45" t="str">
        <f t="shared" si="17"/>
        <v/>
      </c>
      <c r="P79" s="61">
        <f>IF(OR($A79="",$E79&lt;&gt;"Open"),0,IFERROR(LOOKUP(2,1/(_EngineTrades!$AU$9:$AU$508=$A79),_EngineTrades!$AM$9:$AM$508),0))</f>
        <v>0</v>
      </c>
      <c r="Q79" s="49" t="str">
        <f>IF(OR($A79="",$P79=0),"",ROUND(IFERROR(LOOKUP(2,1/(_EngineTrades!$AU$9:$AU$508=$A79),_EngineTrades!$AN$9:$AN$508),0)/$P79,4))</f>
        <v/>
      </c>
      <c r="R79" s="49">
        <f>IF(OR($A79="",$E79&lt;&gt;"Open"),0,IFERROR(LOOKUP(2,1/(_EngineTrades!$AU$9:$AU$508=$A79),_EngineTrades!$AO$9:$AO$508),0))</f>
        <v>0</v>
      </c>
      <c r="S79" s="49">
        <f>IF(OR($A79="",$E79&lt;&gt;"Open"),0,ROUND($R79+IFERROR(LOOKUP(2,1/(_EngineTrades!$AU$9:$AU$508=$A79),_EngineTrades!$AN$9:$AN$508),0),4))</f>
        <v>0</v>
      </c>
      <c r="T79" s="49" t="str">
        <f>IF($A79="","",ROUND(IFERROR(LOOKUP(2,1/(_EngineTrades!$AU$9:$AU$508=$A79),_EngineTrades!$AT$9:$AT$508),0),4))</f>
        <v/>
      </c>
      <c r="U79" s="49" t="str">
        <f t="shared" si="18"/>
        <v/>
      </c>
      <c r="V79" s="49" t="str">
        <f>IF(AND($A79&lt;&gt;"",$E79="Open",$P79+N(IFERROR(LOOKUP(2,1/(_EngineTrades!$AU$9:$AU$508=$A79),_EngineTrades!$AP$9:$AP$508),0))&gt;0),ROUND(($R79-$O79)/($P79+N(IFERROR(LOOKUP(2,1/(_EngineTrades!$AU$9:$AU$508=$A79),_EngineTrades!$AP$9:$AP$508),0))),4),"")</f>
        <v/>
      </c>
      <c r="W79" s="64" t="str">
        <f>IF($A79="","",MAX(1,IF($G79="",_EngineTrades!$E$3-$F79,$G79-$F79)))</f>
        <v/>
      </c>
      <c r="X79" s="65" t="str">
        <f t="shared" si="19"/>
        <v/>
      </c>
      <c r="Y79" s="65" t="str">
        <f t="shared" si="20"/>
        <v/>
      </c>
      <c r="Z79" s="44">
        <f>IF(Cycles!U79="",0,Cycles!U79)</f>
        <v>0</v>
      </c>
      <c r="AA79" s="44">
        <f>IF(Cycles!V79="",0,Cycles!V79)</f>
        <v>0</v>
      </c>
      <c r="AB79" s="44">
        <f>IF(Cycles!W79="",0,Cycles!W79)</f>
        <v>0</v>
      </c>
      <c r="AC79" s="44">
        <f>IF(Cycles!X79="",0,Cycles!X79)</f>
        <v>0</v>
      </c>
      <c r="AD79" s="49" t="str">
        <f t="shared" si="21"/>
        <v/>
      </c>
      <c r="AE79" s="49" t="str">
        <f t="shared" si="22"/>
        <v/>
      </c>
      <c r="AF79" s="49" t="str">
        <f t="shared" si="23"/>
        <v/>
      </c>
      <c r="AG79" t="str">
        <f>IFERROR(MATCH(ROWS($AG$9:AG79),_EngineTrades!$AW$9:$AW$508,0)+8,"")</f>
        <v/>
      </c>
    </row>
    <row r="80" spans="1:33" ht="15" x14ac:dyDescent="0.25">
      <c r="A80" s="66" t="str">
        <f>IF($AG80="","",IFERROR(INDEX(_EngineTrades!$AU$9:$AU$508,MATCH($AG80,_EngineTrades!$AV$9:$AV$508,0)),""))</f>
        <v/>
      </c>
      <c r="B80" s="66" t="str">
        <f>IF($A80="","",INDEX(_EngineTrades!$B$9:$B$508,MATCH($AG80,_EngineTrades!$AV$9:$AV$508,0)))</f>
        <v/>
      </c>
      <c r="C80" s="66" t="str">
        <f>IF($A80="","",INDEX(_EngineTrades!$T$9:$T$508,MATCH($AG80,_EngineTrades!$AV$9:$AV$508,0)))</f>
        <v/>
      </c>
      <c r="D80" s="67" t="str">
        <f>IF($A80="","",INDEX(_EngineTrades!$C$9:$C$508,MATCH($AG80,_EngineTrades!$AV$9:$AV$508,0)))</f>
        <v/>
      </c>
      <c r="E80" s="68" t="str">
        <f>IF($A80="","",IF(IFERROR(LOOKUP(2,1/(_EngineTrades!$AU$9:$AU$508=$A80),_EngineTrades!$AR$9:$AR$508),FALSE),"Closed","Open"))</f>
        <v/>
      </c>
      <c r="F80" s="69" t="str">
        <f>IF($A80="","",INDEX(_EngineTrades!$E$9:$E$508,$AG80-8))</f>
        <v/>
      </c>
      <c r="G80" s="69" t="str">
        <f>IF(OR($A80="",$E80&lt;&gt;"Closed"),"",IFERROR(INDEX(_EngineTrades!$E$9:$E$508,SUMIFS(_EngineTrades!$AX$9:$AX$508,_EngineTrades!$AU$9:$AU$508,$A80)-8),""))</f>
        <v/>
      </c>
      <c r="H80" s="70" t="str">
        <f>IF($A80="","",ROUND(SUMIFS(_EngineTrades!$Y$9:$Y$508,_EngineTrades!$AU$9:$AU$508,$A80),4))</f>
        <v/>
      </c>
      <c r="I80" s="70" t="str">
        <f>IF($A80="","",ROUND(SUMIFS(_EngineTrades!$Z$9:$Z$508,_EngineTrades!$AU$9:$AU$508,$A80),4))</f>
        <v/>
      </c>
      <c r="J80" s="71" t="str">
        <f t="shared" si="16"/>
        <v/>
      </c>
      <c r="K80" s="70" t="str">
        <f>IF($A80="","",ROUND(SUMIFS(_EngineTrades!$AA$9:$AA$508,_EngineTrades!$AU$9:$AU$508,$A80),4))</f>
        <v/>
      </c>
      <c r="L80" s="70" t="str">
        <f>IF($A80="","",ROUND(SUMIFS(_EngineTrades!$AB$9:$AB$508,_EngineTrades!$AU$9:$AU$508,$A80),4))</f>
        <v/>
      </c>
      <c r="M80" s="70" t="str">
        <f>IF($A80="","",ROUND(SUMIFS(_EngineTrades!$AC$9:$AC$508,_EngineTrades!$AU$9:$AU$508,$A80),4))</f>
        <v/>
      </c>
      <c r="N80" s="70" t="str">
        <f>IF($A80="","",ROUND(SUMIFS(_EngineTrades!$AD$9:$AD$508,_EngineTrades!$AU$9:$AU$508,$A80),4))</f>
        <v/>
      </c>
      <c r="O80" s="71" t="str">
        <f t="shared" si="17"/>
        <v/>
      </c>
      <c r="P80" s="66">
        <f>IF(OR($A80="",$E80&lt;&gt;"Open"),0,IFERROR(LOOKUP(2,1/(_EngineTrades!$AU$9:$AU$508=$A80),_EngineTrades!$AM$9:$AM$508),0))</f>
        <v>0</v>
      </c>
      <c r="Q80" s="70" t="str">
        <f>IF(OR($A80="",$P80=0),"",ROUND(IFERROR(LOOKUP(2,1/(_EngineTrades!$AU$9:$AU$508=$A80),_EngineTrades!$AN$9:$AN$508),0)/$P80,4))</f>
        <v/>
      </c>
      <c r="R80" s="70">
        <f>IF(OR($A80="",$E80&lt;&gt;"Open"),0,IFERROR(LOOKUP(2,1/(_EngineTrades!$AU$9:$AU$508=$A80),_EngineTrades!$AO$9:$AO$508),0))</f>
        <v>0</v>
      </c>
      <c r="S80" s="70">
        <f>IF(OR($A80="",$E80&lt;&gt;"Open"),0,ROUND($R80+IFERROR(LOOKUP(2,1/(_EngineTrades!$AU$9:$AU$508=$A80),_EngineTrades!$AN$9:$AN$508),0),4))</f>
        <v>0</v>
      </c>
      <c r="T80" s="70" t="str">
        <f>IF($A80="","",ROUND(IFERROR(LOOKUP(2,1/(_EngineTrades!$AU$9:$AU$508=$A80),_EngineTrades!$AT$9:$AT$508),0),4))</f>
        <v/>
      </c>
      <c r="U80" s="70" t="str">
        <f t="shared" si="18"/>
        <v/>
      </c>
      <c r="V80" s="70" t="str">
        <f>IF(AND($A80&lt;&gt;"",$E80="Open",$P80+N(IFERROR(LOOKUP(2,1/(_EngineTrades!$AU$9:$AU$508=$A80),_EngineTrades!$AP$9:$AP$508),0))&gt;0),ROUND(($R80-$O80)/($P80+N(IFERROR(LOOKUP(2,1/(_EngineTrades!$AU$9:$AU$508=$A80),_EngineTrades!$AP$9:$AP$508),0))),4),"")</f>
        <v/>
      </c>
      <c r="W80" s="72" t="str">
        <f>IF($A80="","",MAX(1,IF($G80="",_EngineTrades!$E$3-$F80,$G80-$F80)))</f>
        <v/>
      </c>
      <c r="X80" s="73" t="str">
        <f t="shared" si="19"/>
        <v/>
      </c>
      <c r="Y80" s="73" t="str">
        <f t="shared" si="20"/>
        <v/>
      </c>
      <c r="Z80" s="44">
        <f>IF(Cycles!U80="",0,Cycles!U80)</f>
        <v>0</v>
      </c>
      <c r="AA80" s="44">
        <f>IF(Cycles!V80="",0,Cycles!V80)</f>
        <v>0</v>
      </c>
      <c r="AB80" s="44">
        <f>IF(Cycles!W80="",0,Cycles!W80)</f>
        <v>0</v>
      </c>
      <c r="AC80" s="44">
        <f>IF(Cycles!X80="",0,Cycles!X80)</f>
        <v>0</v>
      </c>
      <c r="AD80" s="70" t="str">
        <f t="shared" si="21"/>
        <v/>
      </c>
      <c r="AE80" s="70" t="str">
        <f t="shared" si="22"/>
        <v/>
      </c>
      <c r="AF80" s="70" t="str">
        <f t="shared" si="23"/>
        <v/>
      </c>
      <c r="AG80" t="str">
        <f>IFERROR(MATCH(ROWS($AG$9:AG80),_EngineTrades!$AW$9:$AW$508,0)+8,"")</f>
        <v/>
      </c>
    </row>
    <row r="81" spans="1:33" ht="15" x14ac:dyDescent="0.25">
      <c r="A81" s="61" t="str">
        <f>IF($AG81="","",IFERROR(INDEX(_EngineTrades!$AU$9:$AU$508,MATCH($AG81,_EngineTrades!$AV$9:$AV$508,0)),""))</f>
        <v/>
      </c>
      <c r="B81" s="61" t="str">
        <f>IF($A81="","",INDEX(_EngineTrades!$B$9:$B$508,MATCH($AG81,_EngineTrades!$AV$9:$AV$508,0)))</f>
        <v/>
      </c>
      <c r="C81" s="61" t="str">
        <f>IF($A81="","",INDEX(_EngineTrades!$T$9:$T$508,MATCH($AG81,_EngineTrades!$AV$9:$AV$508,0)))</f>
        <v/>
      </c>
      <c r="D81" s="47" t="str">
        <f>IF($A81="","",INDEX(_EngineTrades!$C$9:$C$508,MATCH($AG81,_EngineTrades!$AV$9:$AV$508,0)))</f>
        <v/>
      </c>
      <c r="E81" s="62" t="str">
        <f>IF($A81="","",IF(IFERROR(LOOKUP(2,1/(_EngineTrades!$AU$9:$AU$508=$A81),_EngineTrades!$AR$9:$AR$508),FALSE),"Closed","Open"))</f>
        <v/>
      </c>
      <c r="F81" s="63" t="str">
        <f>IF($A81="","",INDEX(_EngineTrades!$E$9:$E$508,$AG81-8))</f>
        <v/>
      </c>
      <c r="G81" s="63" t="str">
        <f>IF(OR($A81="",$E81&lt;&gt;"Closed"),"",IFERROR(INDEX(_EngineTrades!$E$9:$E$508,SUMIFS(_EngineTrades!$AX$9:$AX$508,_EngineTrades!$AU$9:$AU$508,$A81)-8),""))</f>
        <v/>
      </c>
      <c r="H81" s="49" t="str">
        <f>IF($A81="","",ROUND(SUMIFS(_EngineTrades!$Y$9:$Y$508,_EngineTrades!$AU$9:$AU$508,$A81),4))</f>
        <v/>
      </c>
      <c r="I81" s="49" t="str">
        <f>IF($A81="","",ROUND(SUMIFS(_EngineTrades!$Z$9:$Z$508,_EngineTrades!$AU$9:$AU$508,$A81),4))</f>
        <v/>
      </c>
      <c r="J81" s="45" t="str">
        <f t="shared" si="16"/>
        <v/>
      </c>
      <c r="K81" s="49" t="str">
        <f>IF($A81="","",ROUND(SUMIFS(_EngineTrades!$AA$9:$AA$508,_EngineTrades!$AU$9:$AU$508,$A81),4))</f>
        <v/>
      </c>
      <c r="L81" s="49" t="str">
        <f>IF($A81="","",ROUND(SUMIFS(_EngineTrades!$AB$9:$AB$508,_EngineTrades!$AU$9:$AU$508,$A81),4))</f>
        <v/>
      </c>
      <c r="M81" s="49" t="str">
        <f>IF($A81="","",ROUND(SUMIFS(_EngineTrades!$AC$9:$AC$508,_EngineTrades!$AU$9:$AU$508,$A81),4))</f>
        <v/>
      </c>
      <c r="N81" s="49" t="str">
        <f>IF($A81="","",ROUND(SUMIFS(_EngineTrades!$AD$9:$AD$508,_EngineTrades!$AU$9:$AU$508,$A81),4))</f>
        <v/>
      </c>
      <c r="O81" s="45" t="str">
        <f t="shared" si="17"/>
        <v/>
      </c>
      <c r="P81" s="61">
        <f>IF(OR($A81="",$E81&lt;&gt;"Open"),0,IFERROR(LOOKUP(2,1/(_EngineTrades!$AU$9:$AU$508=$A81),_EngineTrades!$AM$9:$AM$508),0))</f>
        <v>0</v>
      </c>
      <c r="Q81" s="49" t="str">
        <f>IF(OR($A81="",$P81=0),"",ROUND(IFERROR(LOOKUP(2,1/(_EngineTrades!$AU$9:$AU$508=$A81),_EngineTrades!$AN$9:$AN$508),0)/$P81,4))</f>
        <v/>
      </c>
      <c r="R81" s="49">
        <f>IF(OR($A81="",$E81&lt;&gt;"Open"),0,IFERROR(LOOKUP(2,1/(_EngineTrades!$AU$9:$AU$508=$A81),_EngineTrades!$AO$9:$AO$508),0))</f>
        <v>0</v>
      </c>
      <c r="S81" s="49">
        <f>IF(OR($A81="",$E81&lt;&gt;"Open"),0,ROUND($R81+IFERROR(LOOKUP(2,1/(_EngineTrades!$AU$9:$AU$508=$A81),_EngineTrades!$AN$9:$AN$508),0),4))</f>
        <v>0</v>
      </c>
      <c r="T81" s="49" t="str">
        <f>IF($A81="","",ROUND(IFERROR(LOOKUP(2,1/(_EngineTrades!$AU$9:$AU$508=$A81),_EngineTrades!$AT$9:$AT$508),0),4))</f>
        <v/>
      </c>
      <c r="U81" s="49" t="str">
        <f t="shared" si="18"/>
        <v/>
      </c>
      <c r="V81" s="49" t="str">
        <f>IF(AND($A81&lt;&gt;"",$E81="Open",$P81+N(IFERROR(LOOKUP(2,1/(_EngineTrades!$AU$9:$AU$508=$A81),_EngineTrades!$AP$9:$AP$508),0))&gt;0),ROUND(($R81-$O81)/($P81+N(IFERROR(LOOKUP(2,1/(_EngineTrades!$AU$9:$AU$508=$A81),_EngineTrades!$AP$9:$AP$508),0))),4),"")</f>
        <v/>
      </c>
      <c r="W81" s="64" t="str">
        <f>IF($A81="","",MAX(1,IF($G81="",_EngineTrades!$E$3-$F81,$G81-$F81)))</f>
        <v/>
      </c>
      <c r="X81" s="65" t="str">
        <f t="shared" si="19"/>
        <v/>
      </c>
      <c r="Y81" s="65" t="str">
        <f t="shared" si="20"/>
        <v/>
      </c>
      <c r="Z81" s="44">
        <f>IF(Cycles!U81="",0,Cycles!U81)</f>
        <v>0</v>
      </c>
      <c r="AA81" s="44">
        <f>IF(Cycles!V81="",0,Cycles!V81)</f>
        <v>0</v>
      </c>
      <c r="AB81" s="44">
        <f>IF(Cycles!W81="",0,Cycles!W81)</f>
        <v>0</v>
      </c>
      <c r="AC81" s="44">
        <f>IF(Cycles!X81="",0,Cycles!X81)</f>
        <v>0</v>
      </c>
      <c r="AD81" s="49" t="str">
        <f t="shared" si="21"/>
        <v/>
      </c>
      <c r="AE81" s="49" t="str">
        <f t="shared" si="22"/>
        <v/>
      </c>
      <c r="AF81" s="49" t="str">
        <f t="shared" si="23"/>
        <v/>
      </c>
      <c r="AG81" t="str">
        <f>IFERROR(MATCH(ROWS($AG$9:AG81),_EngineTrades!$AW$9:$AW$508,0)+8,"")</f>
        <v/>
      </c>
    </row>
    <row r="82" spans="1:33" ht="15" x14ac:dyDescent="0.25">
      <c r="A82" s="66" t="str">
        <f>IF($AG82="","",IFERROR(INDEX(_EngineTrades!$AU$9:$AU$508,MATCH($AG82,_EngineTrades!$AV$9:$AV$508,0)),""))</f>
        <v/>
      </c>
      <c r="B82" s="66" t="str">
        <f>IF($A82="","",INDEX(_EngineTrades!$B$9:$B$508,MATCH($AG82,_EngineTrades!$AV$9:$AV$508,0)))</f>
        <v/>
      </c>
      <c r="C82" s="66" t="str">
        <f>IF($A82="","",INDEX(_EngineTrades!$T$9:$T$508,MATCH($AG82,_EngineTrades!$AV$9:$AV$508,0)))</f>
        <v/>
      </c>
      <c r="D82" s="67" t="str">
        <f>IF($A82="","",INDEX(_EngineTrades!$C$9:$C$508,MATCH($AG82,_EngineTrades!$AV$9:$AV$508,0)))</f>
        <v/>
      </c>
      <c r="E82" s="68" t="str">
        <f>IF($A82="","",IF(IFERROR(LOOKUP(2,1/(_EngineTrades!$AU$9:$AU$508=$A82),_EngineTrades!$AR$9:$AR$508),FALSE),"Closed","Open"))</f>
        <v/>
      </c>
      <c r="F82" s="69" t="str">
        <f>IF($A82="","",INDEX(_EngineTrades!$E$9:$E$508,$AG82-8))</f>
        <v/>
      </c>
      <c r="G82" s="69" t="str">
        <f>IF(OR($A82="",$E82&lt;&gt;"Closed"),"",IFERROR(INDEX(_EngineTrades!$E$9:$E$508,SUMIFS(_EngineTrades!$AX$9:$AX$508,_EngineTrades!$AU$9:$AU$508,$A82)-8),""))</f>
        <v/>
      </c>
      <c r="H82" s="70" t="str">
        <f>IF($A82="","",ROUND(SUMIFS(_EngineTrades!$Y$9:$Y$508,_EngineTrades!$AU$9:$AU$508,$A82),4))</f>
        <v/>
      </c>
      <c r="I82" s="70" t="str">
        <f>IF($A82="","",ROUND(SUMIFS(_EngineTrades!$Z$9:$Z$508,_EngineTrades!$AU$9:$AU$508,$A82),4))</f>
        <v/>
      </c>
      <c r="J82" s="71" t="str">
        <f t="shared" si="16"/>
        <v/>
      </c>
      <c r="K82" s="70" t="str">
        <f>IF($A82="","",ROUND(SUMIFS(_EngineTrades!$AA$9:$AA$508,_EngineTrades!$AU$9:$AU$508,$A82),4))</f>
        <v/>
      </c>
      <c r="L82" s="70" t="str">
        <f>IF($A82="","",ROUND(SUMIFS(_EngineTrades!$AB$9:$AB$508,_EngineTrades!$AU$9:$AU$508,$A82),4))</f>
        <v/>
      </c>
      <c r="M82" s="70" t="str">
        <f>IF($A82="","",ROUND(SUMIFS(_EngineTrades!$AC$9:$AC$508,_EngineTrades!$AU$9:$AU$508,$A82),4))</f>
        <v/>
      </c>
      <c r="N82" s="70" t="str">
        <f>IF($A82="","",ROUND(SUMIFS(_EngineTrades!$AD$9:$AD$508,_EngineTrades!$AU$9:$AU$508,$A82),4))</f>
        <v/>
      </c>
      <c r="O82" s="71" t="str">
        <f t="shared" si="17"/>
        <v/>
      </c>
      <c r="P82" s="66">
        <f>IF(OR($A82="",$E82&lt;&gt;"Open"),0,IFERROR(LOOKUP(2,1/(_EngineTrades!$AU$9:$AU$508=$A82),_EngineTrades!$AM$9:$AM$508),0))</f>
        <v>0</v>
      </c>
      <c r="Q82" s="70" t="str">
        <f>IF(OR($A82="",$P82=0),"",ROUND(IFERROR(LOOKUP(2,1/(_EngineTrades!$AU$9:$AU$508=$A82),_EngineTrades!$AN$9:$AN$508),0)/$P82,4))</f>
        <v/>
      </c>
      <c r="R82" s="70">
        <f>IF(OR($A82="",$E82&lt;&gt;"Open"),0,IFERROR(LOOKUP(2,1/(_EngineTrades!$AU$9:$AU$508=$A82),_EngineTrades!$AO$9:$AO$508),0))</f>
        <v>0</v>
      </c>
      <c r="S82" s="70">
        <f>IF(OR($A82="",$E82&lt;&gt;"Open"),0,ROUND($R82+IFERROR(LOOKUP(2,1/(_EngineTrades!$AU$9:$AU$508=$A82),_EngineTrades!$AN$9:$AN$508),0),4))</f>
        <v>0</v>
      </c>
      <c r="T82" s="70" t="str">
        <f>IF($A82="","",ROUND(IFERROR(LOOKUP(2,1/(_EngineTrades!$AU$9:$AU$508=$A82),_EngineTrades!$AT$9:$AT$508),0),4))</f>
        <v/>
      </c>
      <c r="U82" s="70" t="str">
        <f t="shared" si="18"/>
        <v/>
      </c>
      <c r="V82" s="70" t="str">
        <f>IF(AND($A82&lt;&gt;"",$E82="Open",$P82+N(IFERROR(LOOKUP(2,1/(_EngineTrades!$AU$9:$AU$508=$A82),_EngineTrades!$AP$9:$AP$508),0))&gt;0),ROUND(($R82-$O82)/($P82+N(IFERROR(LOOKUP(2,1/(_EngineTrades!$AU$9:$AU$508=$A82),_EngineTrades!$AP$9:$AP$508),0))),4),"")</f>
        <v/>
      </c>
      <c r="W82" s="72" t="str">
        <f>IF($A82="","",MAX(1,IF($G82="",_EngineTrades!$E$3-$F82,$G82-$F82)))</f>
        <v/>
      </c>
      <c r="X82" s="73" t="str">
        <f t="shared" si="19"/>
        <v/>
      </c>
      <c r="Y82" s="73" t="str">
        <f t="shared" si="20"/>
        <v/>
      </c>
      <c r="Z82" s="44">
        <f>IF(Cycles!U82="",0,Cycles!U82)</f>
        <v>0</v>
      </c>
      <c r="AA82" s="44">
        <f>IF(Cycles!V82="",0,Cycles!V82)</f>
        <v>0</v>
      </c>
      <c r="AB82" s="44">
        <f>IF(Cycles!W82="",0,Cycles!W82)</f>
        <v>0</v>
      </c>
      <c r="AC82" s="44">
        <f>IF(Cycles!X82="",0,Cycles!X82)</f>
        <v>0</v>
      </c>
      <c r="AD82" s="70" t="str">
        <f t="shared" si="21"/>
        <v/>
      </c>
      <c r="AE82" s="70" t="str">
        <f t="shared" si="22"/>
        <v/>
      </c>
      <c r="AF82" s="70" t="str">
        <f t="shared" si="23"/>
        <v/>
      </c>
      <c r="AG82" t="str">
        <f>IFERROR(MATCH(ROWS($AG$9:AG82),_EngineTrades!$AW$9:$AW$508,0)+8,"")</f>
        <v/>
      </c>
    </row>
    <row r="83" spans="1:33" ht="15" x14ac:dyDescent="0.25">
      <c r="A83" s="61" t="str">
        <f>IF($AG83="","",IFERROR(INDEX(_EngineTrades!$AU$9:$AU$508,MATCH($AG83,_EngineTrades!$AV$9:$AV$508,0)),""))</f>
        <v/>
      </c>
      <c r="B83" s="61" t="str">
        <f>IF($A83="","",INDEX(_EngineTrades!$B$9:$B$508,MATCH($AG83,_EngineTrades!$AV$9:$AV$508,0)))</f>
        <v/>
      </c>
      <c r="C83" s="61" t="str">
        <f>IF($A83="","",INDEX(_EngineTrades!$T$9:$T$508,MATCH($AG83,_EngineTrades!$AV$9:$AV$508,0)))</f>
        <v/>
      </c>
      <c r="D83" s="47" t="str">
        <f>IF($A83="","",INDEX(_EngineTrades!$C$9:$C$508,MATCH($AG83,_EngineTrades!$AV$9:$AV$508,0)))</f>
        <v/>
      </c>
      <c r="E83" s="62" t="str">
        <f>IF($A83="","",IF(IFERROR(LOOKUP(2,1/(_EngineTrades!$AU$9:$AU$508=$A83),_EngineTrades!$AR$9:$AR$508),FALSE),"Closed","Open"))</f>
        <v/>
      </c>
      <c r="F83" s="63" t="str">
        <f>IF($A83="","",INDEX(_EngineTrades!$E$9:$E$508,$AG83-8))</f>
        <v/>
      </c>
      <c r="G83" s="63" t="str">
        <f>IF(OR($A83="",$E83&lt;&gt;"Closed"),"",IFERROR(INDEX(_EngineTrades!$E$9:$E$508,SUMIFS(_EngineTrades!$AX$9:$AX$508,_EngineTrades!$AU$9:$AU$508,$A83)-8),""))</f>
        <v/>
      </c>
      <c r="H83" s="49" t="str">
        <f>IF($A83="","",ROUND(SUMIFS(_EngineTrades!$Y$9:$Y$508,_EngineTrades!$AU$9:$AU$508,$A83),4))</f>
        <v/>
      </c>
      <c r="I83" s="49" t="str">
        <f>IF($A83="","",ROUND(SUMIFS(_EngineTrades!$Z$9:$Z$508,_EngineTrades!$AU$9:$AU$508,$A83),4))</f>
        <v/>
      </c>
      <c r="J83" s="45" t="str">
        <f t="shared" si="16"/>
        <v/>
      </c>
      <c r="K83" s="49" t="str">
        <f>IF($A83="","",ROUND(SUMIFS(_EngineTrades!$AA$9:$AA$508,_EngineTrades!$AU$9:$AU$508,$A83),4))</f>
        <v/>
      </c>
      <c r="L83" s="49" t="str">
        <f>IF($A83="","",ROUND(SUMIFS(_EngineTrades!$AB$9:$AB$508,_EngineTrades!$AU$9:$AU$508,$A83),4))</f>
        <v/>
      </c>
      <c r="M83" s="49" t="str">
        <f>IF($A83="","",ROUND(SUMIFS(_EngineTrades!$AC$9:$AC$508,_EngineTrades!$AU$9:$AU$508,$A83),4))</f>
        <v/>
      </c>
      <c r="N83" s="49" t="str">
        <f>IF($A83="","",ROUND(SUMIFS(_EngineTrades!$AD$9:$AD$508,_EngineTrades!$AU$9:$AU$508,$A83),4))</f>
        <v/>
      </c>
      <c r="O83" s="45" t="str">
        <f t="shared" si="17"/>
        <v/>
      </c>
      <c r="P83" s="61">
        <f>IF(OR($A83="",$E83&lt;&gt;"Open"),0,IFERROR(LOOKUP(2,1/(_EngineTrades!$AU$9:$AU$508=$A83),_EngineTrades!$AM$9:$AM$508),0))</f>
        <v>0</v>
      </c>
      <c r="Q83" s="49" t="str">
        <f>IF(OR($A83="",$P83=0),"",ROUND(IFERROR(LOOKUP(2,1/(_EngineTrades!$AU$9:$AU$508=$A83),_EngineTrades!$AN$9:$AN$508),0)/$P83,4))</f>
        <v/>
      </c>
      <c r="R83" s="49">
        <f>IF(OR($A83="",$E83&lt;&gt;"Open"),0,IFERROR(LOOKUP(2,1/(_EngineTrades!$AU$9:$AU$508=$A83),_EngineTrades!$AO$9:$AO$508),0))</f>
        <v>0</v>
      </c>
      <c r="S83" s="49">
        <f>IF(OR($A83="",$E83&lt;&gt;"Open"),0,ROUND($R83+IFERROR(LOOKUP(2,1/(_EngineTrades!$AU$9:$AU$508=$A83),_EngineTrades!$AN$9:$AN$508),0),4))</f>
        <v>0</v>
      </c>
      <c r="T83" s="49" t="str">
        <f>IF($A83="","",ROUND(IFERROR(LOOKUP(2,1/(_EngineTrades!$AU$9:$AU$508=$A83),_EngineTrades!$AT$9:$AT$508),0),4))</f>
        <v/>
      </c>
      <c r="U83" s="49" t="str">
        <f t="shared" si="18"/>
        <v/>
      </c>
      <c r="V83" s="49" t="str">
        <f>IF(AND($A83&lt;&gt;"",$E83="Open",$P83+N(IFERROR(LOOKUP(2,1/(_EngineTrades!$AU$9:$AU$508=$A83),_EngineTrades!$AP$9:$AP$508),0))&gt;0),ROUND(($R83-$O83)/($P83+N(IFERROR(LOOKUP(2,1/(_EngineTrades!$AU$9:$AU$508=$A83),_EngineTrades!$AP$9:$AP$508),0))),4),"")</f>
        <v/>
      </c>
      <c r="W83" s="64" t="str">
        <f>IF($A83="","",MAX(1,IF($G83="",_EngineTrades!$E$3-$F83,$G83-$F83)))</f>
        <v/>
      </c>
      <c r="X83" s="65" t="str">
        <f t="shared" si="19"/>
        <v/>
      </c>
      <c r="Y83" s="65" t="str">
        <f t="shared" si="20"/>
        <v/>
      </c>
      <c r="Z83" s="44">
        <f>IF(Cycles!U83="",0,Cycles!U83)</f>
        <v>0</v>
      </c>
      <c r="AA83" s="44">
        <f>IF(Cycles!V83="",0,Cycles!V83)</f>
        <v>0</v>
      </c>
      <c r="AB83" s="44">
        <f>IF(Cycles!W83="",0,Cycles!W83)</f>
        <v>0</v>
      </c>
      <c r="AC83" s="44">
        <f>IF(Cycles!X83="",0,Cycles!X83)</f>
        <v>0</v>
      </c>
      <c r="AD83" s="49" t="str">
        <f t="shared" si="21"/>
        <v/>
      </c>
      <c r="AE83" s="49" t="str">
        <f t="shared" si="22"/>
        <v/>
      </c>
      <c r="AF83" s="49" t="str">
        <f t="shared" si="23"/>
        <v/>
      </c>
      <c r="AG83" t="str">
        <f>IFERROR(MATCH(ROWS($AG$9:AG83),_EngineTrades!$AW$9:$AW$508,0)+8,"")</f>
        <v/>
      </c>
    </row>
    <row r="84" spans="1:33" ht="15" x14ac:dyDescent="0.25">
      <c r="A84" s="66" t="str">
        <f>IF($AG84="","",IFERROR(INDEX(_EngineTrades!$AU$9:$AU$508,MATCH($AG84,_EngineTrades!$AV$9:$AV$508,0)),""))</f>
        <v/>
      </c>
      <c r="B84" s="66" t="str">
        <f>IF($A84="","",INDEX(_EngineTrades!$B$9:$B$508,MATCH($AG84,_EngineTrades!$AV$9:$AV$508,0)))</f>
        <v/>
      </c>
      <c r="C84" s="66" t="str">
        <f>IF($A84="","",INDEX(_EngineTrades!$T$9:$T$508,MATCH($AG84,_EngineTrades!$AV$9:$AV$508,0)))</f>
        <v/>
      </c>
      <c r="D84" s="67" t="str">
        <f>IF($A84="","",INDEX(_EngineTrades!$C$9:$C$508,MATCH($AG84,_EngineTrades!$AV$9:$AV$508,0)))</f>
        <v/>
      </c>
      <c r="E84" s="68" t="str">
        <f>IF($A84="","",IF(IFERROR(LOOKUP(2,1/(_EngineTrades!$AU$9:$AU$508=$A84),_EngineTrades!$AR$9:$AR$508),FALSE),"Closed","Open"))</f>
        <v/>
      </c>
      <c r="F84" s="69" t="str">
        <f>IF($A84="","",INDEX(_EngineTrades!$E$9:$E$508,$AG84-8))</f>
        <v/>
      </c>
      <c r="G84" s="69" t="str">
        <f>IF(OR($A84="",$E84&lt;&gt;"Closed"),"",IFERROR(INDEX(_EngineTrades!$E$9:$E$508,SUMIFS(_EngineTrades!$AX$9:$AX$508,_EngineTrades!$AU$9:$AU$508,$A84)-8),""))</f>
        <v/>
      </c>
      <c r="H84" s="70" t="str">
        <f>IF($A84="","",ROUND(SUMIFS(_EngineTrades!$Y$9:$Y$508,_EngineTrades!$AU$9:$AU$508,$A84),4))</f>
        <v/>
      </c>
      <c r="I84" s="70" t="str">
        <f>IF($A84="","",ROUND(SUMIFS(_EngineTrades!$Z$9:$Z$508,_EngineTrades!$AU$9:$AU$508,$A84),4))</f>
        <v/>
      </c>
      <c r="J84" s="71" t="str">
        <f t="shared" si="16"/>
        <v/>
      </c>
      <c r="K84" s="70" t="str">
        <f>IF($A84="","",ROUND(SUMIFS(_EngineTrades!$AA$9:$AA$508,_EngineTrades!$AU$9:$AU$508,$A84),4))</f>
        <v/>
      </c>
      <c r="L84" s="70" t="str">
        <f>IF($A84="","",ROUND(SUMIFS(_EngineTrades!$AB$9:$AB$508,_EngineTrades!$AU$9:$AU$508,$A84),4))</f>
        <v/>
      </c>
      <c r="M84" s="70" t="str">
        <f>IF($A84="","",ROUND(SUMIFS(_EngineTrades!$AC$9:$AC$508,_EngineTrades!$AU$9:$AU$508,$A84),4))</f>
        <v/>
      </c>
      <c r="N84" s="70" t="str">
        <f>IF($A84="","",ROUND(SUMIFS(_EngineTrades!$AD$9:$AD$508,_EngineTrades!$AU$9:$AU$508,$A84),4))</f>
        <v/>
      </c>
      <c r="O84" s="71" t="str">
        <f t="shared" si="17"/>
        <v/>
      </c>
      <c r="P84" s="66">
        <f>IF(OR($A84="",$E84&lt;&gt;"Open"),0,IFERROR(LOOKUP(2,1/(_EngineTrades!$AU$9:$AU$508=$A84),_EngineTrades!$AM$9:$AM$508),0))</f>
        <v>0</v>
      </c>
      <c r="Q84" s="70" t="str">
        <f>IF(OR($A84="",$P84=0),"",ROUND(IFERROR(LOOKUP(2,1/(_EngineTrades!$AU$9:$AU$508=$A84),_EngineTrades!$AN$9:$AN$508),0)/$P84,4))</f>
        <v/>
      </c>
      <c r="R84" s="70">
        <f>IF(OR($A84="",$E84&lt;&gt;"Open"),0,IFERROR(LOOKUP(2,1/(_EngineTrades!$AU$9:$AU$508=$A84),_EngineTrades!$AO$9:$AO$508),0))</f>
        <v>0</v>
      </c>
      <c r="S84" s="70">
        <f>IF(OR($A84="",$E84&lt;&gt;"Open"),0,ROUND($R84+IFERROR(LOOKUP(2,1/(_EngineTrades!$AU$9:$AU$508=$A84),_EngineTrades!$AN$9:$AN$508),0),4))</f>
        <v>0</v>
      </c>
      <c r="T84" s="70" t="str">
        <f>IF($A84="","",ROUND(IFERROR(LOOKUP(2,1/(_EngineTrades!$AU$9:$AU$508=$A84),_EngineTrades!$AT$9:$AT$508),0),4))</f>
        <v/>
      </c>
      <c r="U84" s="70" t="str">
        <f t="shared" si="18"/>
        <v/>
      </c>
      <c r="V84" s="70" t="str">
        <f>IF(AND($A84&lt;&gt;"",$E84="Open",$P84+N(IFERROR(LOOKUP(2,1/(_EngineTrades!$AU$9:$AU$508=$A84),_EngineTrades!$AP$9:$AP$508),0))&gt;0),ROUND(($R84-$O84)/($P84+N(IFERROR(LOOKUP(2,1/(_EngineTrades!$AU$9:$AU$508=$A84),_EngineTrades!$AP$9:$AP$508),0))),4),"")</f>
        <v/>
      </c>
      <c r="W84" s="72" t="str">
        <f>IF($A84="","",MAX(1,IF($G84="",_EngineTrades!$E$3-$F84,$G84-$F84)))</f>
        <v/>
      </c>
      <c r="X84" s="73" t="str">
        <f t="shared" si="19"/>
        <v/>
      </c>
      <c r="Y84" s="73" t="str">
        <f t="shared" si="20"/>
        <v/>
      </c>
      <c r="Z84" s="44">
        <f>IF(Cycles!U84="",0,Cycles!U84)</f>
        <v>0</v>
      </c>
      <c r="AA84" s="44">
        <f>IF(Cycles!V84="",0,Cycles!V84)</f>
        <v>0</v>
      </c>
      <c r="AB84" s="44">
        <f>IF(Cycles!W84="",0,Cycles!W84)</f>
        <v>0</v>
      </c>
      <c r="AC84" s="44">
        <f>IF(Cycles!X84="",0,Cycles!X84)</f>
        <v>0</v>
      </c>
      <c r="AD84" s="70" t="str">
        <f t="shared" si="21"/>
        <v/>
      </c>
      <c r="AE84" s="70" t="str">
        <f t="shared" si="22"/>
        <v/>
      </c>
      <c r="AF84" s="70" t="str">
        <f t="shared" si="23"/>
        <v/>
      </c>
      <c r="AG84" t="str">
        <f>IFERROR(MATCH(ROWS($AG$9:AG84),_EngineTrades!$AW$9:$AW$508,0)+8,"")</f>
        <v/>
      </c>
    </row>
    <row r="85" spans="1:33" ht="15" x14ac:dyDescent="0.25">
      <c r="A85" s="61" t="str">
        <f>IF($AG85="","",IFERROR(INDEX(_EngineTrades!$AU$9:$AU$508,MATCH($AG85,_EngineTrades!$AV$9:$AV$508,0)),""))</f>
        <v/>
      </c>
      <c r="B85" s="61" t="str">
        <f>IF($A85="","",INDEX(_EngineTrades!$B$9:$B$508,MATCH($AG85,_EngineTrades!$AV$9:$AV$508,0)))</f>
        <v/>
      </c>
      <c r="C85" s="61" t="str">
        <f>IF($A85="","",INDEX(_EngineTrades!$T$9:$T$508,MATCH($AG85,_EngineTrades!$AV$9:$AV$508,0)))</f>
        <v/>
      </c>
      <c r="D85" s="47" t="str">
        <f>IF($A85="","",INDEX(_EngineTrades!$C$9:$C$508,MATCH($AG85,_EngineTrades!$AV$9:$AV$508,0)))</f>
        <v/>
      </c>
      <c r="E85" s="62" t="str">
        <f>IF($A85="","",IF(IFERROR(LOOKUP(2,1/(_EngineTrades!$AU$9:$AU$508=$A85),_EngineTrades!$AR$9:$AR$508),FALSE),"Closed","Open"))</f>
        <v/>
      </c>
      <c r="F85" s="63" t="str">
        <f>IF($A85="","",INDEX(_EngineTrades!$E$9:$E$508,$AG85-8))</f>
        <v/>
      </c>
      <c r="G85" s="63" t="str">
        <f>IF(OR($A85="",$E85&lt;&gt;"Closed"),"",IFERROR(INDEX(_EngineTrades!$E$9:$E$508,SUMIFS(_EngineTrades!$AX$9:$AX$508,_EngineTrades!$AU$9:$AU$508,$A85)-8),""))</f>
        <v/>
      </c>
      <c r="H85" s="49" t="str">
        <f>IF($A85="","",ROUND(SUMIFS(_EngineTrades!$Y$9:$Y$508,_EngineTrades!$AU$9:$AU$508,$A85),4))</f>
        <v/>
      </c>
      <c r="I85" s="49" t="str">
        <f>IF($A85="","",ROUND(SUMIFS(_EngineTrades!$Z$9:$Z$508,_EngineTrades!$AU$9:$AU$508,$A85),4))</f>
        <v/>
      </c>
      <c r="J85" s="45" t="str">
        <f t="shared" si="16"/>
        <v/>
      </c>
      <c r="K85" s="49" t="str">
        <f>IF($A85="","",ROUND(SUMIFS(_EngineTrades!$AA$9:$AA$508,_EngineTrades!$AU$9:$AU$508,$A85),4))</f>
        <v/>
      </c>
      <c r="L85" s="49" t="str">
        <f>IF($A85="","",ROUND(SUMIFS(_EngineTrades!$AB$9:$AB$508,_EngineTrades!$AU$9:$AU$508,$A85),4))</f>
        <v/>
      </c>
      <c r="M85" s="49" t="str">
        <f>IF($A85="","",ROUND(SUMIFS(_EngineTrades!$AC$9:$AC$508,_EngineTrades!$AU$9:$AU$508,$A85),4))</f>
        <v/>
      </c>
      <c r="N85" s="49" t="str">
        <f>IF($A85="","",ROUND(SUMIFS(_EngineTrades!$AD$9:$AD$508,_EngineTrades!$AU$9:$AU$508,$A85),4))</f>
        <v/>
      </c>
      <c r="O85" s="45" t="str">
        <f t="shared" si="17"/>
        <v/>
      </c>
      <c r="P85" s="61">
        <f>IF(OR($A85="",$E85&lt;&gt;"Open"),0,IFERROR(LOOKUP(2,1/(_EngineTrades!$AU$9:$AU$508=$A85),_EngineTrades!$AM$9:$AM$508),0))</f>
        <v>0</v>
      </c>
      <c r="Q85" s="49" t="str">
        <f>IF(OR($A85="",$P85=0),"",ROUND(IFERROR(LOOKUP(2,1/(_EngineTrades!$AU$9:$AU$508=$A85),_EngineTrades!$AN$9:$AN$508),0)/$P85,4))</f>
        <v/>
      </c>
      <c r="R85" s="49">
        <f>IF(OR($A85="",$E85&lt;&gt;"Open"),0,IFERROR(LOOKUP(2,1/(_EngineTrades!$AU$9:$AU$508=$A85),_EngineTrades!$AO$9:$AO$508),0))</f>
        <v>0</v>
      </c>
      <c r="S85" s="49">
        <f>IF(OR($A85="",$E85&lt;&gt;"Open"),0,ROUND($R85+IFERROR(LOOKUP(2,1/(_EngineTrades!$AU$9:$AU$508=$A85),_EngineTrades!$AN$9:$AN$508),0),4))</f>
        <v>0</v>
      </c>
      <c r="T85" s="49" t="str">
        <f>IF($A85="","",ROUND(IFERROR(LOOKUP(2,1/(_EngineTrades!$AU$9:$AU$508=$A85),_EngineTrades!$AT$9:$AT$508),0),4))</f>
        <v/>
      </c>
      <c r="U85" s="49" t="str">
        <f t="shared" si="18"/>
        <v/>
      </c>
      <c r="V85" s="49" t="str">
        <f>IF(AND($A85&lt;&gt;"",$E85="Open",$P85+N(IFERROR(LOOKUP(2,1/(_EngineTrades!$AU$9:$AU$508=$A85),_EngineTrades!$AP$9:$AP$508),0))&gt;0),ROUND(($R85-$O85)/($P85+N(IFERROR(LOOKUP(2,1/(_EngineTrades!$AU$9:$AU$508=$A85),_EngineTrades!$AP$9:$AP$508),0))),4),"")</f>
        <v/>
      </c>
      <c r="W85" s="64" t="str">
        <f>IF($A85="","",MAX(1,IF($G85="",_EngineTrades!$E$3-$F85,$G85-$F85)))</f>
        <v/>
      </c>
      <c r="X85" s="65" t="str">
        <f t="shared" si="19"/>
        <v/>
      </c>
      <c r="Y85" s="65" t="str">
        <f t="shared" si="20"/>
        <v/>
      </c>
      <c r="Z85" s="44">
        <f>IF(Cycles!U85="",0,Cycles!U85)</f>
        <v>0</v>
      </c>
      <c r="AA85" s="44">
        <f>IF(Cycles!V85="",0,Cycles!V85)</f>
        <v>0</v>
      </c>
      <c r="AB85" s="44">
        <f>IF(Cycles!W85="",0,Cycles!W85)</f>
        <v>0</v>
      </c>
      <c r="AC85" s="44">
        <f>IF(Cycles!X85="",0,Cycles!X85)</f>
        <v>0</v>
      </c>
      <c r="AD85" s="49" t="str">
        <f t="shared" si="21"/>
        <v/>
      </c>
      <c r="AE85" s="49" t="str">
        <f t="shared" si="22"/>
        <v/>
      </c>
      <c r="AF85" s="49" t="str">
        <f t="shared" si="23"/>
        <v/>
      </c>
      <c r="AG85" t="str">
        <f>IFERROR(MATCH(ROWS($AG$9:AG85),_EngineTrades!$AW$9:$AW$508,0)+8,"")</f>
        <v/>
      </c>
    </row>
    <row r="86" spans="1:33" ht="15" x14ac:dyDescent="0.25">
      <c r="A86" s="66" t="str">
        <f>IF($AG86="","",IFERROR(INDEX(_EngineTrades!$AU$9:$AU$508,MATCH($AG86,_EngineTrades!$AV$9:$AV$508,0)),""))</f>
        <v/>
      </c>
      <c r="B86" s="66" t="str">
        <f>IF($A86="","",INDEX(_EngineTrades!$B$9:$B$508,MATCH($AG86,_EngineTrades!$AV$9:$AV$508,0)))</f>
        <v/>
      </c>
      <c r="C86" s="66" t="str">
        <f>IF($A86="","",INDEX(_EngineTrades!$T$9:$T$508,MATCH($AG86,_EngineTrades!$AV$9:$AV$508,0)))</f>
        <v/>
      </c>
      <c r="D86" s="67" t="str">
        <f>IF($A86="","",INDEX(_EngineTrades!$C$9:$C$508,MATCH($AG86,_EngineTrades!$AV$9:$AV$508,0)))</f>
        <v/>
      </c>
      <c r="E86" s="68" t="str">
        <f>IF($A86="","",IF(IFERROR(LOOKUP(2,1/(_EngineTrades!$AU$9:$AU$508=$A86),_EngineTrades!$AR$9:$AR$508),FALSE),"Closed","Open"))</f>
        <v/>
      </c>
      <c r="F86" s="69" t="str">
        <f>IF($A86="","",INDEX(_EngineTrades!$E$9:$E$508,$AG86-8))</f>
        <v/>
      </c>
      <c r="G86" s="69" t="str">
        <f>IF(OR($A86="",$E86&lt;&gt;"Closed"),"",IFERROR(INDEX(_EngineTrades!$E$9:$E$508,SUMIFS(_EngineTrades!$AX$9:$AX$508,_EngineTrades!$AU$9:$AU$508,$A86)-8),""))</f>
        <v/>
      </c>
      <c r="H86" s="70" t="str">
        <f>IF($A86="","",ROUND(SUMIFS(_EngineTrades!$Y$9:$Y$508,_EngineTrades!$AU$9:$AU$508,$A86),4))</f>
        <v/>
      </c>
      <c r="I86" s="70" t="str">
        <f>IF($A86="","",ROUND(SUMIFS(_EngineTrades!$Z$9:$Z$508,_EngineTrades!$AU$9:$AU$508,$A86),4))</f>
        <v/>
      </c>
      <c r="J86" s="71" t="str">
        <f t="shared" si="16"/>
        <v/>
      </c>
      <c r="K86" s="70" t="str">
        <f>IF($A86="","",ROUND(SUMIFS(_EngineTrades!$AA$9:$AA$508,_EngineTrades!$AU$9:$AU$508,$A86),4))</f>
        <v/>
      </c>
      <c r="L86" s="70" t="str">
        <f>IF($A86="","",ROUND(SUMIFS(_EngineTrades!$AB$9:$AB$508,_EngineTrades!$AU$9:$AU$508,$A86),4))</f>
        <v/>
      </c>
      <c r="M86" s="70" t="str">
        <f>IF($A86="","",ROUND(SUMIFS(_EngineTrades!$AC$9:$AC$508,_EngineTrades!$AU$9:$AU$508,$A86),4))</f>
        <v/>
      </c>
      <c r="N86" s="70" t="str">
        <f>IF($A86="","",ROUND(SUMIFS(_EngineTrades!$AD$9:$AD$508,_EngineTrades!$AU$9:$AU$508,$A86),4))</f>
        <v/>
      </c>
      <c r="O86" s="71" t="str">
        <f t="shared" si="17"/>
        <v/>
      </c>
      <c r="P86" s="66">
        <f>IF(OR($A86="",$E86&lt;&gt;"Open"),0,IFERROR(LOOKUP(2,1/(_EngineTrades!$AU$9:$AU$508=$A86),_EngineTrades!$AM$9:$AM$508),0))</f>
        <v>0</v>
      </c>
      <c r="Q86" s="70" t="str">
        <f>IF(OR($A86="",$P86=0),"",ROUND(IFERROR(LOOKUP(2,1/(_EngineTrades!$AU$9:$AU$508=$A86),_EngineTrades!$AN$9:$AN$508),0)/$P86,4))</f>
        <v/>
      </c>
      <c r="R86" s="70">
        <f>IF(OR($A86="",$E86&lt;&gt;"Open"),0,IFERROR(LOOKUP(2,1/(_EngineTrades!$AU$9:$AU$508=$A86),_EngineTrades!$AO$9:$AO$508),0))</f>
        <v>0</v>
      </c>
      <c r="S86" s="70">
        <f>IF(OR($A86="",$E86&lt;&gt;"Open"),0,ROUND($R86+IFERROR(LOOKUP(2,1/(_EngineTrades!$AU$9:$AU$508=$A86),_EngineTrades!$AN$9:$AN$508),0),4))</f>
        <v>0</v>
      </c>
      <c r="T86" s="70" t="str">
        <f>IF($A86="","",ROUND(IFERROR(LOOKUP(2,1/(_EngineTrades!$AU$9:$AU$508=$A86),_EngineTrades!$AT$9:$AT$508),0),4))</f>
        <v/>
      </c>
      <c r="U86" s="70" t="str">
        <f t="shared" si="18"/>
        <v/>
      </c>
      <c r="V86" s="70" t="str">
        <f>IF(AND($A86&lt;&gt;"",$E86="Open",$P86+N(IFERROR(LOOKUP(2,1/(_EngineTrades!$AU$9:$AU$508=$A86),_EngineTrades!$AP$9:$AP$508),0))&gt;0),ROUND(($R86-$O86)/($P86+N(IFERROR(LOOKUP(2,1/(_EngineTrades!$AU$9:$AU$508=$A86),_EngineTrades!$AP$9:$AP$508),0))),4),"")</f>
        <v/>
      </c>
      <c r="W86" s="72" t="str">
        <f>IF($A86="","",MAX(1,IF($G86="",_EngineTrades!$E$3-$F86,$G86-$F86)))</f>
        <v/>
      </c>
      <c r="X86" s="73" t="str">
        <f t="shared" si="19"/>
        <v/>
      </c>
      <c r="Y86" s="73" t="str">
        <f t="shared" si="20"/>
        <v/>
      </c>
      <c r="Z86" s="44">
        <f>IF(Cycles!U86="",0,Cycles!U86)</f>
        <v>0</v>
      </c>
      <c r="AA86" s="44">
        <f>IF(Cycles!V86="",0,Cycles!V86)</f>
        <v>0</v>
      </c>
      <c r="AB86" s="44">
        <f>IF(Cycles!W86="",0,Cycles!W86)</f>
        <v>0</v>
      </c>
      <c r="AC86" s="44">
        <f>IF(Cycles!X86="",0,Cycles!X86)</f>
        <v>0</v>
      </c>
      <c r="AD86" s="70" t="str">
        <f t="shared" si="21"/>
        <v/>
      </c>
      <c r="AE86" s="70" t="str">
        <f t="shared" si="22"/>
        <v/>
      </c>
      <c r="AF86" s="70" t="str">
        <f t="shared" si="23"/>
        <v/>
      </c>
      <c r="AG86" t="str">
        <f>IFERROR(MATCH(ROWS($AG$9:AG86),_EngineTrades!$AW$9:$AW$508,0)+8,"")</f>
        <v/>
      </c>
    </row>
    <row r="87" spans="1:33" ht="15" x14ac:dyDescent="0.25">
      <c r="A87" s="61" t="str">
        <f>IF($AG87="","",IFERROR(INDEX(_EngineTrades!$AU$9:$AU$508,MATCH($AG87,_EngineTrades!$AV$9:$AV$508,0)),""))</f>
        <v/>
      </c>
      <c r="B87" s="61" t="str">
        <f>IF($A87="","",INDEX(_EngineTrades!$B$9:$B$508,MATCH($AG87,_EngineTrades!$AV$9:$AV$508,0)))</f>
        <v/>
      </c>
      <c r="C87" s="61" t="str">
        <f>IF($A87="","",INDEX(_EngineTrades!$T$9:$T$508,MATCH($AG87,_EngineTrades!$AV$9:$AV$508,0)))</f>
        <v/>
      </c>
      <c r="D87" s="47" t="str">
        <f>IF($A87="","",INDEX(_EngineTrades!$C$9:$C$508,MATCH($AG87,_EngineTrades!$AV$9:$AV$508,0)))</f>
        <v/>
      </c>
      <c r="E87" s="62" t="str">
        <f>IF($A87="","",IF(IFERROR(LOOKUP(2,1/(_EngineTrades!$AU$9:$AU$508=$A87),_EngineTrades!$AR$9:$AR$508),FALSE),"Closed","Open"))</f>
        <v/>
      </c>
      <c r="F87" s="63" t="str">
        <f>IF($A87="","",INDEX(_EngineTrades!$E$9:$E$508,$AG87-8))</f>
        <v/>
      </c>
      <c r="G87" s="63" t="str">
        <f>IF(OR($A87="",$E87&lt;&gt;"Closed"),"",IFERROR(INDEX(_EngineTrades!$E$9:$E$508,SUMIFS(_EngineTrades!$AX$9:$AX$508,_EngineTrades!$AU$9:$AU$508,$A87)-8),""))</f>
        <v/>
      </c>
      <c r="H87" s="49" t="str">
        <f>IF($A87="","",ROUND(SUMIFS(_EngineTrades!$Y$9:$Y$508,_EngineTrades!$AU$9:$AU$508,$A87),4))</f>
        <v/>
      </c>
      <c r="I87" s="49" t="str">
        <f>IF($A87="","",ROUND(SUMIFS(_EngineTrades!$Z$9:$Z$508,_EngineTrades!$AU$9:$AU$508,$A87),4))</f>
        <v/>
      </c>
      <c r="J87" s="45" t="str">
        <f t="shared" si="16"/>
        <v/>
      </c>
      <c r="K87" s="49" t="str">
        <f>IF($A87="","",ROUND(SUMIFS(_EngineTrades!$AA$9:$AA$508,_EngineTrades!$AU$9:$AU$508,$A87),4))</f>
        <v/>
      </c>
      <c r="L87" s="49" t="str">
        <f>IF($A87="","",ROUND(SUMIFS(_EngineTrades!$AB$9:$AB$508,_EngineTrades!$AU$9:$AU$508,$A87),4))</f>
        <v/>
      </c>
      <c r="M87" s="49" t="str">
        <f>IF($A87="","",ROUND(SUMIFS(_EngineTrades!$AC$9:$AC$508,_EngineTrades!$AU$9:$AU$508,$A87),4))</f>
        <v/>
      </c>
      <c r="N87" s="49" t="str">
        <f>IF($A87="","",ROUND(SUMIFS(_EngineTrades!$AD$9:$AD$508,_EngineTrades!$AU$9:$AU$508,$A87),4))</f>
        <v/>
      </c>
      <c r="O87" s="45" t="str">
        <f t="shared" si="17"/>
        <v/>
      </c>
      <c r="P87" s="61">
        <f>IF(OR($A87="",$E87&lt;&gt;"Open"),0,IFERROR(LOOKUP(2,1/(_EngineTrades!$AU$9:$AU$508=$A87),_EngineTrades!$AM$9:$AM$508),0))</f>
        <v>0</v>
      </c>
      <c r="Q87" s="49" t="str">
        <f>IF(OR($A87="",$P87=0),"",ROUND(IFERROR(LOOKUP(2,1/(_EngineTrades!$AU$9:$AU$508=$A87),_EngineTrades!$AN$9:$AN$508),0)/$P87,4))</f>
        <v/>
      </c>
      <c r="R87" s="49">
        <f>IF(OR($A87="",$E87&lt;&gt;"Open"),0,IFERROR(LOOKUP(2,1/(_EngineTrades!$AU$9:$AU$508=$A87),_EngineTrades!$AO$9:$AO$508),0))</f>
        <v>0</v>
      </c>
      <c r="S87" s="49">
        <f>IF(OR($A87="",$E87&lt;&gt;"Open"),0,ROUND($R87+IFERROR(LOOKUP(2,1/(_EngineTrades!$AU$9:$AU$508=$A87),_EngineTrades!$AN$9:$AN$508),0),4))</f>
        <v>0</v>
      </c>
      <c r="T87" s="49" t="str">
        <f>IF($A87="","",ROUND(IFERROR(LOOKUP(2,1/(_EngineTrades!$AU$9:$AU$508=$A87),_EngineTrades!$AT$9:$AT$508),0),4))</f>
        <v/>
      </c>
      <c r="U87" s="49" t="str">
        <f t="shared" si="18"/>
        <v/>
      </c>
      <c r="V87" s="49" t="str">
        <f>IF(AND($A87&lt;&gt;"",$E87="Open",$P87+N(IFERROR(LOOKUP(2,1/(_EngineTrades!$AU$9:$AU$508=$A87),_EngineTrades!$AP$9:$AP$508),0))&gt;0),ROUND(($R87-$O87)/($P87+N(IFERROR(LOOKUP(2,1/(_EngineTrades!$AU$9:$AU$508=$A87),_EngineTrades!$AP$9:$AP$508),0))),4),"")</f>
        <v/>
      </c>
      <c r="W87" s="64" t="str">
        <f>IF($A87="","",MAX(1,IF($G87="",_EngineTrades!$E$3-$F87,$G87-$F87)))</f>
        <v/>
      </c>
      <c r="X87" s="65" t="str">
        <f t="shared" si="19"/>
        <v/>
      </c>
      <c r="Y87" s="65" t="str">
        <f t="shared" si="20"/>
        <v/>
      </c>
      <c r="Z87" s="44">
        <f>IF(Cycles!U87="",0,Cycles!U87)</f>
        <v>0</v>
      </c>
      <c r="AA87" s="44">
        <f>IF(Cycles!V87="",0,Cycles!V87)</f>
        <v>0</v>
      </c>
      <c r="AB87" s="44">
        <f>IF(Cycles!W87="",0,Cycles!W87)</f>
        <v>0</v>
      </c>
      <c r="AC87" s="44">
        <f>IF(Cycles!X87="",0,Cycles!X87)</f>
        <v>0</v>
      </c>
      <c r="AD87" s="49" t="str">
        <f t="shared" si="21"/>
        <v/>
      </c>
      <c r="AE87" s="49" t="str">
        <f t="shared" si="22"/>
        <v/>
      </c>
      <c r="AF87" s="49" t="str">
        <f t="shared" si="23"/>
        <v/>
      </c>
      <c r="AG87" t="str">
        <f>IFERROR(MATCH(ROWS($AG$9:AG87),_EngineTrades!$AW$9:$AW$508,0)+8,"")</f>
        <v/>
      </c>
    </row>
    <row r="88" spans="1:33" ht="15" x14ac:dyDescent="0.25">
      <c r="A88" s="66" t="str">
        <f>IF($AG88="","",IFERROR(INDEX(_EngineTrades!$AU$9:$AU$508,MATCH($AG88,_EngineTrades!$AV$9:$AV$508,0)),""))</f>
        <v/>
      </c>
      <c r="B88" s="66" t="str">
        <f>IF($A88="","",INDEX(_EngineTrades!$B$9:$B$508,MATCH($AG88,_EngineTrades!$AV$9:$AV$508,0)))</f>
        <v/>
      </c>
      <c r="C88" s="66" t="str">
        <f>IF($A88="","",INDEX(_EngineTrades!$T$9:$T$508,MATCH($AG88,_EngineTrades!$AV$9:$AV$508,0)))</f>
        <v/>
      </c>
      <c r="D88" s="67" t="str">
        <f>IF($A88="","",INDEX(_EngineTrades!$C$9:$C$508,MATCH($AG88,_EngineTrades!$AV$9:$AV$508,0)))</f>
        <v/>
      </c>
      <c r="E88" s="68" t="str">
        <f>IF($A88="","",IF(IFERROR(LOOKUP(2,1/(_EngineTrades!$AU$9:$AU$508=$A88),_EngineTrades!$AR$9:$AR$508),FALSE),"Closed","Open"))</f>
        <v/>
      </c>
      <c r="F88" s="69" t="str">
        <f>IF($A88="","",INDEX(_EngineTrades!$E$9:$E$508,$AG88-8))</f>
        <v/>
      </c>
      <c r="G88" s="69" t="str">
        <f>IF(OR($A88="",$E88&lt;&gt;"Closed"),"",IFERROR(INDEX(_EngineTrades!$E$9:$E$508,SUMIFS(_EngineTrades!$AX$9:$AX$508,_EngineTrades!$AU$9:$AU$508,$A88)-8),""))</f>
        <v/>
      </c>
      <c r="H88" s="70" t="str">
        <f>IF($A88="","",ROUND(SUMIFS(_EngineTrades!$Y$9:$Y$508,_EngineTrades!$AU$9:$AU$508,$A88),4))</f>
        <v/>
      </c>
      <c r="I88" s="70" t="str">
        <f>IF($A88="","",ROUND(SUMIFS(_EngineTrades!$Z$9:$Z$508,_EngineTrades!$AU$9:$AU$508,$A88),4))</f>
        <v/>
      </c>
      <c r="J88" s="71" t="str">
        <f t="shared" si="16"/>
        <v/>
      </c>
      <c r="K88" s="70" t="str">
        <f>IF($A88="","",ROUND(SUMIFS(_EngineTrades!$AA$9:$AA$508,_EngineTrades!$AU$9:$AU$508,$A88),4))</f>
        <v/>
      </c>
      <c r="L88" s="70" t="str">
        <f>IF($A88="","",ROUND(SUMIFS(_EngineTrades!$AB$9:$AB$508,_EngineTrades!$AU$9:$AU$508,$A88),4))</f>
        <v/>
      </c>
      <c r="M88" s="70" t="str">
        <f>IF($A88="","",ROUND(SUMIFS(_EngineTrades!$AC$9:$AC$508,_EngineTrades!$AU$9:$AU$508,$A88),4))</f>
        <v/>
      </c>
      <c r="N88" s="70" t="str">
        <f>IF($A88="","",ROUND(SUMIFS(_EngineTrades!$AD$9:$AD$508,_EngineTrades!$AU$9:$AU$508,$A88),4))</f>
        <v/>
      </c>
      <c r="O88" s="71" t="str">
        <f t="shared" si="17"/>
        <v/>
      </c>
      <c r="P88" s="66">
        <f>IF(OR($A88="",$E88&lt;&gt;"Open"),0,IFERROR(LOOKUP(2,1/(_EngineTrades!$AU$9:$AU$508=$A88),_EngineTrades!$AM$9:$AM$508),0))</f>
        <v>0</v>
      </c>
      <c r="Q88" s="70" t="str">
        <f>IF(OR($A88="",$P88=0),"",ROUND(IFERROR(LOOKUP(2,1/(_EngineTrades!$AU$9:$AU$508=$A88),_EngineTrades!$AN$9:$AN$508),0)/$P88,4))</f>
        <v/>
      </c>
      <c r="R88" s="70">
        <f>IF(OR($A88="",$E88&lt;&gt;"Open"),0,IFERROR(LOOKUP(2,1/(_EngineTrades!$AU$9:$AU$508=$A88),_EngineTrades!$AO$9:$AO$508),0))</f>
        <v>0</v>
      </c>
      <c r="S88" s="70">
        <f>IF(OR($A88="",$E88&lt;&gt;"Open"),0,ROUND($R88+IFERROR(LOOKUP(2,1/(_EngineTrades!$AU$9:$AU$508=$A88),_EngineTrades!$AN$9:$AN$508),0),4))</f>
        <v>0</v>
      </c>
      <c r="T88" s="70" t="str">
        <f>IF($A88="","",ROUND(IFERROR(LOOKUP(2,1/(_EngineTrades!$AU$9:$AU$508=$A88),_EngineTrades!$AT$9:$AT$508),0),4))</f>
        <v/>
      </c>
      <c r="U88" s="70" t="str">
        <f t="shared" si="18"/>
        <v/>
      </c>
      <c r="V88" s="70" t="str">
        <f>IF(AND($A88&lt;&gt;"",$E88="Open",$P88+N(IFERROR(LOOKUP(2,1/(_EngineTrades!$AU$9:$AU$508=$A88),_EngineTrades!$AP$9:$AP$508),0))&gt;0),ROUND(($R88-$O88)/($P88+N(IFERROR(LOOKUP(2,1/(_EngineTrades!$AU$9:$AU$508=$A88),_EngineTrades!$AP$9:$AP$508),0))),4),"")</f>
        <v/>
      </c>
      <c r="W88" s="72" t="str">
        <f>IF($A88="","",MAX(1,IF($G88="",_EngineTrades!$E$3-$F88,$G88-$F88)))</f>
        <v/>
      </c>
      <c r="X88" s="73" t="str">
        <f t="shared" si="19"/>
        <v/>
      </c>
      <c r="Y88" s="73" t="str">
        <f t="shared" si="20"/>
        <v/>
      </c>
      <c r="Z88" s="44">
        <f>IF(Cycles!U88="",0,Cycles!U88)</f>
        <v>0</v>
      </c>
      <c r="AA88" s="44">
        <f>IF(Cycles!V88="",0,Cycles!V88)</f>
        <v>0</v>
      </c>
      <c r="AB88" s="44">
        <f>IF(Cycles!W88="",0,Cycles!W88)</f>
        <v>0</v>
      </c>
      <c r="AC88" s="44">
        <f>IF(Cycles!X88="",0,Cycles!X88)</f>
        <v>0</v>
      </c>
      <c r="AD88" s="70" t="str">
        <f t="shared" si="21"/>
        <v/>
      </c>
      <c r="AE88" s="70" t="str">
        <f t="shared" si="22"/>
        <v/>
      </c>
      <c r="AF88" s="70" t="str">
        <f t="shared" si="23"/>
        <v/>
      </c>
      <c r="AG88" t="str">
        <f>IFERROR(MATCH(ROWS($AG$9:AG88),_EngineTrades!$AW$9:$AW$508,0)+8,"")</f>
        <v/>
      </c>
    </row>
    <row r="89" spans="1:33" ht="15" x14ac:dyDescent="0.25">
      <c r="A89" s="61" t="str">
        <f>IF($AG89="","",IFERROR(INDEX(_EngineTrades!$AU$9:$AU$508,MATCH($AG89,_EngineTrades!$AV$9:$AV$508,0)),""))</f>
        <v/>
      </c>
      <c r="B89" s="61" t="str">
        <f>IF($A89="","",INDEX(_EngineTrades!$B$9:$B$508,MATCH($AG89,_EngineTrades!$AV$9:$AV$508,0)))</f>
        <v/>
      </c>
      <c r="C89" s="61" t="str">
        <f>IF($A89="","",INDEX(_EngineTrades!$T$9:$T$508,MATCH($AG89,_EngineTrades!$AV$9:$AV$508,0)))</f>
        <v/>
      </c>
      <c r="D89" s="47" t="str">
        <f>IF($A89="","",INDEX(_EngineTrades!$C$9:$C$508,MATCH($AG89,_EngineTrades!$AV$9:$AV$508,0)))</f>
        <v/>
      </c>
      <c r="E89" s="62" t="str">
        <f>IF($A89="","",IF(IFERROR(LOOKUP(2,1/(_EngineTrades!$AU$9:$AU$508=$A89),_EngineTrades!$AR$9:$AR$508),FALSE),"Closed","Open"))</f>
        <v/>
      </c>
      <c r="F89" s="63" t="str">
        <f>IF($A89="","",INDEX(_EngineTrades!$E$9:$E$508,$AG89-8))</f>
        <v/>
      </c>
      <c r="G89" s="63" t="str">
        <f>IF(OR($A89="",$E89&lt;&gt;"Closed"),"",IFERROR(INDEX(_EngineTrades!$E$9:$E$508,SUMIFS(_EngineTrades!$AX$9:$AX$508,_EngineTrades!$AU$9:$AU$508,$A89)-8),""))</f>
        <v/>
      </c>
      <c r="H89" s="49" t="str">
        <f>IF($A89="","",ROUND(SUMIFS(_EngineTrades!$Y$9:$Y$508,_EngineTrades!$AU$9:$AU$508,$A89),4))</f>
        <v/>
      </c>
      <c r="I89" s="49" t="str">
        <f>IF($A89="","",ROUND(SUMIFS(_EngineTrades!$Z$9:$Z$508,_EngineTrades!$AU$9:$AU$508,$A89),4))</f>
        <v/>
      </c>
      <c r="J89" s="45" t="str">
        <f t="shared" si="16"/>
        <v/>
      </c>
      <c r="K89" s="49" t="str">
        <f>IF($A89="","",ROUND(SUMIFS(_EngineTrades!$AA$9:$AA$508,_EngineTrades!$AU$9:$AU$508,$A89),4))</f>
        <v/>
      </c>
      <c r="L89" s="49" t="str">
        <f>IF($A89="","",ROUND(SUMIFS(_EngineTrades!$AB$9:$AB$508,_EngineTrades!$AU$9:$AU$508,$A89),4))</f>
        <v/>
      </c>
      <c r="M89" s="49" t="str">
        <f>IF($A89="","",ROUND(SUMIFS(_EngineTrades!$AC$9:$AC$508,_EngineTrades!$AU$9:$AU$508,$A89),4))</f>
        <v/>
      </c>
      <c r="N89" s="49" t="str">
        <f>IF($A89="","",ROUND(SUMIFS(_EngineTrades!$AD$9:$AD$508,_EngineTrades!$AU$9:$AU$508,$A89),4))</f>
        <v/>
      </c>
      <c r="O89" s="45" t="str">
        <f t="shared" si="17"/>
        <v/>
      </c>
      <c r="P89" s="61">
        <f>IF(OR($A89="",$E89&lt;&gt;"Open"),0,IFERROR(LOOKUP(2,1/(_EngineTrades!$AU$9:$AU$508=$A89),_EngineTrades!$AM$9:$AM$508),0))</f>
        <v>0</v>
      </c>
      <c r="Q89" s="49" t="str">
        <f>IF(OR($A89="",$P89=0),"",ROUND(IFERROR(LOOKUP(2,1/(_EngineTrades!$AU$9:$AU$508=$A89),_EngineTrades!$AN$9:$AN$508),0)/$P89,4))</f>
        <v/>
      </c>
      <c r="R89" s="49">
        <f>IF(OR($A89="",$E89&lt;&gt;"Open"),0,IFERROR(LOOKUP(2,1/(_EngineTrades!$AU$9:$AU$508=$A89),_EngineTrades!$AO$9:$AO$508),0))</f>
        <v>0</v>
      </c>
      <c r="S89" s="49">
        <f>IF(OR($A89="",$E89&lt;&gt;"Open"),0,ROUND($R89+IFERROR(LOOKUP(2,1/(_EngineTrades!$AU$9:$AU$508=$A89),_EngineTrades!$AN$9:$AN$508),0),4))</f>
        <v>0</v>
      </c>
      <c r="T89" s="49" t="str">
        <f>IF($A89="","",ROUND(IFERROR(LOOKUP(2,1/(_EngineTrades!$AU$9:$AU$508=$A89),_EngineTrades!$AT$9:$AT$508),0),4))</f>
        <v/>
      </c>
      <c r="U89" s="49" t="str">
        <f t="shared" si="18"/>
        <v/>
      </c>
      <c r="V89" s="49" t="str">
        <f>IF(AND($A89&lt;&gt;"",$E89="Open",$P89+N(IFERROR(LOOKUP(2,1/(_EngineTrades!$AU$9:$AU$508=$A89),_EngineTrades!$AP$9:$AP$508),0))&gt;0),ROUND(($R89-$O89)/($P89+N(IFERROR(LOOKUP(2,1/(_EngineTrades!$AU$9:$AU$508=$A89),_EngineTrades!$AP$9:$AP$508),0))),4),"")</f>
        <v/>
      </c>
      <c r="W89" s="64" t="str">
        <f>IF($A89="","",MAX(1,IF($G89="",_EngineTrades!$E$3-$F89,$G89-$F89)))</f>
        <v/>
      </c>
      <c r="X89" s="65" t="str">
        <f t="shared" si="19"/>
        <v/>
      </c>
      <c r="Y89" s="65" t="str">
        <f t="shared" si="20"/>
        <v/>
      </c>
      <c r="Z89" s="44">
        <f>IF(Cycles!U89="",0,Cycles!U89)</f>
        <v>0</v>
      </c>
      <c r="AA89" s="44">
        <f>IF(Cycles!V89="",0,Cycles!V89)</f>
        <v>0</v>
      </c>
      <c r="AB89" s="44">
        <f>IF(Cycles!W89="",0,Cycles!W89)</f>
        <v>0</v>
      </c>
      <c r="AC89" s="44">
        <f>IF(Cycles!X89="",0,Cycles!X89)</f>
        <v>0</v>
      </c>
      <c r="AD89" s="49" t="str">
        <f t="shared" si="21"/>
        <v/>
      </c>
      <c r="AE89" s="49" t="str">
        <f t="shared" si="22"/>
        <v/>
      </c>
      <c r="AF89" s="49" t="str">
        <f t="shared" si="23"/>
        <v/>
      </c>
      <c r="AG89" t="str">
        <f>IFERROR(MATCH(ROWS($AG$9:AG89),_EngineTrades!$AW$9:$AW$508,0)+8,"")</f>
        <v/>
      </c>
    </row>
    <row r="90" spans="1:33" ht="15" x14ac:dyDescent="0.25">
      <c r="A90" s="66" t="str">
        <f>IF($AG90="","",IFERROR(INDEX(_EngineTrades!$AU$9:$AU$508,MATCH($AG90,_EngineTrades!$AV$9:$AV$508,0)),""))</f>
        <v/>
      </c>
      <c r="B90" s="66" t="str">
        <f>IF($A90="","",INDEX(_EngineTrades!$B$9:$B$508,MATCH($AG90,_EngineTrades!$AV$9:$AV$508,0)))</f>
        <v/>
      </c>
      <c r="C90" s="66" t="str">
        <f>IF($A90="","",INDEX(_EngineTrades!$T$9:$T$508,MATCH($AG90,_EngineTrades!$AV$9:$AV$508,0)))</f>
        <v/>
      </c>
      <c r="D90" s="67" t="str">
        <f>IF($A90="","",INDEX(_EngineTrades!$C$9:$C$508,MATCH($AG90,_EngineTrades!$AV$9:$AV$508,0)))</f>
        <v/>
      </c>
      <c r="E90" s="68" t="str">
        <f>IF($A90="","",IF(IFERROR(LOOKUP(2,1/(_EngineTrades!$AU$9:$AU$508=$A90),_EngineTrades!$AR$9:$AR$508),FALSE),"Closed","Open"))</f>
        <v/>
      </c>
      <c r="F90" s="69" t="str">
        <f>IF($A90="","",INDEX(_EngineTrades!$E$9:$E$508,$AG90-8))</f>
        <v/>
      </c>
      <c r="G90" s="69" t="str">
        <f>IF(OR($A90="",$E90&lt;&gt;"Closed"),"",IFERROR(INDEX(_EngineTrades!$E$9:$E$508,SUMIFS(_EngineTrades!$AX$9:$AX$508,_EngineTrades!$AU$9:$AU$508,$A90)-8),""))</f>
        <v/>
      </c>
      <c r="H90" s="70" t="str">
        <f>IF($A90="","",ROUND(SUMIFS(_EngineTrades!$Y$9:$Y$508,_EngineTrades!$AU$9:$AU$508,$A90),4))</f>
        <v/>
      </c>
      <c r="I90" s="70" t="str">
        <f>IF($A90="","",ROUND(SUMIFS(_EngineTrades!$Z$9:$Z$508,_EngineTrades!$AU$9:$AU$508,$A90),4))</f>
        <v/>
      </c>
      <c r="J90" s="71" t="str">
        <f t="shared" si="16"/>
        <v/>
      </c>
      <c r="K90" s="70" t="str">
        <f>IF($A90="","",ROUND(SUMIFS(_EngineTrades!$AA$9:$AA$508,_EngineTrades!$AU$9:$AU$508,$A90),4))</f>
        <v/>
      </c>
      <c r="L90" s="70" t="str">
        <f>IF($A90="","",ROUND(SUMIFS(_EngineTrades!$AB$9:$AB$508,_EngineTrades!$AU$9:$AU$508,$A90),4))</f>
        <v/>
      </c>
      <c r="M90" s="70" t="str">
        <f>IF($A90="","",ROUND(SUMIFS(_EngineTrades!$AC$9:$AC$508,_EngineTrades!$AU$9:$AU$508,$A90),4))</f>
        <v/>
      </c>
      <c r="N90" s="70" t="str">
        <f>IF($A90="","",ROUND(SUMIFS(_EngineTrades!$AD$9:$AD$508,_EngineTrades!$AU$9:$AU$508,$A90),4))</f>
        <v/>
      </c>
      <c r="O90" s="71" t="str">
        <f t="shared" si="17"/>
        <v/>
      </c>
      <c r="P90" s="66">
        <f>IF(OR($A90="",$E90&lt;&gt;"Open"),0,IFERROR(LOOKUP(2,1/(_EngineTrades!$AU$9:$AU$508=$A90),_EngineTrades!$AM$9:$AM$508),0))</f>
        <v>0</v>
      </c>
      <c r="Q90" s="70" t="str">
        <f>IF(OR($A90="",$P90=0),"",ROUND(IFERROR(LOOKUP(2,1/(_EngineTrades!$AU$9:$AU$508=$A90),_EngineTrades!$AN$9:$AN$508),0)/$P90,4))</f>
        <v/>
      </c>
      <c r="R90" s="70">
        <f>IF(OR($A90="",$E90&lt;&gt;"Open"),0,IFERROR(LOOKUP(2,1/(_EngineTrades!$AU$9:$AU$508=$A90),_EngineTrades!$AO$9:$AO$508),0))</f>
        <v>0</v>
      </c>
      <c r="S90" s="70">
        <f>IF(OR($A90="",$E90&lt;&gt;"Open"),0,ROUND($R90+IFERROR(LOOKUP(2,1/(_EngineTrades!$AU$9:$AU$508=$A90),_EngineTrades!$AN$9:$AN$508),0),4))</f>
        <v>0</v>
      </c>
      <c r="T90" s="70" t="str">
        <f>IF($A90="","",ROUND(IFERROR(LOOKUP(2,1/(_EngineTrades!$AU$9:$AU$508=$A90),_EngineTrades!$AT$9:$AT$508),0),4))</f>
        <v/>
      </c>
      <c r="U90" s="70" t="str">
        <f t="shared" si="18"/>
        <v/>
      </c>
      <c r="V90" s="70" t="str">
        <f>IF(AND($A90&lt;&gt;"",$E90="Open",$P90+N(IFERROR(LOOKUP(2,1/(_EngineTrades!$AU$9:$AU$508=$A90),_EngineTrades!$AP$9:$AP$508),0))&gt;0),ROUND(($R90-$O90)/($P90+N(IFERROR(LOOKUP(2,1/(_EngineTrades!$AU$9:$AU$508=$A90),_EngineTrades!$AP$9:$AP$508),0))),4),"")</f>
        <v/>
      </c>
      <c r="W90" s="72" t="str">
        <f>IF($A90="","",MAX(1,IF($G90="",_EngineTrades!$E$3-$F90,$G90-$F90)))</f>
        <v/>
      </c>
      <c r="X90" s="73" t="str">
        <f t="shared" si="19"/>
        <v/>
      </c>
      <c r="Y90" s="73" t="str">
        <f t="shared" si="20"/>
        <v/>
      </c>
      <c r="Z90" s="44">
        <f>IF(Cycles!U90="",0,Cycles!U90)</f>
        <v>0</v>
      </c>
      <c r="AA90" s="44">
        <f>IF(Cycles!V90="",0,Cycles!V90)</f>
        <v>0</v>
      </c>
      <c r="AB90" s="44">
        <f>IF(Cycles!W90="",0,Cycles!W90)</f>
        <v>0</v>
      </c>
      <c r="AC90" s="44">
        <f>IF(Cycles!X90="",0,Cycles!X90)</f>
        <v>0</v>
      </c>
      <c r="AD90" s="70" t="str">
        <f t="shared" si="21"/>
        <v/>
      </c>
      <c r="AE90" s="70" t="str">
        <f t="shared" si="22"/>
        <v/>
      </c>
      <c r="AF90" s="70" t="str">
        <f t="shared" si="23"/>
        <v/>
      </c>
      <c r="AG90" t="str">
        <f>IFERROR(MATCH(ROWS($AG$9:AG90),_EngineTrades!$AW$9:$AW$508,0)+8,"")</f>
        <v/>
      </c>
    </row>
    <row r="91" spans="1:33" ht="15" x14ac:dyDescent="0.25">
      <c r="A91" s="61" t="str">
        <f>IF($AG91="","",IFERROR(INDEX(_EngineTrades!$AU$9:$AU$508,MATCH($AG91,_EngineTrades!$AV$9:$AV$508,0)),""))</f>
        <v/>
      </c>
      <c r="B91" s="61" t="str">
        <f>IF($A91="","",INDEX(_EngineTrades!$B$9:$B$508,MATCH($AG91,_EngineTrades!$AV$9:$AV$508,0)))</f>
        <v/>
      </c>
      <c r="C91" s="61" t="str">
        <f>IF($A91="","",INDEX(_EngineTrades!$T$9:$T$508,MATCH($AG91,_EngineTrades!$AV$9:$AV$508,0)))</f>
        <v/>
      </c>
      <c r="D91" s="47" t="str">
        <f>IF($A91="","",INDEX(_EngineTrades!$C$9:$C$508,MATCH($AG91,_EngineTrades!$AV$9:$AV$508,0)))</f>
        <v/>
      </c>
      <c r="E91" s="62" t="str">
        <f>IF($A91="","",IF(IFERROR(LOOKUP(2,1/(_EngineTrades!$AU$9:$AU$508=$A91),_EngineTrades!$AR$9:$AR$508),FALSE),"Closed","Open"))</f>
        <v/>
      </c>
      <c r="F91" s="63" t="str">
        <f>IF($A91="","",INDEX(_EngineTrades!$E$9:$E$508,$AG91-8))</f>
        <v/>
      </c>
      <c r="G91" s="63" t="str">
        <f>IF(OR($A91="",$E91&lt;&gt;"Closed"),"",IFERROR(INDEX(_EngineTrades!$E$9:$E$508,SUMIFS(_EngineTrades!$AX$9:$AX$508,_EngineTrades!$AU$9:$AU$508,$A91)-8),""))</f>
        <v/>
      </c>
      <c r="H91" s="49" t="str">
        <f>IF($A91="","",ROUND(SUMIFS(_EngineTrades!$Y$9:$Y$508,_EngineTrades!$AU$9:$AU$508,$A91),4))</f>
        <v/>
      </c>
      <c r="I91" s="49" t="str">
        <f>IF($A91="","",ROUND(SUMIFS(_EngineTrades!$Z$9:$Z$508,_EngineTrades!$AU$9:$AU$508,$A91),4))</f>
        <v/>
      </c>
      <c r="J91" s="45" t="str">
        <f t="shared" si="16"/>
        <v/>
      </c>
      <c r="K91" s="49" t="str">
        <f>IF($A91="","",ROUND(SUMIFS(_EngineTrades!$AA$9:$AA$508,_EngineTrades!$AU$9:$AU$508,$A91),4))</f>
        <v/>
      </c>
      <c r="L91" s="49" t="str">
        <f>IF($A91="","",ROUND(SUMIFS(_EngineTrades!$AB$9:$AB$508,_EngineTrades!$AU$9:$AU$508,$A91),4))</f>
        <v/>
      </c>
      <c r="M91" s="49" t="str">
        <f>IF($A91="","",ROUND(SUMIFS(_EngineTrades!$AC$9:$AC$508,_EngineTrades!$AU$9:$AU$508,$A91),4))</f>
        <v/>
      </c>
      <c r="N91" s="49" t="str">
        <f>IF($A91="","",ROUND(SUMIFS(_EngineTrades!$AD$9:$AD$508,_EngineTrades!$AU$9:$AU$508,$A91),4))</f>
        <v/>
      </c>
      <c r="O91" s="45" t="str">
        <f t="shared" si="17"/>
        <v/>
      </c>
      <c r="P91" s="61">
        <f>IF(OR($A91="",$E91&lt;&gt;"Open"),0,IFERROR(LOOKUP(2,1/(_EngineTrades!$AU$9:$AU$508=$A91),_EngineTrades!$AM$9:$AM$508),0))</f>
        <v>0</v>
      </c>
      <c r="Q91" s="49" t="str">
        <f>IF(OR($A91="",$P91=0),"",ROUND(IFERROR(LOOKUP(2,1/(_EngineTrades!$AU$9:$AU$508=$A91),_EngineTrades!$AN$9:$AN$508),0)/$P91,4))</f>
        <v/>
      </c>
      <c r="R91" s="49">
        <f>IF(OR($A91="",$E91&lt;&gt;"Open"),0,IFERROR(LOOKUP(2,1/(_EngineTrades!$AU$9:$AU$508=$A91),_EngineTrades!$AO$9:$AO$508),0))</f>
        <v>0</v>
      </c>
      <c r="S91" s="49">
        <f>IF(OR($A91="",$E91&lt;&gt;"Open"),0,ROUND($R91+IFERROR(LOOKUP(2,1/(_EngineTrades!$AU$9:$AU$508=$A91),_EngineTrades!$AN$9:$AN$508),0),4))</f>
        <v>0</v>
      </c>
      <c r="T91" s="49" t="str">
        <f>IF($A91="","",ROUND(IFERROR(LOOKUP(2,1/(_EngineTrades!$AU$9:$AU$508=$A91),_EngineTrades!$AT$9:$AT$508),0),4))</f>
        <v/>
      </c>
      <c r="U91" s="49" t="str">
        <f t="shared" si="18"/>
        <v/>
      </c>
      <c r="V91" s="49" t="str">
        <f>IF(AND($A91&lt;&gt;"",$E91="Open",$P91+N(IFERROR(LOOKUP(2,1/(_EngineTrades!$AU$9:$AU$508=$A91),_EngineTrades!$AP$9:$AP$508),0))&gt;0),ROUND(($R91-$O91)/($P91+N(IFERROR(LOOKUP(2,1/(_EngineTrades!$AU$9:$AU$508=$A91),_EngineTrades!$AP$9:$AP$508),0))),4),"")</f>
        <v/>
      </c>
      <c r="W91" s="64" t="str">
        <f>IF($A91="","",MAX(1,IF($G91="",_EngineTrades!$E$3-$F91,$G91-$F91)))</f>
        <v/>
      </c>
      <c r="X91" s="65" t="str">
        <f t="shared" si="19"/>
        <v/>
      </c>
      <c r="Y91" s="65" t="str">
        <f t="shared" si="20"/>
        <v/>
      </c>
      <c r="Z91" s="44">
        <f>IF(Cycles!U91="",0,Cycles!U91)</f>
        <v>0</v>
      </c>
      <c r="AA91" s="44">
        <f>IF(Cycles!V91="",0,Cycles!V91)</f>
        <v>0</v>
      </c>
      <c r="AB91" s="44">
        <f>IF(Cycles!W91="",0,Cycles!W91)</f>
        <v>0</v>
      </c>
      <c r="AC91" s="44">
        <f>IF(Cycles!X91="",0,Cycles!X91)</f>
        <v>0</v>
      </c>
      <c r="AD91" s="49" t="str">
        <f t="shared" si="21"/>
        <v/>
      </c>
      <c r="AE91" s="49" t="str">
        <f t="shared" si="22"/>
        <v/>
      </c>
      <c r="AF91" s="49" t="str">
        <f t="shared" si="23"/>
        <v/>
      </c>
      <c r="AG91" t="str">
        <f>IFERROR(MATCH(ROWS($AG$9:AG91),_EngineTrades!$AW$9:$AW$508,0)+8,"")</f>
        <v/>
      </c>
    </row>
    <row r="92" spans="1:33" ht="15" x14ac:dyDescent="0.25">
      <c r="A92" s="66" t="str">
        <f>IF($AG92="","",IFERROR(INDEX(_EngineTrades!$AU$9:$AU$508,MATCH($AG92,_EngineTrades!$AV$9:$AV$508,0)),""))</f>
        <v/>
      </c>
      <c r="B92" s="66" t="str">
        <f>IF($A92="","",INDEX(_EngineTrades!$B$9:$B$508,MATCH($AG92,_EngineTrades!$AV$9:$AV$508,0)))</f>
        <v/>
      </c>
      <c r="C92" s="66" t="str">
        <f>IF($A92="","",INDEX(_EngineTrades!$T$9:$T$508,MATCH($AG92,_EngineTrades!$AV$9:$AV$508,0)))</f>
        <v/>
      </c>
      <c r="D92" s="67" t="str">
        <f>IF($A92="","",INDEX(_EngineTrades!$C$9:$C$508,MATCH($AG92,_EngineTrades!$AV$9:$AV$508,0)))</f>
        <v/>
      </c>
      <c r="E92" s="68" t="str">
        <f>IF($A92="","",IF(IFERROR(LOOKUP(2,1/(_EngineTrades!$AU$9:$AU$508=$A92),_EngineTrades!$AR$9:$AR$508),FALSE),"Closed","Open"))</f>
        <v/>
      </c>
      <c r="F92" s="69" t="str">
        <f>IF($A92="","",INDEX(_EngineTrades!$E$9:$E$508,$AG92-8))</f>
        <v/>
      </c>
      <c r="G92" s="69" t="str">
        <f>IF(OR($A92="",$E92&lt;&gt;"Closed"),"",IFERROR(INDEX(_EngineTrades!$E$9:$E$508,SUMIFS(_EngineTrades!$AX$9:$AX$508,_EngineTrades!$AU$9:$AU$508,$A92)-8),""))</f>
        <v/>
      </c>
      <c r="H92" s="70" t="str">
        <f>IF($A92="","",ROUND(SUMIFS(_EngineTrades!$Y$9:$Y$508,_EngineTrades!$AU$9:$AU$508,$A92),4))</f>
        <v/>
      </c>
      <c r="I92" s="70" t="str">
        <f>IF($A92="","",ROUND(SUMIFS(_EngineTrades!$Z$9:$Z$508,_EngineTrades!$AU$9:$AU$508,$A92),4))</f>
        <v/>
      </c>
      <c r="J92" s="71" t="str">
        <f t="shared" si="16"/>
        <v/>
      </c>
      <c r="K92" s="70" t="str">
        <f>IF($A92="","",ROUND(SUMIFS(_EngineTrades!$AA$9:$AA$508,_EngineTrades!$AU$9:$AU$508,$A92),4))</f>
        <v/>
      </c>
      <c r="L92" s="70" t="str">
        <f>IF($A92="","",ROUND(SUMIFS(_EngineTrades!$AB$9:$AB$508,_EngineTrades!$AU$9:$AU$508,$A92),4))</f>
        <v/>
      </c>
      <c r="M92" s="70" t="str">
        <f>IF($A92="","",ROUND(SUMIFS(_EngineTrades!$AC$9:$AC$508,_EngineTrades!$AU$9:$AU$508,$A92),4))</f>
        <v/>
      </c>
      <c r="N92" s="70" t="str">
        <f>IF($A92="","",ROUND(SUMIFS(_EngineTrades!$AD$9:$AD$508,_EngineTrades!$AU$9:$AU$508,$A92),4))</f>
        <v/>
      </c>
      <c r="O92" s="71" t="str">
        <f t="shared" si="17"/>
        <v/>
      </c>
      <c r="P92" s="66">
        <f>IF(OR($A92="",$E92&lt;&gt;"Open"),0,IFERROR(LOOKUP(2,1/(_EngineTrades!$AU$9:$AU$508=$A92),_EngineTrades!$AM$9:$AM$508),0))</f>
        <v>0</v>
      </c>
      <c r="Q92" s="70" t="str">
        <f>IF(OR($A92="",$P92=0),"",ROUND(IFERROR(LOOKUP(2,1/(_EngineTrades!$AU$9:$AU$508=$A92),_EngineTrades!$AN$9:$AN$508),0)/$P92,4))</f>
        <v/>
      </c>
      <c r="R92" s="70">
        <f>IF(OR($A92="",$E92&lt;&gt;"Open"),0,IFERROR(LOOKUP(2,1/(_EngineTrades!$AU$9:$AU$508=$A92),_EngineTrades!$AO$9:$AO$508),0))</f>
        <v>0</v>
      </c>
      <c r="S92" s="70">
        <f>IF(OR($A92="",$E92&lt;&gt;"Open"),0,ROUND($R92+IFERROR(LOOKUP(2,1/(_EngineTrades!$AU$9:$AU$508=$A92),_EngineTrades!$AN$9:$AN$508),0),4))</f>
        <v>0</v>
      </c>
      <c r="T92" s="70" t="str">
        <f>IF($A92="","",ROUND(IFERROR(LOOKUP(2,1/(_EngineTrades!$AU$9:$AU$508=$A92),_EngineTrades!$AT$9:$AT$508),0),4))</f>
        <v/>
      </c>
      <c r="U92" s="70" t="str">
        <f t="shared" si="18"/>
        <v/>
      </c>
      <c r="V92" s="70" t="str">
        <f>IF(AND($A92&lt;&gt;"",$E92="Open",$P92+N(IFERROR(LOOKUP(2,1/(_EngineTrades!$AU$9:$AU$508=$A92),_EngineTrades!$AP$9:$AP$508),0))&gt;0),ROUND(($R92-$O92)/($P92+N(IFERROR(LOOKUP(2,1/(_EngineTrades!$AU$9:$AU$508=$A92),_EngineTrades!$AP$9:$AP$508),0))),4),"")</f>
        <v/>
      </c>
      <c r="W92" s="72" t="str">
        <f>IF($A92="","",MAX(1,IF($G92="",_EngineTrades!$E$3-$F92,$G92-$F92)))</f>
        <v/>
      </c>
      <c r="X92" s="73" t="str">
        <f t="shared" si="19"/>
        <v/>
      </c>
      <c r="Y92" s="73" t="str">
        <f t="shared" si="20"/>
        <v/>
      </c>
      <c r="Z92" s="44">
        <f>IF(Cycles!U92="",0,Cycles!U92)</f>
        <v>0</v>
      </c>
      <c r="AA92" s="44">
        <f>IF(Cycles!V92="",0,Cycles!V92)</f>
        <v>0</v>
      </c>
      <c r="AB92" s="44">
        <f>IF(Cycles!W92="",0,Cycles!W92)</f>
        <v>0</v>
      </c>
      <c r="AC92" s="44">
        <f>IF(Cycles!X92="",0,Cycles!X92)</f>
        <v>0</v>
      </c>
      <c r="AD92" s="70" t="str">
        <f t="shared" si="21"/>
        <v/>
      </c>
      <c r="AE92" s="70" t="str">
        <f t="shared" si="22"/>
        <v/>
      </c>
      <c r="AF92" s="70" t="str">
        <f t="shared" si="23"/>
        <v/>
      </c>
      <c r="AG92" t="str">
        <f>IFERROR(MATCH(ROWS($AG$9:AG92),_EngineTrades!$AW$9:$AW$508,0)+8,"")</f>
        <v/>
      </c>
    </row>
    <row r="93" spans="1:33" ht="15" x14ac:dyDescent="0.25">
      <c r="A93" s="61" t="str">
        <f>IF($AG93="","",IFERROR(INDEX(_EngineTrades!$AU$9:$AU$508,MATCH($AG93,_EngineTrades!$AV$9:$AV$508,0)),""))</f>
        <v/>
      </c>
      <c r="B93" s="61" t="str">
        <f>IF($A93="","",INDEX(_EngineTrades!$B$9:$B$508,MATCH($AG93,_EngineTrades!$AV$9:$AV$508,0)))</f>
        <v/>
      </c>
      <c r="C93" s="61" t="str">
        <f>IF($A93="","",INDEX(_EngineTrades!$T$9:$T$508,MATCH($AG93,_EngineTrades!$AV$9:$AV$508,0)))</f>
        <v/>
      </c>
      <c r="D93" s="47" t="str">
        <f>IF($A93="","",INDEX(_EngineTrades!$C$9:$C$508,MATCH($AG93,_EngineTrades!$AV$9:$AV$508,0)))</f>
        <v/>
      </c>
      <c r="E93" s="62" t="str">
        <f>IF($A93="","",IF(IFERROR(LOOKUP(2,1/(_EngineTrades!$AU$9:$AU$508=$A93),_EngineTrades!$AR$9:$AR$508),FALSE),"Closed","Open"))</f>
        <v/>
      </c>
      <c r="F93" s="63" t="str">
        <f>IF($A93="","",INDEX(_EngineTrades!$E$9:$E$508,$AG93-8))</f>
        <v/>
      </c>
      <c r="G93" s="63" t="str">
        <f>IF(OR($A93="",$E93&lt;&gt;"Closed"),"",IFERROR(INDEX(_EngineTrades!$E$9:$E$508,SUMIFS(_EngineTrades!$AX$9:$AX$508,_EngineTrades!$AU$9:$AU$508,$A93)-8),""))</f>
        <v/>
      </c>
      <c r="H93" s="49" t="str">
        <f>IF($A93="","",ROUND(SUMIFS(_EngineTrades!$Y$9:$Y$508,_EngineTrades!$AU$9:$AU$508,$A93),4))</f>
        <v/>
      </c>
      <c r="I93" s="49" t="str">
        <f>IF($A93="","",ROUND(SUMIFS(_EngineTrades!$Z$9:$Z$508,_EngineTrades!$AU$9:$AU$508,$A93),4))</f>
        <v/>
      </c>
      <c r="J93" s="45" t="str">
        <f t="shared" si="16"/>
        <v/>
      </c>
      <c r="K93" s="49" t="str">
        <f>IF($A93="","",ROUND(SUMIFS(_EngineTrades!$AA$9:$AA$508,_EngineTrades!$AU$9:$AU$508,$A93),4))</f>
        <v/>
      </c>
      <c r="L93" s="49" t="str">
        <f>IF($A93="","",ROUND(SUMIFS(_EngineTrades!$AB$9:$AB$508,_EngineTrades!$AU$9:$AU$508,$A93),4))</f>
        <v/>
      </c>
      <c r="M93" s="49" t="str">
        <f>IF($A93="","",ROUND(SUMIFS(_EngineTrades!$AC$9:$AC$508,_EngineTrades!$AU$9:$AU$508,$A93),4))</f>
        <v/>
      </c>
      <c r="N93" s="49" t="str">
        <f>IF($A93="","",ROUND(SUMIFS(_EngineTrades!$AD$9:$AD$508,_EngineTrades!$AU$9:$AU$508,$A93),4))</f>
        <v/>
      </c>
      <c r="O93" s="45" t="str">
        <f t="shared" si="17"/>
        <v/>
      </c>
      <c r="P93" s="61">
        <f>IF(OR($A93="",$E93&lt;&gt;"Open"),0,IFERROR(LOOKUP(2,1/(_EngineTrades!$AU$9:$AU$508=$A93),_EngineTrades!$AM$9:$AM$508),0))</f>
        <v>0</v>
      </c>
      <c r="Q93" s="49" t="str">
        <f>IF(OR($A93="",$P93=0),"",ROUND(IFERROR(LOOKUP(2,1/(_EngineTrades!$AU$9:$AU$508=$A93),_EngineTrades!$AN$9:$AN$508),0)/$P93,4))</f>
        <v/>
      </c>
      <c r="R93" s="49">
        <f>IF(OR($A93="",$E93&lt;&gt;"Open"),0,IFERROR(LOOKUP(2,1/(_EngineTrades!$AU$9:$AU$508=$A93),_EngineTrades!$AO$9:$AO$508),0))</f>
        <v>0</v>
      </c>
      <c r="S93" s="49">
        <f>IF(OR($A93="",$E93&lt;&gt;"Open"),0,ROUND($R93+IFERROR(LOOKUP(2,1/(_EngineTrades!$AU$9:$AU$508=$A93),_EngineTrades!$AN$9:$AN$508),0),4))</f>
        <v>0</v>
      </c>
      <c r="T93" s="49" t="str">
        <f>IF($A93="","",ROUND(IFERROR(LOOKUP(2,1/(_EngineTrades!$AU$9:$AU$508=$A93),_EngineTrades!$AT$9:$AT$508),0),4))</f>
        <v/>
      </c>
      <c r="U93" s="49" t="str">
        <f t="shared" si="18"/>
        <v/>
      </c>
      <c r="V93" s="49" t="str">
        <f>IF(AND($A93&lt;&gt;"",$E93="Open",$P93+N(IFERROR(LOOKUP(2,1/(_EngineTrades!$AU$9:$AU$508=$A93),_EngineTrades!$AP$9:$AP$508),0))&gt;0),ROUND(($R93-$O93)/($P93+N(IFERROR(LOOKUP(2,1/(_EngineTrades!$AU$9:$AU$508=$A93),_EngineTrades!$AP$9:$AP$508),0))),4),"")</f>
        <v/>
      </c>
      <c r="W93" s="64" t="str">
        <f>IF($A93="","",MAX(1,IF($G93="",_EngineTrades!$E$3-$F93,$G93-$F93)))</f>
        <v/>
      </c>
      <c r="X93" s="65" t="str">
        <f t="shared" si="19"/>
        <v/>
      </c>
      <c r="Y93" s="65" t="str">
        <f t="shared" si="20"/>
        <v/>
      </c>
      <c r="Z93" s="44">
        <f>IF(Cycles!U93="",0,Cycles!U93)</f>
        <v>0</v>
      </c>
      <c r="AA93" s="44">
        <f>IF(Cycles!V93="",0,Cycles!V93)</f>
        <v>0</v>
      </c>
      <c r="AB93" s="44">
        <f>IF(Cycles!W93="",0,Cycles!W93)</f>
        <v>0</v>
      </c>
      <c r="AC93" s="44">
        <f>IF(Cycles!X93="",0,Cycles!X93)</f>
        <v>0</v>
      </c>
      <c r="AD93" s="49" t="str">
        <f t="shared" si="21"/>
        <v/>
      </c>
      <c r="AE93" s="49" t="str">
        <f t="shared" si="22"/>
        <v/>
      </c>
      <c r="AF93" s="49" t="str">
        <f t="shared" si="23"/>
        <v/>
      </c>
      <c r="AG93" t="str">
        <f>IFERROR(MATCH(ROWS($AG$9:AG93),_EngineTrades!$AW$9:$AW$508,0)+8,"")</f>
        <v/>
      </c>
    </row>
    <row r="94" spans="1:33" ht="15" x14ac:dyDescent="0.25">
      <c r="A94" s="66" t="str">
        <f>IF($AG94="","",IFERROR(INDEX(_EngineTrades!$AU$9:$AU$508,MATCH($AG94,_EngineTrades!$AV$9:$AV$508,0)),""))</f>
        <v/>
      </c>
      <c r="B94" s="66" t="str">
        <f>IF($A94="","",INDEX(_EngineTrades!$B$9:$B$508,MATCH($AG94,_EngineTrades!$AV$9:$AV$508,0)))</f>
        <v/>
      </c>
      <c r="C94" s="66" t="str">
        <f>IF($A94="","",INDEX(_EngineTrades!$T$9:$T$508,MATCH($AG94,_EngineTrades!$AV$9:$AV$508,0)))</f>
        <v/>
      </c>
      <c r="D94" s="67" t="str">
        <f>IF($A94="","",INDEX(_EngineTrades!$C$9:$C$508,MATCH($AG94,_EngineTrades!$AV$9:$AV$508,0)))</f>
        <v/>
      </c>
      <c r="E94" s="68" t="str">
        <f>IF($A94="","",IF(IFERROR(LOOKUP(2,1/(_EngineTrades!$AU$9:$AU$508=$A94),_EngineTrades!$AR$9:$AR$508),FALSE),"Closed","Open"))</f>
        <v/>
      </c>
      <c r="F94" s="69" t="str">
        <f>IF($A94="","",INDEX(_EngineTrades!$E$9:$E$508,$AG94-8))</f>
        <v/>
      </c>
      <c r="G94" s="69" t="str">
        <f>IF(OR($A94="",$E94&lt;&gt;"Closed"),"",IFERROR(INDEX(_EngineTrades!$E$9:$E$508,SUMIFS(_EngineTrades!$AX$9:$AX$508,_EngineTrades!$AU$9:$AU$508,$A94)-8),""))</f>
        <v/>
      </c>
      <c r="H94" s="70" t="str">
        <f>IF($A94="","",ROUND(SUMIFS(_EngineTrades!$Y$9:$Y$508,_EngineTrades!$AU$9:$AU$508,$A94),4))</f>
        <v/>
      </c>
      <c r="I94" s="70" t="str">
        <f>IF($A94="","",ROUND(SUMIFS(_EngineTrades!$Z$9:$Z$508,_EngineTrades!$AU$9:$AU$508,$A94),4))</f>
        <v/>
      </c>
      <c r="J94" s="71" t="str">
        <f t="shared" si="16"/>
        <v/>
      </c>
      <c r="K94" s="70" t="str">
        <f>IF($A94="","",ROUND(SUMIFS(_EngineTrades!$AA$9:$AA$508,_EngineTrades!$AU$9:$AU$508,$A94),4))</f>
        <v/>
      </c>
      <c r="L94" s="70" t="str">
        <f>IF($A94="","",ROUND(SUMIFS(_EngineTrades!$AB$9:$AB$508,_EngineTrades!$AU$9:$AU$508,$A94),4))</f>
        <v/>
      </c>
      <c r="M94" s="70" t="str">
        <f>IF($A94="","",ROUND(SUMIFS(_EngineTrades!$AC$9:$AC$508,_EngineTrades!$AU$9:$AU$508,$A94),4))</f>
        <v/>
      </c>
      <c r="N94" s="70" t="str">
        <f>IF($A94="","",ROUND(SUMIFS(_EngineTrades!$AD$9:$AD$508,_EngineTrades!$AU$9:$AU$508,$A94),4))</f>
        <v/>
      </c>
      <c r="O94" s="71" t="str">
        <f t="shared" si="17"/>
        <v/>
      </c>
      <c r="P94" s="66">
        <f>IF(OR($A94="",$E94&lt;&gt;"Open"),0,IFERROR(LOOKUP(2,1/(_EngineTrades!$AU$9:$AU$508=$A94),_EngineTrades!$AM$9:$AM$508),0))</f>
        <v>0</v>
      </c>
      <c r="Q94" s="70" t="str">
        <f>IF(OR($A94="",$P94=0),"",ROUND(IFERROR(LOOKUP(2,1/(_EngineTrades!$AU$9:$AU$508=$A94),_EngineTrades!$AN$9:$AN$508),0)/$P94,4))</f>
        <v/>
      </c>
      <c r="R94" s="70">
        <f>IF(OR($A94="",$E94&lt;&gt;"Open"),0,IFERROR(LOOKUP(2,1/(_EngineTrades!$AU$9:$AU$508=$A94),_EngineTrades!$AO$9:$AO$508),0))</f>
        <v>0</v>
      </c>
      <c r="S94" s="70">
        <f>IF(OR($A94="",$E94&lt;&gt;"Open"),0,ROUND($R94+IFERROR(LOOKUP(2,1/(_EngineTrades!$AU$9:$AU$508=$A94),_EngineTrades!$AN$9:$AN$508),0),4))</f>
        <v>0</v>
      </c>
      <c r="T94" s="70" t="str">
        <f>IF($A94="","",ROUND(IFERROR(LOOKUP(2,1/(_EngineTrades!$AU$9:$AU$508=$A94),_EngineTrades!$AT$9:$AT$508),0),4))</f>
        <v/>
      </c>
      <c r="U94" s="70" t="str">
        <f t="shared" si="18"/>
        <v/>
      </c>
      <c r="V94" s="70" t="str">
        <f>IF(AND($A94&lt;&gt;"",$E94="Open",$P94+N(IFERROR(LOOKUP(2,1/(_EngineTrades!$AU$9:$AU$508=$A94),_EngineTrades!$AP$9:$AP$508),0))&gt;0),ROUND(($R94-$O94)/($P94+N(IFERROR(LOOKUP(2,1/(_EngineTrades!$AU$9:$AU$508=$A94),_EngineTrades!$AP$9:$AP$508),0))),4),"")</f>
        <v/>
      </c>
      <c r="W94" s="72" t="str">
        <f>IF($A94="","",MAX(1,IF($G94="",_EngineTrades!$E$3-$F94,$G94-$F94)))</f>
        <v/>
      </c>
      <c r="X94" s="73" t="str">
        <f t="shared" si="19"/>
        <v/>
      </c>
      <c r="Y94" s="73" t="str">
        <f t="shared" si="20"/>
        <v/>
      </c>
      <c r="Z94" s="44">
        <f>IF(Cycles!U94="",0,Cycles!U94)</f>
        <v>0</v>
      </c>
      <c r="AA94" s="44">
        <f>IF(Cycles!V94="",0,Cycles!V94)</f>
        <v>0</v>
      </c>
      <c r="AB94" s="44">
        <f>IF(Cycles!W94="",0,Cycles!W94)</f>
        <v>0</v>
      </c>
      <c r="AC94" s="44">
        <f>IF(Cycles!X94="",0,Cycles!X94)</f>
        <v>0</v>
      </c>
      <c r="AD94" s="70" t="str">
        <f t="shared" si="21"/>
        <v/>
      </c>
      <c r="AE94" s="70" t="str">
        <f t="shared" si="22"/>
        <v/>
      </c>
      <c r="AF94" s="70" t="str">
        <f t="shared" si="23"/>
        <v/>
      </c>
      <c r="AG94" t="str">
        <f>IFERROR(MATCH(ROWS($AG$9:AG94),_EngineTrades!$AW$9:$AW$508,0)+8,"")</f>
        <v/>
      </c>
    </row>
    <row r="95" spans="1:33" ht="15" x14ac:dyDescent="0.25">
      <c r="A95" s="61" t="str">
        <f>IF($AG95="","",IFERROR(INDEX(_EngineTrades!$AU$9:$AU$508,MATCH($AG95,_EngineTrades!$AV$9:$AV$508,0)),""))</f>
        <v/>
      </c>
      <c r="B95" s="61" t="str">
        <f>IF($A95="","",INDEX(_EngineTrades!$B$9:$B$508,MATCH($AG95,_EngineTrades!$AV$9:$AV$508,0)))</f>
        <v/>
      </c>
      <c r="C95" s="61" t="str">
        <f>IF($A95="","",INDEX(_EngineTrades!$T$9:$T$508,MATCH($AG95,_EngineTrades!$AV$9:$AV$508,0)))</f>
        <v/>
      </c>
      <c r="D95" s="47" t="str">
        <f>IF($A95="","",INDEX(_EngineTrades!$C$9:$C$508,MATCH($AG95,_EngineTrades!$AV$9:$AV$508,0)))</f>
        <v/>
      </c>
      <c r="E95" s="62" t="str">
        <f>IF($A95="","",IF(IFERROR(LOOKUP(2,1/(_EngineTrades!$AU$9:$AU$508=$A95),_EngineTrades!$AR$9:$AR$508),FALSE),"Closed","Open"))</f>
        <v/>
      </c>
      <c r="F95" s="63" t="str">
        <f>IF($A95="","",INDEX(_EngineTrades!$E$9:$E$508,$AG95-8))</f>
        <v/>
      </c>
      <c r="G95" s="63" t="str">
        <f>IF(OR($A95="",$E95&lt;&gt;"Closed"),"",IFERROR(INDEX(_EngineTrades!$E$9:$E$508,SUMIFS(_EngineTrades!$AX$9:$AX$508,_EngineTrades!$AU$9:$AU$508,$A95)-8),""))</f>
        <v/>
      </c>
      <c r="H95" s="49" t="str">
        <f>IF($A95="","",ROUND(SUMIFS(_EngineTrades!$Y$9:$Y$508,_EngineTrades!$AU$9:$AU$508,$A95),4))</f>
        <v/>
      </c>
      <c r="I95" s="49" t="str">
        <f>IF($A95="","",ROUND(SUMIFS(_EngineTrades!$Z$9:$Z$508,_EngineTrades!$AU$9:$AU$508,$A95),4))</f>
        <v/>
      </c>
      <c r="J95" s="45" t="str">
        <f t="shared" si="16"/>
        <v/>
      </c>
      <c r="K95" s="49" t="str">
        <f>IF($A95="","",ROUND(SUMIFS(_EngineTrades!$AA$9:$AA$508,_EngineTrades!$AU$9:$AU$508,$A95),4))</f>
        <v/>
      </c>
      <c r="L95" s="49" t="str">
        <f>IF($A95="","",ROUND(SUMIFS(_EngineTrades!$AB$9:$AB$508,_EngineTrades!$AU$9:$AU$508,$A95),4))</f>
        <v/>
      </c>
      <c r="M95" s="49" t="str">
        <f>IF($A95="","",ROUND(SUMIFS(_EngineTrades!$AC$9:$AC$508,_EngineTrades!$AU$9:$AU$508,$A95),4))</f>
        <v/>
      </c>
      <c r="N95" s="49" t="str">
        <f>IF($A95="","",ROUND(SUMIFS(_EngineTrades!$AD$9:$AD$508,_EngineTrades!$AU$9:$AU$508,$A95),4))</f>
        <v/>
      </c>
      <c r="O95" s="45" t="str">
        <f t="shared" si="17"/>
        <v/>
      </c>
      <c r="P95" s="61">
        <f>IF(OR($A95="",$E95&lt;&gt;"Open"),0,IFERROR(LOOKUP(2,1/(_EngineTrades!$AU$9:$AU$508=$A95),_EngineTrades!$AM$9:$AM$508),0))</f>
        <v>0</v>
      </c>
      <c r="Q95" s="49" t="str">
        <f>IF(OR($A95="",$P95=0),"",ROUND(IFERROR(LOOKUP(2,1/(_EngineTrades!$AU$9:$AU$508=$A95),_EngineTrades!$AN$9:$AN$508),0)/$P95,4))</f>
        <v/>
      </c>
      <c r="R95" s="49">
        <f>IF(OR($A95="",$E95&lt;&gt;"Open"),0,IFERROR(LOOKUP(2,1/(_EngineTrades!$AU$9:$AU$508=$A95),_EngineTrades!$AO$9:$AO$508),0))</f>
        <v>0</v>
      </c>
      <c r="S95" s="49">
        <f>IF(OR($A95="",$E95&lt;&gt;"Open"),0,ROUND($R95+IFERROR(LOOKUP(2,1/(_EngineTrades!$AU$9:$AU$508=$A95),_EngineTrades!$AN$9:$AN$508),0),4))</f>
        <v>0</v>
      </c>
      <c r="T95" s="49" t="str">
        <f>IF($A95="","",ROUND(IFERROR(LOOKUP(2,1/(_EngineTrades!$AU$9:$AU$508=$A95),_EngineTrades!$AT$9:$AT$508),0),4))</f>
        <v/>
      </c>
      <c r="U95" s="49" t="str">
        <f t="shared" si="18"/>
        <v/>
      </c>
      <c r="V95" s="49" t="str">
        <f>IF(AND($A95&lt;&gt;"",$E95="Open",$P95+N(IFERROR(LOOKUP(2,1/(_EngineTrades!$AU$9:$AU$508=$A95),_EngineTrades!$AP$9:$AP$508),0))&gt;0),ROUND(($R95-$O95)/($P95+N(IFERROR(LOOKUP(2,1/(_EngineTrades!$AU$9:$AU$508=$A95),_EngineTrades!$AP$9:$AP$508),0))),4),"")</f>
        <v/>
      </c>
      <c r="W95" s="64" t="str">
        <f>IF($A95="","",MAX(1,IF($G95="",_EngineTrades!$E$3-$F95,$G95-$F95)))</f>
        <v/>
      </c>
      <c r="X95" s="65" t="str">
        <f t="shared" si="19"/>
        <v/>
      </c>
      <c r="Y95" s="65" t="str">
        <f t="shared" si="20"/>
        <v/>
      </c>
      <c r="Z95" s="44">
        <f>IF(Cycles!U95="",0,Cycles!U95)</f>
        <v>0</v>
      </c>
      <c r="AA95" s="44">
        <f>IF(Cycles!V95="",0,Cycles!V95)</f>
        <v>0</v>
      </c>
      <c r="AB95" s="44">
        <f>IF(Cycles!W95="",0,Cycles!W95)</f>
        <v>0</v>
      </c>
      <c r="AC95" s="44">
        <f>IF(Cycles!X95="",0,Cycles!X95)</f>
        <v>0</v>
      </c>
      <c r="AD95" s="49" t="str">
        <f t="shared" si="21"/>
        <v/>
      </c>
      <c r="AE95" s="49" t="str">
        <f t="shared" si="22"/>
        <v/>
      </c>
      <c r="AF95" s="49" t="str">
        <f t="shared" si="23"/>
        <v/>
      </c>
      <c r="AG95" t="str">
        <f>IFERROR(MATCH(ROWS($AG$9:AG95),_EngineTrades!$AW$9:$AW$508,0)+8,"")</f>
        <v/>
      </c>
    </row>
    <row r="96" spans="1:33" ht="15" x14ac:dyDescent="0.25">
      <c r="A96" s="66" t="str">
        <f>IF($AG96="","",IFERROR(INDEX(_EngineTrades!$AU$9:$AU$508,MATCH($AG96,_EngineTrades!$AV$9:$AV$508,0)),""))</f>
        <v/>
      </c>
      <c r="B96" s="66" t="str">
        <f>IF($A96="","",INDEX(_EngineTrades!$B$9:$B$508,MATCH($AG96,_EngineTrades!$AV$9:$AV$508,0)))</f>
        <v/>
      </c>
      <c r="C96" s="66" t="str">
        <f>IF($A96="","",INDEX(_EngineTrades!$T$9:$T$508,MATCH($AG96,_EngineTrades!$AV$9:$AV$508,0)))</f>
        <v/>
      </c>
      <c r="D96" s="67" t="str">
        <f>IF($A96="","",INDEX(_EngineTrades!$C$9:$C$508,MATCH($AG96,_EngineTrades!$AV$9:$AV$508,0)))</f>
        <v/>
      </c>
      <c r="E96" s="68" t="str">
        <f>IF($A96="","",IF(IFERROR(LOOKUP(2,1/(_EngineTrades!$AU$9:$AU$508=$A96),_EngineTrades!$AR$9:$AR$508),FALSE),"Closed","Open"))</f>
        <v/>
      </c>
      <c r="F96" s="69" t="str">
        <f>IF($A96="","",INDEX(_EngineTrades!$E$9:$E$508,$AG96-8))</f>
        <v/>
      </c>
      <c r="G96" s="69" t="str">
        <f>IF(OR($A96="",$E96&lt;&gt;"Closed"),"",IFERROR(INDEX(_EngineTrades!$E$9:$E$508,SUMIFS(_EngineTrades!$AX$9:$AX$508,_EngineTrades!$AU$9:$AU$508,$A96)-8),""))</f>
        <v/>
      </c>
      <c r="H96" s="70" t="str">
        <f>IF($A96="","",ROUND(SUMIFS(_EngineTrades!$Y$9:$Y$508,_EngineTrades!$AU$9:$AU$508,$A96),4))</f>
        <v/>
      </c>
      <c r="I96" s="70" t="str">
        <f>IF($A96="","",ROUND(SUMIFS(_EngineTrades!$Z$9:$Z$508,_EngineTrades!$AU$9:$AU$508,$A96),4))</f>
        <v/>
      </c>
      <c r="J96" s="71" t="str">
        <f t="shared" si="16"/>
        <v/>
      </c>
      <c r="K96" s="70" t="str">
        <f>IF($A96="","",ROUND(SUMIFS(_EngineTrades!$AA$9:$AA$508,_EngineTrades!$AU$9:$AU$508,$A96),4))</f>
        <v/>
      </c>
      <c r="L96" s="70" t="str">
        <f>IF($A96="","",ROUND(SUMIFS(_EngineTrades!$AB$9:$AB$508,_EngineTrades!$AU$9:$AU$508,$A96),4))</f>
        <v/>
      </c>
      <c r="M96" s="70" t="str">
        <f>IF($A96="","",ROUND(SUMIFS(_EngineTrades!$AC$9:$AC$508,_EngineTrades!$AU$9:$AU$508,$A96),4))</f>
        <v/>
      </c>
      <c r="N96" s="70" t="str">
        <f>IF($A96="","",ROUND(SUMIFS(_EngineTrades!$AD$9:$AD$508,_EngineTrades!$AU$9:$AU$508,$A96),4))</f>
        <v/>
      </c>
      <c r="O96" s="71" t="str">
        <f t="shared" si="17"/>
        <v/>
      </c>
      <c r="P96" s="66">
        <f>IF(OR($A96="",$E96&lt;&gt;"Open"),0,IFERROR(LOOKUP(2,1/(_EngineTrades!$AU$9:$AU$508=$A96),_EngineTrades!$AM$9:$AM$508),0))</f>
        <v>0</v>
      </c>
      <c r="Q96" s="70" t="str">
        <f>IF(OR($A96="",$P96=0),"",ROUND(IFERROR(LOOKUP(2,1/(_EngineTrades!$AU$9:$AU$508=$A96),_EngineTrades!$AN$9:$AN$508),0)/$P96,4))</f>
        <v/>
      </c>
      <c r="R96" s="70">
        <f>IF(OR($A96="",$E96&lt;&gt;"Open"),0,IFERROR(LOOKUP(2,1/(_EngineTrades!$AU$9:$AU$508=$A96),_EngineTrades!$AO$9:$AO$508),0))</f>
        <v>0</v>
      </c>
      <c r="S96" s="70">
        <f>IF(OR($A96="",$E96&lt;&gt;"Open"),0,ROUND($R96+IFERROR(LOOKUP(2,1/(_EngineTrades!$AU$9:$AU$508=$A96),_EngineTrades!$AN$9:$AN$508),0),4))</f>
        <v>0</v>
      </c>
      <c r="T96" s="70" t="str">
        <f>IF($A96="","",ROUND(IFERROR(LOOKUP(2,1/(_EngineTrades!$AU$9:$AU$508=$A96),_EngineTrades!$AT$9:$AT$508),0),4))</f>
        <v/>
      </c>
      <c r="U96" s="70" t="str">
        <f t="shared" si="18"/>
        <v/>
      </c>
      <c r="V96" s="70" t="str">
        <f>IF(AND($A96&lt;&gt;"",$E96="Open",$P96+N(IFERROR(LOOKUP(2,1/(_EngineTrades!$AU$9:$AU$508=$A96),_EngineTrades!$AP$9:$AP$508),0))&gt;0),ROUND(($R96-$O96)/($P96+N(IFERROR(LOOKUP(2,1/(_EngineTrades!$AU$9:$AU$508=$A96),_EngineTrades!$AP$9:$AP$508),0))),4),"")</f>
        <v/>
      </c>
      <c r="W96" s="72" t="str">
        <f>IF($A96="","",MAX(1,IF($G96="",_EngineTrades!$E$3-$F96,$G96-$F96)))</f>
        <v/>
      </c>
      <c r="X96" s="73" t="str">
        <f t="shared" si="19"/>
        <v/>
      </c>
      <c r="Y96" s="73" t="str">
        <f t="shared" si="20"/>
        <v/>
      </c>
      <c r="Z96" s="44">
        <f>IF(Cycles!U96="",0,Cycles!U96)</f>
        <v>0</v>
      </c>
      <c r="AA96" s="44">
        <f>IF(Cycles!V96="",0,Cycles!V96)</f>
        <v>0</v>
      </c>
      <c r="AB96" s="44">
        <f>IF(Cycles!W96="",0,Cycles!W96)</f>
        <v>0</v>
      </c>
      <c r="AC96" s="44">
        <f>IF(Cycles!X96="",0,Cycles!X96)</f>
        <v>0</v>
      </c>
      <c r="AD96" s="70" t="str">
        <f t="shared" si="21"/>
        <v/>
      </c>
      <c r="AE96" s="70" t="str">
        <f t="shared" si="22"/>
        <v/>
      </c>
      <c r="AF96" s="70" t="str">
        <f t="shared" si="23"/>
        <v/>
      </c>
      <c r="AG96" t="str">
        <f>IFERROR(MATCH(ROWS($AG$9:AG96),_EngineTrades!$AW$9:$AW$508,0)+8,"")</f>
        <v/>
      </c>
    </row>
    <row r="97" spans="1:33" ht="15" x14ac:dyDescent="0.25">
      <c r="A97" s="61" t="str">
        <f>IF($AG97="","",IFERROR(INDEX(_EngineTrades!$AU$9:$AU$508,MATCH($AG97,_EngineTrades!$AV$9:$AV$508,0)),""))</f>
        <v/>
      </c>
      <c r="B97" s="61" t="str">
        <f>IF($A97="","",INDEX(_EngineTrades!$B$9:$B$508,MATCH($AG97,_EngineTrades!$AV$9:$AV$508,0)))</f>
        <v/>
      </c>
      <c r="C97" s="61" t="str">
        <f>IF($A97="","",INDEX(_EngineTrades!$T$9:$T$508,MATCH($AG97,_EngineTrades!$AV$9:$AV$508,0)))</f>
        <v/>
      </c>
      <c r="D97" s="47" t="str">
        <f>IF($A97="","",INDEX(_EngineTrades!$C$9:$C$508,MATCH($AG97,_EngineTrades!$AV$9:$AV$508,0)))</f>
        <v/>
      </c>
      <c r="E97" s="62" t="str">
        <f>IF($A97="","",IF(IFERROR(LOOKUP(2,1/(_EngineTrades!$AU$9:$AU$508=$A97),_EngineTrades!$AR$9:$AR$508),FALSE),"Closed","Open"))</f>
        <v/>
      </c>
      <c r="F97" s="63" t="str">
        <f>IF($A97="","",INDEX(_EngineTrades!$E$9:$E$508,$AG97-8))</f>
        <v/>
      </c>
      <c r="G97" s="63" t="str">
        <f>IF(OR($A97="",$E97&lt;&gt;"Closed"),"",IFERROR(INDEX(_EngineTrades!$E$9:$E$508,SUMIFS(_EngineTrades!$AX$9:$AX$508,_EngineTrades!$AU$9:$AU$508,$A97)-8),""))</f>
        <v/>
      </c>
      <c r="H97" s="49" t="str">
        <f>IF($A97="","",ROUND(SUMIFS(_EngineTrades!$Y$9:$Y$508,_EngineTrades!$AU$9:$AU$508,$A97),4))</f>
        <v/>
      </c>
      <c r="I97" s="49" t="str">
        <f>IF($A97="","",ROUND(SUMIFS(_EngineTrades!$Z$9:$Z$508,_EngineTrades!$AU$9:$AU$508,$A97),4))</f>
        <v/>
      </c>
      <c r="J97" s="45" t="str">
        <f t="shared" si="16"/>
        <v/>
      </c>
      <c r="K97" s="49" t="str">
        <f>IF($A97="","",ROUND(SUMIFS(_EngineTrades!$AA$9:$AA$508,_EngineTrades!$AU$9:$AU$508,$A97),4))</f>
        <v/>
      </c>
      <c r="L97" s="49" t="str">
        <f>IF($A97="","",ROUND(SUMIFS(_EngineTrades!$AB$9:$AB$508,_EngineTrades!$AU$9:$AU$508,$A97),4))</f>
        <v/>
      </c>
      <c r="M97" s="49" t="str">
        <f>IF($A97="","",ROUND(SUMIFS(_EngineTrades!$AC$9:$AC$508,_EngineTrades!$AU$9:$AU$508,$A97),4))</f>
        <v/>
      </c>
      <c r="N97" s="49" t="str">
        <f>IF($A97="","",ROUND(SUMIFS(_EngineTrades!$AD$9:$AD$508,_EngineTrades!$AU$9:$AU$508,$A97),4))</f>
        <v/>
      </c>
      <c r="O97" s="45" t="str">
        <f t="shared" si="17"/>
        <v/>
      </c>
      <c r="P97" s="61">
        <f>IF(OR($A97="",$E97&lt;&gt;"Open"),0,IFERROR(LOOKUP(2,1/(_EngineTrades!$AU$9:$AU$508=$A97),_EngineTrades!$AM$9:$AM$508),0))</f>
        <v>0</v>
      </c>
      <c r="Q97" s="49" t="str">
        <f>IF(OR($A97="",$P97=0),"",ROUND(IFERROR(LOOKUP(2,1/(_EngineTrades!$AU$9:$AU$508=$A97),_EngineTrades!$AN$9:$AN$508),0)/$P97,4))</f>
        <v/>
      </c>
      <c r="R97" s="49">
        <f>IF(OR($A97="",$E97&lt;&gt;"Open"),0,IFERROR(LOOKUP(2,1/(_EngineTrades!$AU$9:$AU$508=$A97),_EngineTrades!$AO$9:$AO$508),0))</f>
        <v>0</v>
      </c>
      <c r="S97" s="49">
        <f>IF(OR($A97="",$E97&lt;&gt;"Open"),0,ROUND($R97+IFERROR(LOOKUP(2,1/(_EngineTrades!$AU$9:$AU$508=$A97),_EngineTrades!$AN$9:$AN$508),0),4))</f>
        <v>0</v>
      </c>
      <c r="T97" s="49" t="str">
        <f>IF($A97="","",ROUND(IFERROR(LOOKUP(2,1/(_EngineTrades!$AU$9:$AU$508=$A97),_EngineTrades!$AT$9:$AT$508),0),4))</f>
        <v/>
      </c>
      <c r="U97" s="49" t="str">
        <f t="shared" si="18"/>
        <v/>
      </c>
      <c r="V97" s="49" t="str">
        <f>IF(AND($A97&lt;&gt;"",$E97="Open",$P97+N(IFERROR(LOOKUP(2,1/(_EngineTrades!$AU$9:$AU$508=$A97),_EngineTrades!$AP$9:$AP$508),0))&gt;0),ROUND(($R97-$O97)/($P97+N(IFERROR(LOOKUP(2,1/(_EngineTrades!$AU$9:$AU$508=$A97),_EngineTrades!$AP$9:$AP$508),0))),4),"")</f>
        <v/>
      </c>
      <c r="W97" s="64" t="str">
        <f>IF($A97="","",MAX(1,IF($G97="",_EngineTrades!$E$3-$F97,$G97-$F97)))</f>
        <v/>
      </c>
      <c r="X97" s="65" t="str">
        <f t="shared" si="19"/>
        <v/>
      </c>
      <c r="Y97" s="65" t="str">
        <f t="shared" si="20"/>
        <v/>
      </c>
      <c r="Z97" s="44">
        <f>IF(Cycles!U97="",0,Cycles!U97)</f>
        <v>0</v>
      </c>
      <c r="AA97" s="44">
        <f>IF(Cycles!V97="",0,Cycles!V97)</f>
        <v>0</v>
      </c>
      <c r="AB97" s="44">
        <f>IF(Cycles!W97="",0,Cycles!W97)</f>
        <v>0</v>
      </c>
      <c r="AC97" s="44">
        <f>IF(Cycles!X97="",0,Cycles!X97)</f>
        <v>0</v>
      </c>
      <c r="AD97" s="49" t="str">
        <f t="shared" si="21"/>
        <v/>
      </c>
      <c r="AE97" s="49" t="str">
        <f t="shared" si="22"/>
        <v/>
      </c>
      <c r="AF97" s="49" t="str">
        <f t="shared" si="23"/>
        <v/>
      </c>
      <c r="AG97" t="str">
        <f>IFERROR(MATCH(ROWS($AG$9:AG97),_EngineTrades!$AW$9:$AW$508,0)+8,"")</f>
        <v/>
      </c>
    </row>
    <row r="98" spans="1:33" ht="15" x14ac:dyDescent="0.25">
      <c r="A98" s="66" t="str">
        <f>IF($AG98="","",IFERROR(INDEX(_EngineTrades!$AU$9:$AU$508,MATCH($AG98,_EngineTrades!$AV$9:$AV$508,0)),""))</f>
        <v/>
      </c>
      <c r="B98" s="66" t="str">
        <f>IF($A98="","",INDEX(_EngineTrades!$B$9:$B$508,MATCH($AG98,_EngineTrades!$AV$9:$AV$508,0)))</f>
        <v/>
      </c>
      <c r="C98" s="66" t="str">
        <f>IF($A98="","",INDEX(_EngineTrades!$T$9:$T$508,MATCH($AG98,_EngineTrades!$AV$9:$AV$508,0)))</f>
        <v/>
      </c>
      <c r="D98" s="67" t="str">
        <f>IF($A98="","",INDEX(_EngineTrades!$C$9:$C$508,MATCH($AG98,_EngineTrades!$AV$9:$AV$508,0)))</f>
        <v/>
      </c>
      <c r="E98" s="68" t="str">
        <f>IF($A98="","",IF(IFERROR(LOOKUP(2,1/(_EngineTrades!$AU$9:$AU$508=$A98),_EngineTrades!$AR$9:$AR$508),FALSE),"Closed","Open"))</f>
        <v/>
      </c>
      <c r="F98" s="69" t="str">
        <f>IF($A98="","",INDEX(_EngineTrades!$E$9:$E$508,$AG98-8))</f>
        <v/>
      </c>
      <c r="G98" s="69" t="str">
        <f>IF(OR($A98="",$E98&lt;&gt;"Closed"),"",IFERROR(INDEX(_EngineTrades!$E$9:$E$508,SUMIFS(_EngineTrades!$AX$9:$AX$508,_EngineTrades!$AU$9:$AU$508,$A98)-8),""))</f>
        <v/>
      </c>
      <c r="H98" s="70" t="str">
        <f>IF($A98="","",ROUND(SUMIFS(_EngineTrades!$Y$9:$Y$508,_EngineTrades!$AU$9:$AU$508,$A98),4))</f>
        <v/>
      </c>
      <c r="I98" s="70" t="str">
        <f>IF($A98="","",ROUND(SUMIFS(_EngineTrades!$Z$9:$Z$508,_EngineTrades!$AU$9:$AU$508,$A98),4))</f>
        <v/>
      </c>
      <c r="J98" s="71" t="str">
        <f t="shared" si="16"/>
        <v/>
      </c>
      <c r="K98" s="70" t="str">
        <f>IF($A98="","",ROUND(SUMIFS(_EngineTrades!$AA$9:$AA$508,_EngineTrades!$AU$9:$AU$508,$A98),4))</f>
        <v/>
      </c>
      <c r="L98" s="70" t="str">
        <f>IF($A98="","",ROUND(SUMIFS(_EngineTrades!$AB$9:$AB$508,_EngineTrades!$AU$9:$AU$508,$A98),4))</f>
        <v/>
      </c>
      <c r="M98" s="70" t="str">
        <f>IF($A98="","",ROUND(SUMIFS(_EngineTrades!$AC$9:$AC$508,_EngineTrades!$AU$9:$AU$508,$A98),4))</f>
        <v/>
      </c>
      <c r="N98" s="70" t="str">
        <f>IF($A98="","",ROUND(SUMIFS(_EngineTrades!$AD$9:$AD$508,_EngineTrades!$AU$9:$AU$508,$A98),4))</f>
        <v/>
      </c>
      <c r="O98" s="71" t="str">
        <f t="shared" si="17"/>
        <v/>
      </c>
      <c r="P98" s="66">
        <f>IF(OR($A98="",$E98&lt;&gt;"Open"),0,IFERROR(LOOKUP(2,1/(_EngineTrades!$AU$9:$AU$508=$A98),_EngineTrades!$AM$9:$AM$508),0))</f>
        <v>0</v>
      </c>
      <c r="Q98" s="70" t="str">
        <f>IF(OR($A98="",$P98=0),"",ROUND(IFERROR(LOOKUP(2,1/(_EngineTrades!$AU$9:$AU$508=$A98),_EngineTrades!$AN$9:$AN$508),0)/$P98,4))</f>
        <v/>
      </c>
      <c r="R98" s="70">
        <f>IF(OR($A98="",$E98&lt;&gt;"Open"),0,IFERROR(LOOKUP(2,1/(_EngineTrades!$AU$9:$AU$508=$A98),_EngineTrades!$AO$9:$AO$508),0))</f>
        <v>0</v>
      </c>
      <c r="S98" s="70">
        <f>IF(OR($A98="",$E98&lt;&gt;"Open"),0,ROUND($R98+IFERROR(LOOKUP(2,1/(_EngineTrades!$AU$9:$AU$508=$A98),_EngineTrades!$AN$9:$AN$508),0),4))</f>
        <v>0</v>
      </c>
      <c r="T98" s="70" t="str">
        <f>IF($A98="","",ROUND(IFERROR(LOOKUP(2,1/(_EngineTrades!$AU$9:$AU$508=$A98),_EngineTrades!$AT$9:$AT$508),0),4))</f>
        <v/>
      </c>
      <c r="U98" s="70" t="str">
        <f t="shared" si="18"/>
        <v/>
      </c>
      <c r="V98" s="70" t="str">
        <f>IF(AND($A98&lt;&gt;"",$E98="Open",$P98+N(IFERROR(LOOKUP(2,1/(_EngineTrades!$AU$9:$AU$508=$A98),_EngineTrades!$AP$9:$AP$508),0))&gt;0),ROUND(($R98-$O98)/($P98+N(IFERROR(LOOKUP(2,1/(_EngineTrades!$AU$9:$AU$508=$A98),_EngineTrades!$AP$9:$AP$508),0))),4),"")</f>
        <v/>
      </c>
      <c r="W98" s="72" t="str">
        <f>IF($A98="","",MAX(1,IF($G98="",_EngineTrades!$E$3-$F98,$G98-$F98)))</f>
        <v/>
      </c>
      <c r="X98" s="73" t="str">
        <f t="shared" si="19"/>
        <v/>
      </c>
      <c r="Y98" s="73" t="str">
        <f t="shared" si="20"/>
        <v/>
      </c>
      <c r="Z98" s="44">
        <f>IF(Cycles!U98="",0,Cycles!U98)</f>
        <v>0</v>
      </c>
      <c r="AA98" s="44">
        <f>IF(Cycles!V98="",0,Cycles!V98)</f>
        <v>0</v>
      </c>
      <c r="AB98" s="44">
        <f>IF(Cycles!W98="",0,Cycles!W98)</f>
        <v>0</v>
      </c>
      <c r="AC98" s="44">
        <f>IF(Cycles!X98="",0,Cycles!X98)</f>
        <v>0</v>
      </c>
      <c r="AD98" s="70" t="str">
        <f t="shared" si="21"/>
        <v/>
      </c>
      <c r="AE98" s="70" t="str">
        <f t="shared" si="22"/>
        <v/>
      </c>
      <c r="AF98" s="70" t="str">
        <f t="shared" si="23"/>
        <v/>
      </c>
      <c r="AG98" t="str">
        <f>IFERROR(MATCH(ROWS($AG$9:AG98),_EngineTrades!$AW$9:$AW$508,0)+8,"")</f>
        <v/>
      </c>
    </row>
    <row r="99" spans="1:33" ht="15" x14ac:dyDescent="0.25">
      <c r="A99" s="61" t="str">
        <f>IF($AG99="","",IFERROR(INDEX(_EngineTrades!$AU$9:$AU$508,MATCH($AG99,_EngineTrades!$AV$9:$AV$508,0)),""))</f>
        <v/>
      </c>
      <c r="B99" s="61" t="str">
        <f>IF($A99="","",INDEX(_EngineTrades!$B$9:$B$508,MATCH($AG99,_EngineTrades!$AV$9:$AV$508,0)))</f>
        <v/>
      </c>
      <c r="C99" s="61" t="str">
        <f>IF($A99="","",INDEX(_EngineTrades!$T$9:$T$508,MATCH($AG99,_EngineTrades!$AV$9:$AV$508,0)))</f>
        <v/>
      </c>
      <c r="D99" s="47" t="str">
        <f>IF($A99="","",INDEX(_EngineTrades!$C$9:$C$508,MATCH($AG99,_EngineTrades!$AV$9:$AV$508,0)))</f>
        <v/>
      </c>
      <c r="E99" s="62" t="str">
        <f>IF($A99="","",IF(IFERROR(LOOKUP(2,1/(_EngineTrades!$AU$9:$AU$508=$A99),_EngineTrades!$AR$9:$AR$508),FALSE),"Closed","Open"))</f>
        <v/>
      </c>
      <c r="F99" s="63" t="str">
        <f>IF($A99="","",INDEX(_EngineTrades!$E$9:$E$508,$AG99-8))</f>
        <v/>
      </c>
      <c r="G99" s="63" t="str">
        <f>IF(OR($A99="",$E99&lt;&gt;"Closed"),"",IFERROR(INDEX(_EngineTrades!$E$9:$E$508,SUMIFS(_EngineTrades!$AX$9:$AX$508,_EngineTrades!$AU$9:$AU$508,$A99)-8),""))</f>
        <v/>
      </c>
      <c r="H99" s="49" t="str">
        <f>IF($A99="","",ROUND(SUMIFS(_EngineTrades!$Y$9:$Y$508,_EngineTrades!$AU$9:$AU$508,$A99),4))</f>
        <v/>
      </c>
      <c r="I99" s="49" t="str">
        <f>IF($A99="","",ROUND(SUMIFS(_EngineTrades!$Z$9:$Z$508,_EngineTrades!$AU$9:$AU$508,$A99),4))</f>
        <v/>
      </c>
      <c r="J99" s="45" t="str">
        <f t="shared" si="16"/>
        <v/>
      </c>
      <c r="K99" s="49" t="str">
        <f>IF($A99="","",ROUND(SUMIFS(_EngineTrades!$AA$9:$AA$508,_EngineTrades!$AU$9:$AU$508,$A99),4))</f>
        <v/>
      </c>
      <c r="L99" s="49" t="str">
        <f>IF($A99="","",ROUND(SUMIFS(_EngineTrades!$AB$9:$AB$508,_EngineTrades!$AU$9:$AU$508,$A99),4))</f>
        <v/>
      </c>
      <c r="M99" s="49" t="str">
        <f>IF($A99="","",ROUND(SUMIFS(_EngineTrades!$AC$9:$AC$508,_EngineTrades!$AU$9:$AU$508,$A99),4))</f>
        <v/>
      </c>
      <c r="N99" s="49" t="str">
        <f>IF($A99="","",ROUND(SUMIFS(_EngineTrades!$AD$9:$AD$508,_EngineTrades!$AU$9:$AU$508,$A99),4))</f>
        <v/>
      </c>
      <c r="O99" s="45" t="str">
        <f t="shared" si="17"/>
        <v/>
      </c>
      <c r="P99" s="61">
        <f>IF(OR($A99="",$E99&lt;&gt;"Open"),0,IFERROR(LOOKUP(2,1/(_EngineTrades!$AU$9:$AU$508=$A99),_EngineTrades!$AM$9:$AM$508),0))</f>
        <v>0</v>
      </c>
      <c r="Q99" s="49" t="str">
        <f>IF(OR($A99="",$P99=0),"",ROUND(IFERROR(LOOKUP(2,1/(_EngineTrades!$AU$9:$AU$508=$A99),_EngineTrades!$AN$9:$AN$508),0)/$P99,4))</f>
        <v/>
      </c>
      <c r="R99" s="49">
        <f>IF(OR($A99="",$E99&lt;&gt;"Open"),0,IFERROR(LOOKUP(2,1/(_EngineTrades!$AU$9:$AU$508=$A99),_EngineTrades!$AO$9:$AO$508),0))</f>
        <v>0</v>
      </c>
      <c r="S99" s="49">
        <f>IF(OR($A99="",$E99&lt;&gt;"Open"),0,ROUND($R99+IFERROR(LOOKUP(2,1/(_EngineTrades!$AU$9:$AU$508=$A99),_EngineTrades!$AN$9:$AN$508),0),4))</f>
        <v>0</v>
      </c>
      <c r="T99" s="49" t="str">
        <f>IF($A99="","",ROUND(IFERROR(LOOKUP(2,1/(_EngineTrades!$AU$9:$AU$508=$A99),_EngineTrades!$AT$9:$AT$508),0),4))</f>
        <v/>
      </c>
      <c r="U99" s="49" t="str">
        <f t="shared" si="18"/>
        <v/>
      </c>
      <c r="V99" s="49" t="str">
        <f>IF(AND($A99&lt;&gt;"",$E99="Open",$P99+N(IFERROR(LOOKUP(2,1/(_EngineTrades!$AU$9:$AU$508=$A99),_EngineTrades!$AP$9:$AP$508),0))&gt;0),ROUND(($R99-$O99)/($P99+N(IFERROR(LOOKUP(2,1/(_EngineTrades!$AU$9:$AU$508=$A99),_EngineTrades!$AP$9:$AP$508),0))),4),"")</f>
        <v/>
      </c>
      <c r="W99" s="64" t="str">
        <f>IF($A99="","",MAX(1,IF($G99="",_EngineTrades!$E$3-$F99,$G99-$F99)))</f>
        <v/>
      </c>
      <c r="X99" s="65" t="str">
        <f t="shared" si="19"/>
        <v/>
      </c>
      <c r="Y99" s="65" t="str">
        <f t="shared" si="20"/>
        <v/>
      </c>
      <c r="Z99" s="44">
        <f>IF(Cycles!U99="",0,Cycles!U99)</f>
        <v>0</v>
      </c>
      <c r="AA99" s="44">
        <f>IF(Cycles!V99="",0,Cycles!V99)</f>
        <v>0</v>
      </c>
      <c r="AB99" s="44">
        <f>IF(Cycles!W99="",0,Cycles!W99)</f>
        <v>0</v>
      </c>
      <c r="AC99" s="44">
        <f>IF(Cycles!X99="",0,Cycles!X99)</f>
        <v>0</v>
      </c>
      <c r="AD99" s="49" t="str">
        <f t="shared" si="21"/>
        <v/>
      </c>
      <c r="AE99" s="49" t="str">
        <f t="shared" si="22"/>
        <v/>
      </c>
      <c r="AF99" s="49" t="str">
        <f t="shared" si="23"/>
        <v/>
      </c>
      <c r="AG99" t="str">
        <f>IFERROR(MATCH(ROWS($AG$9:AG99),_EngineTrades!$AW$9:$AW$508,0)+8,"")</f>
        <v/>
      </c>
    </row>
    <row r="100" spans="1:33" ht="15" x14ac:dyDescent="0.25">
      <c r="A100" s="66" t="str">
        <f>IF($AG100="","",IFERROR(INDEX(_EngineTrades!$AU$9:$AU$508,MATCH($AG100,_EngineTrades!$AV$9:$AV$508,0)),""))</f>
        <v/>
      </c>
      <c r="B100" s="66" t="str">
        <f>IF($A100="","",INDEX(_EngineTrades!$B$9:$B$508,MATCH($AG100,_EngineTrades!$AV$9:$AV$508,0)))</f>
        <v/>
      </c>
      <c r="C100" s="66" t="str">
        <f>IF($A100="","",INDEX(_EngineTrades!$T$9:$T$508,MATCH($AG100,_EngineTrades!$AV$9:$AV$508,0)))</f>
        <v/>
      </c>
      <c r="D100" s="67" t="str">
        <f>IF($A100="","",INDEX(_EngineTrades!$C$9:$C$508,MATCH($AG100,_EngineTrades!$AV$9:$AV$508,0)))</f>
        <v/>
      </c>
      <c r="E100" s="68" t="str">
        <f>IF($A100="","",IF(IFERROR(LOOKUP(2,1/(_EngineTrades!$AU$9:$AU$508=$A100),_EngineTrades!$AR$9:$AR$508),FALSE),"Closed","Open"))</f>
        <v/>
      </c>
      <c r="F100" s="69" t="str">
        <f>IF($A100="","",INDEX(_EngineTrades!$E$9:$E$508,$AG100-8))</f>
        <v/>
      </c>
      <c r="G100" s="69" t="str">
        <f>IF(OR($A100="",$E100&lt;&gt;"Closed"),"",IFERROR(INDEX(_EngineTrades!$E$9:$E$508,SUMIFS(_EngineTrades!$AX$9:$AX$508,_EngineTrades!$AU$9:$AU$508,$A100)-8),""))</f>
        <v/>
      </c>
      <c r="H100" s="70" t="str">
        <f>IF($A100="","",ROUND(SUMIFS(_EngineTrades!$Y$9:$Y$508,_EngineTrades!$AU$9:$AU$508,$A100),4))</f>
        <v/>
      </c>
      <c r="I100" s="70" t="str">
        <f>IF($A100="","",ROUND(SUMIFS(_EngineTrades!$Z$9:$Z$508,_EngineTrades!$AU$9:$AU$508,$A100),4))</f>
        <v/>
      </c>
      <c r="J100" s="71" t="str">
        <f t="shared" si="16"/>
        <v/>
      </c>
      <c r="K100" s="70" t="str">
        <f>IF($A100="","",ROUND(SUMIFS(_EngineTrades!$AA$9:$AA$508,_EngineTrades!$AU$9:$AU$508,$A100),4))</f>
        <v/>
      </c>
      <c r="L100" s="70" t="str">
        <f>IF($A100="","",ROUND(SUMIFS(_EngineTrades!$AB$9:$AB$508,_EngineTrades!$AU$9:$AU$508,$A100),4))</f>
        <v/>
      </c>
      <c r="M100" s="70" t="str">
        <f>IF($A100="","",ROUND(SUMIFS(_EngineTrades!$AC$9:$AC$508,_EngineTrades!$AU$9:$AU$508,$A100),4))</f>
        <v/>
      </c>
      <c r="N100" s="70" t="str">
        <f>IF($A100="","",ROUND(SUMIFS(_EngineTrades!$AD$9:$AD$508,_EngineTrades!$AU$9:$AU$508,$A100),4))</f>
        <v/>
      </c>
      <c r="O100" s="71" t="str">
        <f t="shared" si="17"/>
        <v/>
      </c>
      <c r="P100" s="66">
        <f>IF(OR($A100="",$E100&lt;&gt;"Open"),0,IFERROR(LOOKUP(2,1/(_EngineTrades!$AU$9:$AU$508=$A100),_EngineTrades!$AM$9:$AM$508),0))</f>
        <v>0</v>
      </c>
      <c r="Q100" s="70" t="str">
        <f>IF(OR($A100="",$P100=0),"",ROUND(IFERROR(LOOKUP(2,1/(_EngineTrades!$AU$9:$AU$508=$A100),_EngineTrades!$AN$9:$AN$508),0)/$P100,4))</f>
        <v/>
      </c>
      <c r="R100" s="70">
        <f>IF(OR($A100="",$E100&lt;&gt;"Open"),0,IFERROR(LOOKUP(2,1/(_EngineTrades!$AU$9:$AU$508=$A100),_EngineTrades!$AO$9:$AO$508),0))</f>
        <v>0</v>
      </c>
      <c r="S100" s="70">
        <f>IF(OR($A100="",$E100&lt;&gt;"Open"),0,ROUND($R100+IFERROR(LOOKUP(2,1/(_EngineTrades!$AU$9:$AU$508=$A100),_EngineTrades!$AN$9:$AN$508),0),4))</f>
        <v>0</v>
      </c>
      <c r="T100" s="70" t="str">
        <f>IF($A100="","",ROUND(IFERROR(LOOKUP(2,1/(_EngineTrades!$AU$9:$AU$508=$A100),_EngineTrades!$AT$9:$AT$508),0),4))</f>
        <v/>
      </c>
      <c r="U100" s="70" t="str">
        <f t="shared" si="18"/>
        <v/>
      </c>
      <c r="V100" s="70" t="str">
        <f>IF(AND($A100&lt;&gt;"",$E100="Open",$P100+N(IFERROR(LOOKUP(2,1/(_EngineTrades!$AU$9:$AU$508=$A100),_EngineTrades!$AP$9:$AP$508),0))&gt;0),ROUND(($R100-$O100)/($P100+N(IFERROR(LOOKUP(2,1/(_EngineTrades!$AU$9:$AU$508=$A100),_EngineTrades!$AP$9:$AP$508),0))),4),"")</f>
        <v/>
      </c>
      <c r="W100" s="72" t="str">
        <f>IF($A100="","",MAX(1,IF($G100="",_EngineTrades!$E$3-$F100,$G100-$F100)))</f>
        <v/>
      </c>
      <c r="X100" s="73" t="str">
        <f t="shared" si="19"/>
        <v/>
      </c>
      <c r="Y100" s="73" t="str">
        <f t="shared" si="20"/>
        <v/>
      </c>
      <c r="Z100" s="44">
        <f>IF(Cycles!U100="",0,Cycles!U100)</f>
        <v>0</v>
      </c>
      <c r="AA100" s="44">
        <f>IF(Cycles!V100="",0,Cycles!V100)</f>
        <v>0</v>
      </c>
      <c r="AB100" s="44">
        <f>IF(Cycles!W100="",0,Cycles!W100)</f>
        <v>0</v>
      </c>
      <c r="AC100" s="44">
        <f>IF(Cycles!X100="",0,Cycles!X100)</f>
        <v>0</v>
      </c>
      <c r="AD100" s="70" t="str">
        <f t="shared" si="21"/>
        <v/>
      </c>
      <c r="AE100" s="70" t="str">
        <f t="shared" si="22"/>
        <v/>
      </c>
      <c r="AF100" s="70" t="str">
        <f t="shared" si="23"/>
        <v/>
      </c>
      <c r="AG100" t="str">
        <f>IFERROR(MATCH(ROWS($AG$9:AG100),_EngineTrades!$AW$9:$AW$508,0)+8,"")</f>
        <v/>
      </c>
    </row>
    <row r="101" spans="1:33" ht="15" x14ac:dyDescent="0.25">
      <c r="A101" s="61" t="str">
        <f>IF($AG101="","",IFERROR(INDEX(_EngineTrades!$AU$9:$AU$508,MATCH($AG101,_EngineTrades!$AV$9:$AV$508,0)),""))</f>
        <v/>
      </c>
      <c r="B101" s="61" t="str">
        <f>IF($A101="","",INDEX(_EngineTrades!$B$9:$B$508,MATCH($AG101,_EngineTrades!$AV$9:$AV$508,0)))</f>
        <v/>
      </c>
      <c r="C101" s="61" t="str">
        <f>IF($A101="","",INDEX(_EngineTrades!$T$9:$T$508,MATCH($AG101,_EngineTrades!$AV$9:$AV$508,0)))</f>
        <v/>
      </c>
      <c r="D101" s="47" t="str">
        <f>IF($A101="","",INDEX(_EngineTrades!$C$9:$C$508,MATCH($AG101,_EngineTrades!$AV$9:$AV$508,0)))</f>
        <v/>
      </c>
      <c r="E101" s="62" t="str">
        <f>IF($A101="","",IF(IFERROR(LOOKUP(2,1/(_EngineTrades!$AU$9:$AU$508=$A101),_EngineTrades!$AR$9:$AR$508),FALSE),"Closed","Open"))</f>
        <v/>
      </c>
      <c r="F101" s="63" t="str">
        <f>IF($A101="","",INDEX(_EngineTrades!$E$9:$E$508,$AG101-8))</f>
        <v/>
      </c>
      <c r="G101" s="63" t="str">
        <f>IF(OR($A101="",$E101&lt;&gt;"Closed"),"",IFERROR(INDEX(_EngineTrades!$E$9:$E$508,SUMIFS(_EngineTrades!$AX$9:$AX$508,_EngineTrades!$AU$9:$AU$508,$A101)-8),""))</f>
        <v/>
      </c>
      <c r="H101" s="49" t="str">
        <f>IF($A101="","",ROUND(SUMIFS(_EngineTrades!$Y$9:$Y$508,_EngineTrades!$AU$9:$AU$508,$A101),4))</f>
        <v/>
      </c>
      <c r="I101" s="49" t="str">
        <f>IF($A101="","",ROUND(SUMIFS(_EngineTrades!$Z$9:$Z$508,_EngineTrades!$AU$9:$AU$508,$A101),4))</f>
        <v/>
      </c>
      <c r="J101" s="45" t="str">
        <f t="shared" si="16"/>
        <v/>
      </c>
      <c r="K101" s="49" t="str">
        <f>IF($A101="","",ROUND(SUMIFS(_EngineTrades!$AA$9:$AA$508,_EngineTrades!$AU$9:$AU$508,$A101),4))</f>
        <v/>
      </c>
      <c r="L101" s="49" t="str">
        <f>IF($A101="","",ROUND(SUMIFS(_EngineTrades!$AB$9:$AB$508,_EngineTrades!$AU$9:$AU$508,$A101),4))</f>
        <v/>
      </c>
      <c r="M101" s="49" t="str">
        <f>IF($A101="","",ROUND(SUMIFS(_EngineTrades!$AC$9:$AC$508,_EngineTrades!$AU$9:$AU$508,$A101),4))</f>
        <v/>
      </c>
      <c r="N101" s="49" t="str">
        <f>IF($A101="","",ROUND(SUMIFS(_EngineTrades!$AD$9:$AD$508,_EngineTrades!$AU$9:$AU$508,$A101),4))</f>
        <v/>
      </c>
      <c r="O101" s="45" t="str">
        <f t="shared" si="17"/>
        <v/>
      </c>
      <c r="P101" s="61">
        <f>IF(OR($A101="",$E101&lt;&gt;"Open"),0,IFERROR(LOOKUP(2,1/(_EngineTrades!$AU$9:$AU$508=$A101),_EngineTrades!$AM$9:$AM$508),0))</f>
        <v>0</v>
      </c>
      <c r="Q101" s="49" t="str">
        <f>IF(OR($A101="",$P101=0),"",ROUND(IFERROR(LOOKUP(2,1/(_EngineTrades!$AU$9:$AU$508=$A101),_EngineTrades!$AN$9:$AN$508),0)/$P101,4))</f>
        <v/>
      </c>
      <c r="R101" s="49">
        <f>IF(OR($A101="",$E101&lt;&gt;"Open"),0,IFERROR(LOOKUP(2,1/(_EngineTrades!$AU$9:$AU$508=$A101),_EngineTrades!$AO$9:$AO$508),0))</f>
        <v>0</v>
      </c>
      <c r="S101" s="49">
        <f>IF(OR($A101="",$E101&lt;&gt;"Open"),0,ROUND($R101+IFERROR(LOOKUP(2,1/(_EngineTrades!$AU$9:$AU$508=$A101),_EngineTrades!$AN$9:$AN$508),0),4))</f>
        <v>0</v>
      </c>
      <c r="T101" s="49" t="str">
        <f>IF($A101="","",ROUND(IFERROR(LOOKUP(2,1/(_EngineTrades!$AU$9:$AU$508=$A101),_EngineTrades!$AT$9:$AT$508),0),4))</f>
        <v/>
      </c>
      <c r="U101" s="49" t="str">
        <f t="shared" si="18"/>
        <v/>
      </c>
      <c r="V101" s="49" t="str">
        <f>IF(AND($A101&lt;&gt;"",$E101="Open",$P101+N(IFERROR(LOOKUP(2,1/(_EngineTrades!$AU$9:$AU$508=$A101),_EngineTrades!$AP$9:$AP$508),0))&gt;0),ROUND(($R101-$O101)/($P101+N(IFERROR(LOOKUP(2,1/(_EngineTrades!$AU$9:$AU$508=$A101),_EngineTrades!$AP$9:$AP$508),0))),4),"")</f>
        <v/>
      </c>
      <c r="W101" s="64" t="str">
        <f>IF($A101="","",MAX(1,IF($G101="",_EngineTrades!$E$3-$F101,$G101-$F101)))</f>
        <v/>
      </c>
      <c r="X101" s="65" t="str">
        <f t="shared" si="19"/>
        <v/>
      </c>
      <c r="Y101" s="65" t="str">
        <f t="shared" si="20"/>
        <v/>
      </c>
      <c r="Z101" s="44">
        <f>IF(Cycles!U101="",0,Cycles!U101)</f>
        <v>0</v>
      </c>
      <c r="AA101" s="44">
        <f>IF(Cycles!V101="",0,Cycles!V101)</f>
        <v>0</v>
      </c>
      <c r="AB101" s="44">
        <f>IF(Cycles!W101="",0,Cycles!W101)</f>
        <v>0</v>
      </c>
      <c r="AC101" s="44">
        <f>IF(Cycles!X101="",0,Cycles!X101)</f>
        <v>0</v>
      </c>
      <c r="AD101" s="49" t="str">
        <f t="shared" si="21"/>
        <v/>
      </c>
      <c r="AE101" s="49" t="str">
        <f t="shared" si="22"/>
        <v/>
      </c>
      <c r="AF101" s="49" t="str">
        <f t="shared" si="23"/>
        <v/>
      </c>
      <c r="AG101" t="str">
        <f>IFERROR(MATCH(ROWS($AG$9:AG101),_EngineTrades!$AW$9:$AW$508,0)+8,"")</f>
        <v/>
      </c>
    </row>
    <row r="102" spans="1:33" ht="15" x14ac:dyDescent="0.25">
      <c r="A102" s="66" t="str">
        <f>IF($AG102="","",IFERROR(INDEX(_EngineTrades!$AU$9:$AU$508,MATCH($AG102,_EngineTrades!$AV$9:$AV$508,0)),""))</f>
        <v/>
      </c>
      <c r="B102" s="66" t="str">
        <f>IF($A102="","",INDEX(_EngineTrades!$B$9:$B$508,MATCH($AG102,_EngineTrades!$AV$9:$AV$508,0)))</f>
        <v/>
      </c>
      <c r="C102" s="66" t="str">
        <f>IF($A102="","",INDEX(_EngineTrades!$T$9:$T$508,MATCH($AG102,_EngineTrades!$AV$9:$AV$508,0)))</f>
        <v/>
      </c>
      <c r="D102" s="67" t="str">
        <f>IF($A102="","",INDEX(_EngineTrades!$C$9:$C$508,MATCH($AG102,_EngineTrades!$AV$9:$AV$508,0)))</f>
        <v/>
      </c>
      <c r="E102" s="68" t="str">
        <f>IF($A102="","",IF(IFERROR(LOOKUP(2,1/(_EngineTrades!$AU$9:$AU$508=$A102),_EngineTrades!$AR$9:$AR$508),FALSE),"Closed","Open"))</f>
        <v/>
      </c>
      <c r="F102" s="69" t="str">
        <f>IF($A102="","",INDEX(_EngineTrades!$E$9:$E$508,$AG102-8))</f>
        <v/>
      </c>
      <c r="G102" s="69" t="str">
        <f>IF(OR($A102="",$E102&lt;&gt;"Closed"),"",IFERROR(INDEX(_EngineTrades!$E$9:$E$508,SUMIFS(_EngineTrades!$AX$9:$AX$508,_EngineTrades!$AU$9:$AU$508,$A102)-8),""))</f>
        <v/>
      </c>
      <c r="H102" s="70" t="str">
        <f>IF($A102="","",ROUND(SUMIFS(_EngineTrades!$Y$9:$Y$508,_EngineTrades!$AU$9:$AU$508,$A102),4))</f>
        <v/>
      </c>
      <c r="I102" s="70" t="str">
        <f>IF($A102="","",ROUND(SUMIFS(_EngineTrades!$Z$9:$Z$508,_EngineTrades!$AU$9:$AU$508,$A102),4))</f>
        <v/>
      </c>
      <c r="J102" s="71" t="str">
        <f t="shared" si="16"/>
        <v/>
      </c>
      <c r="K102" s="70" t="str">
        <f>IF($A102="","",ROUND(SUMIFS(_EngineTrades!$AA$9:$AA$508,_EngineTrades!$AU$9:$AU$508,$A102),4))</f>
        <v/>
      </c>
      <c r="L102" s="70" t="str">
        <f>IF($A102="","",ROUND(SUMIFS(_EngineTrades!$AB$9:$AB$508,_EngineTrades!$AU$9:$AU$508,$A102),4))</f>
        <v/>
      </c>
      <c r="M102" s="70" t="str">
        <f>IF($A102="","",ROUND(SUMIFS(_EngineTrades!$AC$9:$AC$508,_EngineTrades!$AU$9:$AU$508,$A102),4))</f>
        <v/>
      </c>
      <c r="N102" s="70" t="str">
        <f>IF($A102="","",ROUND(SUMIFS(_EngineTrades!$AD$9:$AD$508,_EngineTrades!$AU$9:$AU$508,$A102),4))</f>
        <v/>
      </c>
      <c r="O102" s="71" t="str">
        <f t="shared" si="17"/>
        <v/>
      </c>
      <c r="P102" s="66">
        <f>IF(OR($A102="",$E102&lt;&gt;"Open"),0,IFERROR(LOOKUP(2,1/(_EngineTrades!$AU$9:$AU$508=$A102),_EngineTrades!$AM$9:$AM$508),0))</f>
        <v>0</v>
      </c>
      <c r="Q102" s="70" t="str">
        <f>IF(OR($A102="",$P102=0),"",ROUND(IFERROR(LOOKUP(2,1/(_EngineTrades!$AU$9:$AU$508=$A102),_EngineTrades!$AN$9:$AN$508),0)/$P102,4))</f>
        <v/>
      </c>
      <c r="R102" s="70">
        <f>IF(OR($A102="",$E102&lt;&gt;"Open"),0,IFERROR(LOOKUP(2,1/(_EngineTrades!$AU$9:$AU$508=$A102),_EngineTrades!$AO$9:$AO$508),0))</f>
        <v>0</v>
      </c>
      <c r="S102" s="70">
        <f>IF(OR($A102="",$E102&lt;&gt;"Open"),0,ROUND($R102+IFERROR(LOOKUP(2,1/(_EngineTrades!$AU$9:$AU$508=$A102),_EngineTrades!$AN$9:$AN$508),0),4))</f>
        <v>0</v>
      </c>
      <c r="T102" s="70" t="str">
        <f>IF($A102="","",ROUND(IFERROR(LOOKUP(2,1/(_EngineTrades!$AU$9:$AU$508=$A102),_EngineTrades!$AT$9:$AT$508),0),4))</f>
        <v/>
      </c>
      <c r="U102" s="70" t="str">
        <f t="shared" si="18"/>
        <v/>
      </c>
      <c r="V102" s="70" t="str">
        <f>IF(AND($A102&lt;&gt;"",$E102="Open",$P102+N(IFERROR(LOOKUP(2,1/(_EngineTrades!$AU$9:$AU$508=$A102),_EngineTrades!$AP$9:$AP$508),0))&gt;0),ROUND(($R102-$O102)/($P102+N(IFERROR(LOOKUP(2,1/(_EngineTrades!$AU$9:$AU$508=$A102),_EngineTrades!$AP$9:$AP$508),0))),4),"")</f>
        <v/>
      </c>
      <c r="W102" s="72" t="str">
        <f>IF($A102="","",MAX(1,IF($G102="",_EngineTrades!$E$3-$F102,$G102-$F102)))</f>
        <v/>
      </c>
      <c r="X102" s="73" t="str">
        <f t="shared" si="19"/>
        <v/>
      </c>
      <c r="Y102" s="73" t="str">
        <f t="shared" si="20"/>
        <v/>
      </c>
      <c r="Z102" s="44">
        <f>IF(Cycles!U102="",0,Cycles!U102)</f>
        <v>0</v>
      </c>
      <c r="AA102" s="44">
        <f>IF(Cycles!V102="",0,Cycles!V102)</f>
        <v>0</v>
      </c>
      <c r="AB102" s="44">
        <f>IF(Cycles!W102="",0,Cycles!W102)</f>
        <v>0</v>
      </c>
      <c r="AC102" s="44">
        <f>IF(Cycles!X102="",0,Cycles!X102)</f>
        <v>0</v>
      </c>
      <c r="AD102" s="70" t="str">
        <f t="shared" si="21"/>
        <v/>
      </c>
      <c r="AE102" s="70" t="str">
        <f t="shared" si="22"/>
        <v/>
      </c>
      <c r="AF102" s="70" t="str">
        <f t="shared" si="23"/>
        <v/>
      </c>
      <c r="AG102" t="str">
        <f>IFERROR(MATCH(ROWS($AG$9:AG102),_EngineTrades!$AW$9:$AW$508,0)+8,"")</f>
        <v/>
      </c>
    </row>
    <row r="103" spans="1:33" ht="15" x14ac:dyDescent="0.25">
      <c r="A103" s="61" t="str">
        <f>IF($AG103="","",IFERROR(INDEX(_EngineTrades!$AU$9:$AU$508,MATCH($AG103,_EngineTrades!$AV$9:$AV$508,0)),""))</f>
        <v/>
      </c>
      <c r="B103" s="61" t="str">
        <f>IF($A103="","",INDEX(_EngineTrades!$B$9:$B$508,MATCH($AG103,_EngineTrades!$AV$9:$AV$508,0)))</f>
        <v/>
      </c>
      <c r="C103" s="61" t="str">
        <f>IF($A103="","",INDEX(_EngineTrades!$T$9:$T$508,MATCH($AG103,_EngineTrades!$AV$9:$AV$508,0)))</f>
        <v/>
      </c>
      <c r="D103" s="47" t="str">
        <f>IF($A103="","",INDEX(_EngineTrades!$C$9:$C$508,MATCH($AG103,_EngineTrades!$AV$9:$AV$508,0)))</f>
        <v/>
      </c>
      <c r="E103" s="62" t="str">
        <f>IF($A103="","",IF(IFERROR(LOOKUP(2,1/(_EngineTrades!$AU$9:$AU$508=$A103),_EngineTrades!$AR$9:$AR$508),FALSE),"Closed","Open"))</f>
        <v/>
      </c>
      <c r="F103" s="63" t="str">
        <f>IF($A103="","",INDEX(_EngineTrades!$E$9:$E$508,$AG103-8))</f>
        <v/>
      </c>
      <c r="G103" s="63" t="str">
        <f>IF(OR($A103="",$E103&lt;&gt;"Closed"),"",IFERROR(INDEX(_EngineTrades!$E$9:$E$508,SUMIFS(_EngineTrades!$AX$9:$AX$508,_EngineTrades!$AU$9:$AU$508,$A103)-8),""))</f>
        <v/>
      </c>
      <c r="H103" s="49" t="str">
        <f>IF($A103="","",ROUND(SUMIFS(_EngineTrades!$Y$9:$Y$508,_EngineTrades!$AU$9:$AU$508,$A103),4))</f>
        <v/>
      </c>
      <c r="I103" s="49" t="str">
        <f>IF($A103="","",ROUND(SUMIFS(_EngineTrades!$Z$9:$Z$508,_EngineTrades!$AU$9:$AU$508,$A103),4))</f>
        <v/>
      </c>
      <c r="J103" s="45" t="str">
        <f t="shared" si="16"/>
        <v/>
      </c>
      <c r="K103" s="49" t="str">
        <f>IF($A103="","",ROUND(SUMIFS(_EngineTrades!$AA$9:$AA$508,_EngineTrades!$AU$9:$AU$508,$A103),4))</f>
        <v/>
      </c>
      <c r="L103" s="49" t="str">
        <f>IF($A103="","",ROUND(SUMIFS(_EngineTrades!$AB$9:$AB$508,_EngineTrades!$AU$9:$AU$508,$A103),4))</f>
        <v/>
      </c>
      <c r="M103" s="49" t="str">
        <f>IF($A103="","",ROUND(SUMIFS(_EngineTrades!$AC$9:$AC$508,_EngineTrades!$AU$9:$AU$508,$A103),4))</f>
        <v/>
      </c>
      <c r="N103" s="49" t="str">
        <f>IF($A103="","",ROUND(SUMIFS(_EngineTrades!$AD$9:$AD$508,_EngineTrades!$AU$9:$AU$508,$A103),4))</f>
        <v/>
      </c>
      <c r="O103" s="45" t="str">
        <f t="shared" si="17"/>
        <v/>
      </c>
      <c r="P103" s="61">
        <f>IF(OR($A103="",$E103&lt;&gt;"Open"),0,IFERROR(LOOKUP(2,1/(_EngineTrades!$AU$9:$AU$508=$A103),_EngineTrades!$AM$9:$AM$508),0))</f>
        <v>0</v>
      </c>
      <c r="Q103" s="49" t="str">
        <f>IF(OR($A103="",$P103=0),"",ROUND(IFERROR(LOOKUP(2,1/(_EngineTrades!$AU$9:$AU$508=$A103),_EngineTrades!$AN$9:$AN$508),0)/$P103,4))</f>
        <v/>
      </c>
      <c r="R103" s="49">
        <f>IF(OR($A103="",$E103&lt;&gt;"Open"),0,IFERROR(LOOKUP(2,1/(_EngineTrades!$AU$9:$AU$508=$A103),_EngineTrades!$AO$9:$AO$508),0))</f>
        <v>0</v>
      </c>
      <c r="S103" s="49">
        <f>IF(OR($A103="",$E103&lt;&gt;"Open"),0,ROUND($R103+IFERROR(LOOKUP(2,1/(_EngineTrades!$AU$9:$AU$508=$A103),_EngineTrades!$AN$9:$AN$508),0),4))</f>
        <v>0</v>
      </c>
      <c r="T103" s="49" t="str">
        <f>IF($A103="","",ROUND(IFERROR(LOOKUP(2,1/(_EngineTrades!$AU$9:$AU$508=$A103),_EngineTrades!$AT$9:$AT$508),0),4))</f>
        <v/>
      </c>
      <c r="U103" s="49" t="str">
        <f t="shared" si="18"/>
        <v/>
      </c>
      <c r="V103" s="49" t="str">
        <f>IF(AND($A103&lt;&gt;"",$E103="Open",$P103+N(IFERROR(LOOKUP(2,1/(_EngineTrades!$AU$9:$AU$508=$A103),_EngineTrades!$AP$9:$AP$508),0))&gt;0),ROUND(($R103-$O103)/($P103+N(IFERROR(LOOKUP(2,1/(_EngineTrades!$AU$9:$AU$508=$A103),_EngineTrades!$AP$9:$AP$508),0))),4),"")</f>
        <v/>
      </c>
      <c r="W103" s="64" t="str">
        <f>IF($A103="","",MAX(1,IF($G103="",_EngineTrades!$E$3-$F103,$G103-$F103)))</f>
        <v/>
      </c>
      <c r="X103" s="65" t="str">
        <f t="shared" si="19"/>
        <v/>
      </c>
      <c r="Y103" s="65" t="str">
        <f t="shared" si="20"/>
        <v/>
      </c>
      <c r="Z103" s="44">
        <f>IF(Cycles!U103="",0,Cycles!U103)</f>
        <v>0</v>
      </c>
      <c r="AA103" s="44">
        <f>IF(Cycles!V103="",0,Cycles!V103)</f>
        <v>0</v>
      </c>
      <c r="AB103" s="44">
        <f>IF(Cycles!W103="",0,Cycles!W103)</f>
        <v>0</v>
      </c>
      <c r="AC103" s="44">
        <f>IF(Cycles!X103="",0,Cycles!X103)</f>
        <v>0</v>
      </c>
      <c r="AD103" s="49" t="str">
        <f t="shared" si="21"/>
        <v/>
      </c>
      <c r="AE103" s="49" t="str">
        <f t="shared" si="22"/>
        <v/>
      </c>
      <c r="AF103" s="49" t="str">
        <f t="shared" si="23"/>
        <v/>
      </c>
      <c r="AG103" t="str">
        <f>IFERROR(MATCH(ROWS($AG$9:AG103),_EngineTrades!$AW$9:$AW$508,0)+8,"")</f>
        <v/>
      </c>
    </row>
    <row r="104" spans="1:33" ht="15" x14ac:dyDescent="0.25">
      <c r="A104" s="66" t="str">
        <f>IF($AG104="","",IFERROR(INDEX(_EngineTrades!$AU$9:$AU$508,MATCH($AG104,_EngineTrades!$AV$9:$AV$508,0)),""))</f>
        <v/>
      </c>
      <c r="B104" s="66" t="str">
        <f>IF($A104="","",INDEX(_EngineTrades!$B$9:$B$508,MATCH($AG104,_EngineTrades!$AV$9:$AV$508,0)))</f>
        <v/>
      </c>
      <c r="C104" s="66" t="str">
        <f>IF($A104="","",INDEX(_EngineTrades!$T$9:$T$508,MATCH($AG104,_EngineTrades!$AV$9:$AV$508,0)))</f>
        <v/>
      </c>
      <c r="D104" s="67" t="str">
        <f>IF($A104="","",INDEX(_EngineTrades!$C$9:$C$508,MATCH($AG104,_EngineTrades!$AV$9:$AV$508,0)))</f>
        <v/>
      </c>
      <c r="E104" s="68" t="str">
        <f>IF($A104="","",IF(IFERROR(LOOKUP(2,1/(_EngineTrades!$AU$9:$AU$508=$A104),_EngineTrades!$AR$9:$AR$508),FALSE),"Closed","Open"))</f>
        <v/>
      </c>
      <c r="F104" s="69" t="str">
        <f>IF($A104="","",INDEX(_EngineTrades!$E$9:$E$508,$AG104-8))</f>
        <v/>
      </c>
      <c r="G104" s="69" t="str">
        <f>IF(OR($A104="",$E104&lt;&gt;"Closed"),"",IFERROR(INDEX(_EngineTrades!$E$9:$E$508,SUMIFS(_EngineTrades!$AX$9:$AX$508,_EngineTrades!$AU$9:$AU$508,$A104)-8),""))</f>
        <v/>
      </c>
      <c r="H104" s="70" t="str">
        <f>IF($A104="","",ROUND(SUMIFS(_EngineTrades!$Y$9:$Y$508,_EngineTrades!$AU$9:$AU$508,$A104),4))</f>
        <v/>
      </c>
      <c r="I104" s="70" t="str">
        <f>IF($A104="","",ROUND(SUMIFS(_EngineTrades!$Z$9:$Z$508,_EngineTrades!$AU$9:$AU$508,$A104),4))</f>
        <v/>
      </c>
      <c r="J104" s="71" t="str">
        <f t="shared" si="16"/>
        <v/>
      </c>
      <c r="K104" s="70" t="str">
        <f>IF($A104="","",ROUND(SUMIFS(_EngineTrades!$AA$9:$AA$508,_EngineTrades!$AU$9:$AU$508,$A104),4))</f>
        <v/>
      </c>
      <c r="L104" s="70" t="str">
        <f>IF($A104="","",ROUND(SUMIFS(_EngineTrades!$AB$9:$AB$508,_EngineTrades!$AU$9:$AU$508,$A104),4))</f>
        <v/>
      </c>
      <c r="M104" s="70" t="str">
        <f>IF($A104="","",ROUND(SUMIFS(_EngineTrades!$AC$9:$AC$508,_EngineTrades!$AU$9:$AU$508,$A104),4))</f>
        <v/>
      </c>
      <c r="N104" s="70" t="str">
        <f>IF($A104="","",ROUND(SUMIFS(_EngineTrades!$AD$9:$AD$508,_EngineTrades!$AU$9:$AU$508,$A104),4))</f>
        <v/>
      </c>
      <c r="O104" s="71" t="str">
        <f t="shared" si="17"/>
        <v/>
      </c>
      <c r="P104" s="66">
        <f>IF(OR($A104="",$E104&lt;&gt;"Open"),0,IFERROR(LOOKUP(2,1/(_EngineTrades!$AU$9:$AU$508=$A104),_EngineTrades!$AM$9:$AM$508),0))</f>
        <v>0</v>
      </c>
      <c r="Q104" s="70" t="str">
        <f>IF(OR($A104="",$P104=0),"",ROUND(IFERROR(LOOKUP(2,1/(_EngineTrades!$AU$9:$AU$508=$A104),_EngineTrades!$AN$9:$AN$508),0)/$P104,4))</f>
        <v/>
      </c>
      <c r="R104" s="70">
        <f>IF(OR($A104="",$E104&lt;&gt;"Open"),0,IFERROR(LOOKUP(2,1/(_EngineTrades!$AU$9:$AU$508=$A104),_EngineTrades!$AO$9:$AO$508),0))</f>
        <v>0</v>
      </c>
      <c r="S104" s="70">
        <f>IF(OR($A104="",$E104&lt;&gt;"Open"),0,ROUND($R104+IFERROR(LOOKUP(2,1/(_EngineTrades!$AU$9:$AU$508=$A104),_EngineTrades!$AN$9:$AN$508),0),4))</f>
        <v>0</v>
      </c>
      <c r="T104" s="70" t="str">
        <f>IF($A104="","",ROUND(IFERROR(LOOKUP(2,1/(_EngineTrades!$AU$9:$AU$508=$A104),_EngineTrades!$AT$9:$AT$508),0),4))</f>
        <v/>
      </c>
      <c r="U104" s="70" t="str">
        <f t="shared" si="18"/>
        <v/>
      </c>
      <c r="V104" s="70" t="str">
        <f>IF(AND($A104&lt;&gt;"",$E104="Open",$P104+N(IFERROR(LOOKUP(2,1/(_EngineTrades!$AU$9:$AU$508=$A104),_EngineTrades!$AP$9:$AP$508),0))&gt;0),ROUND(($R104-$O104)/($P104+N(IFERROR(LOOKUP(2,1/(_EngineTrades!$AU$9:$AU$508=$A104),_EngineTrades!$AP$9:$AP$508),0))),4),"")</f>
        <v/>
      </c>
      <c r="W104" s="72" t="str">
        <f>IF($A104="","",MAX(1,IF($G104="",_EngineTrades!$E$3-$F104,$G104-$F104)))</f>
        <v/>
      </c>
      <c r="X104" s="73" t="str">
        <f t="shared" si="19"/>
        <v/>
      </c>
      <c r="Y104" s="73" t="str">
        <f t="shared" si="20"/>
        <v/>
      </c>
      <c r="Z104" s="44">
        <f>IF(Cycles!U104="",0,Cycles!U104)</f>
        <v>0</v>
      </c>
      <c r="AA104" s="44">
        <f>IF(Cycles!V104="",0,Cycles!V104)</f>
        <v>0</v>
      </c>
      <c r="AB104" s="44">
        <f>IF(Cycles!W104="",0,Cycles!W104)</f>
        <v>0</v>
      </c>
      <c r="AC104" s="44">
        <f>IF(Cycles!X104="",0,Cycles!X104)</f>
        <v>0</v>
      </c>
      <c r="AD104" s="70" t="str">
        <f t="shared" si="21"/>
        <v/>
      </c>
      <c r="AE104" s="70" t="str">
        <f t="shared" si="22"/>
        <v/>
      </c>
      <c r="AF104" s="70" t="str">
        <f t="shared" si="23"/>
        <v/>
      </c>
      <c r="AG104" t="str">
        <f>IFERROR(MATCH(ROWS($AG$9:AG104),_EngineTrades!$AW$9:$AW$508,0)+8,"")</f>
        <v/>
      </c>
    </row>
    <row r="105" spans="1:33" ht="15" x14ac:dyDescent="0.25">
      <c r="A105" s="61" t="str">
        <f>IF($AG105="","",IFERROR(INDEX(_EngineTrades!$AU$9:$AU$508,MATCH($AG105,_EngineTrades!$AV$9:$AV$508,0)),""))</f>
        <v/>
      </c>
      <c r="B105" s="61" t="str">
        <f>IF($A105="","",INDEX(_EngineTrades!$B$9:$B$508,MATCH($AG105,_EngineTrades!$AV$9:$AV$508,0)))</f>
        <v/>
      </c>
      <c r="C105" s="61" t="str">
        <f>IF($A105="","",INDEX(_EngineTrades!$T$9:$T$508,MATCH($AG105,_EngineTrades!$AV$9:$AV$508,0)))</f>
        <v/>
      </c>
      <c r="D105" s="47" t="str">
        <f>IF($A105="","",INDEX(_EngineTrades!$C$9:$C$508,MATCH($AG105,_EngineTrades!$AV$9:$AV$508,0)))</f>
        <v/>
      </c>
      <c r="E105" s="62" t="str">
        <f>IF($A105="","",IF(IFERROR(LOOKUP(2,1/(_EngineTrades!$AU$9:$AU$508=$A105),_EngineTrades!$AR$9:$AR$508),FALSE),"Closed","Open"))</f>
        <v/>
      </c>
      <c r="F105" s="63" t="str">
        <f>IF($A105="","",INDEX(_EngineTrades!$E$9:$E$508,$AG105-8))</f>
        <v/>
      </c>
      <c r="G105" s="63" t="str">
        <f>IF(OR($A105="",$E105&lt;&gt;"Closed"),"",IFERROR(INDEX(_EngineTrades!$E$9:$E$508,SUMIFS(_EngineTrades!$AX$9:$AX$508,_EngineTrades!$AU$9:$AU$508,$A105)-8),""))</f>
        <v/>
      </c>
      <c r="H105" s="49" t="str">
        <f>IF($A105="","",ROUND(SUMIFS(_EngineTrades!$Y$9:$Y$508,_EngineTrades!$AU$9:$AU$508,$A105),4))</f>
        <v/>
      </c>
      <c r="I105" s="49" t="str">
        <f>IF($A105="","",ROUND(SUMIFS(_EngineTrades!$Z$9:$Z$508,_EngineTrades!$AU$9:$AU$508,$A105),4))</f>
        <v/>
      </c>
      <c r="J105" s="45" t="str">
        <f t="shared" ref="J105:J136" si="24">IF($A105="","",$H105-$I105)</f>
        <v/>
      </c>
      <c r="K105" s="49" t="str">
        <f>IF($A105="","",ROUND(SUMIFS(_EngineTrades!$AA$9:$AA$508,_EngineTrades!$AU$9:$AU$508,$A105),4))</f>
        <v/>
      </c>
      <c r="L105" s="49" t="str">
        <f>IF($A105="","",ROUND(SUMIFS(_EngineTrades!$AB$9:$AB$508,_EngineTrades!$AU$9:$AU$508,$A105),4))</f>
        <v/>
      </c>
      <c r="M105" s="49" t="str">
        <f>IF($A105="","",ROUND(SUMIFS(_EngineTrades!$AC$9:$AC$508,_EngineTrades!$AU$9:$AU$508,$A105),4))</f>
        <v/>
      </c>
      <c r="N105" s="49" t="str">
        <f>IF($A105="","",ROUND(SUMIFS(_EngineTrades!$AD$9:$AD$508,_EngineTrades!$AU$9:$AU$508,$A105),4))</f>
        <v/>
      </c>
      <c r="O105" s="45" t="str">
        <f t="shared" ref="O105:O136" si="25">IF($A105="","",ROUND($J105+$K105-$L105-$M105+$N105,4))</f>
        <v/>
      </c>
      <c r="P105" s="61">
        <f>IF(OR($A105="",$E105&lt;&gt;"Open"),0,IFERROR(LOOKUP(2,1/(_EngineTrades!$AU$9:$AU$508=$A105),_EngineTrades!$AM$9:$AM$508),0))</f>
        <v>0</v>
      </c>
      <c r="Q105" s="49" t="str">
        <f>IF(OR($A105="",$P105=0),"",ROUND(IFERROR(LOOKUP(2,1/(_EngineTrades!$AU$9:$AU$508=$A105),_EngineTrades!$AN$9:$AN$508),0)/$P105,4))</f>
        <v/>
      </c>
      <c r="R105" s="49">
        <f>IF(OR($A105="",$E105&lt;&gt;"Open"),0,IFERROR(LOOKUP(2,1/(_EngineTrades!$AU$9:$AU$508=$A105),_EngineTrades!$AO$9:$AO$508),0))</f>
        <v>0</v>
      </c>
      <c r="S105" s="49">
        <f>IF(OR($A105="",$E105&lt;&gt;"Open"),0,ROUND($R105+IFERROR(LOOKUP(2,1/(_EngineTrades!$AU$9:$AU$508=$A105),_EngineTrades!$AN$9:$AN$508),0),4))</f>
        <v>0</v>
      </c>
      <c r="T105" s="49" t="str">
        <f>IF($A105="","",ROUND(IFERROR(LOOKUP(2,1/(_EngineTrades!$AU$9:$AU$508=$A105),_EngineTrades!$AT$9:$AT$508),0),4))</f>
        <v/>
      </c>
      <c r="U105" s="49" t="str">
        <f t="shared" ref="U105:U136" si="26">IF(AND($A105&lt;&gt;"",$E105="Open",$P105&gt;0),ROUND(-$O105/$P105,4),"")</f>
        <v/>
      </c>
      <c r="V105" s="49" t="str">
        <f>IF(AND($A105&lt;&gt;"",$E105="Open",$P105+N(IFERROR(LOOKUP(2,1/(_EngineTrades!$AU$9:$AU$508=$A105),_EngineTrades!$AP$9:$AP$508),0))&gt;0),ROUND(($R105-$O105)/($P105+N(IFERROR(LOOKUP(2,1/(_EngineTrades!$AU$9:$AU$508=$A105),_EngineTrades!$AP$9:$AP$508),0))),4),"")</f>
        <v/>
      </c>
      <c r="W105" s="64" t="str">
        <f>IF($A105="","",MAX(1,IF($G105="",_EngineTrades!$E$3-$F105,$G105-$F105)))</f>
        <v/>
      </c>
      <c r="X105" s="65" t="str">
        <f t="shared" ref="X105:X136" si="27">IF(OR($A105="",$T105=0),"",ROUND(IF($E105="Open",($J105+$K105-$L105)/$T105,$O105/$T105),6))</f>
        <v/>
      </c>
      <c r="Y105" s="65" t="str">
        <f t="shared" ref="Y105:Y136" si="28">IF(OR($A105="",$T105=0),"",ROUND(IF($E105="Open",($J105+$K105-$L105)/$T105,$O105/$T105)*365/$W105,6))</f>
        <v/>
      </c>
      <c r="Z105" s="44">
        <f>IF(Cycles!U105="",0,Cycles!U105)</f>
        <v>0</v>
      </c>
      <c r="AA105" s="44">
        <f>IF(Cycles!V105="",0,Cycles!V105)</f>
        <v>0</v>
      </c>
      <c r="AB105" s="44">
        <f>IF(Cycles!W105="",0,Cycles!W105)</f>
        <v>0</v>
      </c>
      <c r="AC105" s="44">
        <f>IF(Cycles!X105="",0,Cycles!X105)</f>
        <v>0</v>
      </c>
      <c r="AD105" s="49" t="str">
        <f t="shared" ref="AD105:AD136" si="29">IF(AND($A105&lt;&gt;"",$E105="Open",$P105&gt;0),ROUND($U105-IF($Z105&gt;=0,$Z105,0)+IF($AA105&gt;=0,$AA105,0)/$P105+IF(ISNUMBER($AB105),$AB105,0),4),"")</f>
        <v/>
      </c>
      <c r="AE105" s="49" t="str">
        <f t="shared" ref="AE105:AE136" si="30">IF($AD105="","",ROUND(MAX(0,IF($AC105&gt;0,ROUNDUP(ROUND($AD105/$AC105,9),0)*$AC105,$AD105)),4))</f>
        <v/>
      </c>
      <c r="AF105" s="49" t="str">
        <f t="shared" ref="AF105:AF136" si="31">IF($AE105="","",ROUND($P105*($AE105+IF($Z105&gt;=0,$Z105,0)-$U105)-IF($AA105&gt;=0,$AA105,0),4))</f>
        <v/>
      </c>
      <c r="AG105" t="str">
        <f>IFERROR(MATCH(ROWS($AG$9:AG105),_EngineTrades!$AW$9:$AW$508,0)+8,"")</f>
        <v/>
      </c>
    </row>
    <row r="106" spans="1:33" ht="15" x14ac:dyDescent="0.25">
      <c r="A106" s="66" t="str">
        <f>IF($AG106="","",IFERROR(INDEX(_EngineTrades!$AU$9:$AU$508,MATCH($AG106,_EngineTrades!$AV$9:$AV$508,0)),""))</f>
        <v/>
      </c>
      <c r="B106" s="66" t="str">
        <f>IF($A106="","",INDEX(_EngineTrades!$B$9:$B$508,MATCH($AG106,_EngineTrades!$AV$9:$AV$508,0)))</f>
        <v/>
      </c>
      <c r="C106" s="66" t="str">
        <f>IF($A106="","",INDEX(_EngineTrades!$T$9:$T$508,MATCH($AG106,_EngineTrades!$AV$9:$AV$508,0)))</f>
        <v/>
      </c>
      <c r="D106" s="67" t="str">
        <f>IF($A106="","",INDEX(_EngineTrades!$C$9:$C$508,MATCH($AG106,_EngineTrades!$AV$9:$AV$508,0)))</f>
        <v/>
      </c>
      <c r="E106" s="68" t="str">
        <f>IF($A106="","",IF(IFERROR(LOOKUP(2,1/(_EngineTrades!$AU$9:$AU$508=$A106),_EngineTrades!$AR$9:$AR$508),FALSE),"Closed","Open"))</f>
        <v/>
      </c>
      <c r="F106" s="69" t="str">
        <f>IF($A106="","",INDEX(_EngineTrades!$E$9:$E$508,$AG106-8))</f>
        <v/>
      </c>
      <c r="G106" s="69" t="str">
        <f>IF(OR($A106="",$E106&lt;&gt;"Closed"),"",IFERROR(INDEX(_EngineTrades!$E$9:$E$508,SUMIFS(_EngineTrades!$AX$9:$AX$508,_EngineTrades!$AU$9:$AU$508,$A106)-8),""))</f>
        <v/>
      </c>
      <c r="H106" s="70" t="str">
        <f>IF($A106="","",ROUND(SUMIFS(_EngineTrades!$Y$9:$Y$508,_EngineTrades!$AU$9:$AU$508,$A106),4))</f>
        <v/>
      </c>
      <c r="I106" s="70" t="str">
        <f>IF($A106="","",ROUND(SUMIFS(_EngineTrades!$Z$9:$Z$508,_EngineTrades!$AU$9:$AU$508,$A106),4))</f>
        <v/>
      </c>
      <c r="J106" s="71" t="str">
        <f t="shared" si="24"/>
        <v/>
      </c>
      <c r="K106" s="70" t="str">
        <f>IF($A106="","",ROUND(SUMIFS(_EngineTrades!$AA$9:$AA$508,_EngineTrades!$AU$9:$AU$508,$A106),4))</f>
        <v/>
      </c>
      <c r="L106" s="70" t="str">
        <f>IF($A106="","",ROUND(SUMIFS(_EngineTrades!$AB$9:$AB$508,_EngineTrades!$AU$9:$AU$508,$A106),4))</f>
        <v/>
      </c>
      <c r="M106" s="70" t="str">
        <f>IF($A106="","",ROUND(SUMIFS(_EngineTrades!$AC$9:$AC$508,_EngineTrades!$AU$9:$AU$508,$A106),4))</f>
        <v/>
      </c>
      <c r="N106" s="70" t="str">
        <f>IF($A106="","",ROUND(SUMIFS(_EngineTrades!$AD$9:$AD$508,_EngineTrades!$AU$9:$AU$508,$A106),4))</f>
        <v/>
      </c>
      <c r="O106" s="71" t="str">
        <f t="shared" si="25"/>
        <v/>
      </c>
      <c r="P106" s="66">
        <f>IF(OR($A106="",$E106&lt;&gt;"Open"),0,IFERROR(LOOKUP(2,1/(_EngineTrades!$AU$9:$AU$508=$A106),_EngineTrades!$AM$9:$AM$508),0))</f>
        <v>0</v>
      </c>
      <c r="Q106" s="70" t="str">
        <f>IF(OR($A106="",$P106=0),"",ROUND(IFERROR(LOOKUP(2,1/(_EngineTrades!$AU$9:$AU$508=$A106),_EngineTrades!$AN$9:$AN$508),0)/$P106,4))</f>
        <v/>
      </c>
      <c r="R106" s="70">
        <f>IF(OR($A106="",$E106&lt;&gt;"Open"),0,IFERROR(LOOKUP(2,1/(_EngineTrades!$AU$9:$AU$508=$A106),_EngineTrades!$AO$9:$AO$508),0))</f>
        <v>0</v>
      </c>
      <c r="S106" s="70">
        <f>IF(OR($A106="",$E106&lt;&gt;"Open"),0,ROUND($R106+IFERROR(LOOKUP(2,1/(_EngineTrades!$AU$9:$AU$508=$A106),_EngineTrades!$AN$9:$AN$508),0),4))</f>
        <v>0</v>
      </c>
      <c r="T106" s="70" t="str">
        <f>IF($A106="","",ROUND(IFERROR(LOOKUP(2,1/(_EngineTrades!$AU$9:$AU$508=$A106),_EngineTrades!$AT$9:$AT$508),0),4))</f>
        <v/>
      </c>
      <c r="U106" s="70" t="str">
        <f t="shared" si="26"/>
        <v/>
      </c>
      <c r="V106" s="70" t="str">
        <f>IF(AND($A106&lt;&gt;"",$E106="Open",$P106+N(IFERROR(LOOKUP(2,1/(_EngineTrades!$AU$9:$AU$508=$A106),_EngineTrades!$AP$9:$AP$508),0))&gt;0),ROUND(($R106-$O106)/($P106+N(IFERROR(LOOKUP(2,1/(_EngineTrades!$AU$9:$AU$508=$A106),_EngineTrades!$AP$9:$AP$508),0))),4),"")</f>
        <v/>
      </c>
      <c r="W106" s="72" t="str">
        <f>IF($A106="","",MAX(1,IF($G106="",_EngineTrades!$E$3-$F106,$G106-$F106)))</f>
        <v/>
      </c>
      <c r="X106" s="73" t="str">
        <f t="shared" si="27"/>
        <v/>
      </c>
      <c r="Y106" s="73" t="str">
        <f t="shared" si="28"/>
        <v/>
      </c>
      <c r="Z106" s="44">
        <f>IF(Cycles!U106="",0,Cycles!U106)</f>
        <v>0</v>
      </c>
      <c r="AA106" s="44">
        <f>IF(Cycles!V106="",0,Cycles!V106)</f>
        <v>0</v>
      </c>
      <c r="AB106" s="44">
        <f>IF(Cycles!W106="",0,Cycles!W106)</f>
        <v>0</v>
      </c>
      <c r="AC106" s="44">
        <f>IF(Cycles!X106="",0,Cycles!X106)</f>
        <v>0</v>
      </c>
      <c r="AD106" s="70" t="str">
        <f t="shared" si="29"/>
        <v/>
      </c>
      <c r="AE106" s="70" t="str">
        <f t="shared" si="30"/>
        <v/>
      </c>
      <c r="AF106" s="70" t="str">
        <f t="shared" si="31"/>
        <v/>
      </c>
      <c r="AG106" t="str">
        <f>IFERROR(MATCH(ROWS($AG$9:AG106),_EngineTrades!$AW$9:$AW$508,0)+8,"")</f>
        <v/>
      </c>
    </row>
    <row r="107" spans="1:33" ht="15" x14ac:dyDescent="0.25">
      <c r="A107" s="61" t="str">
        <f>IF($AG107="","",IFERROR(INDEX(_EngineTrades!$AU$9:$AU$508,MATCH($AG107,_EngineTrades!$AV$9:$AV$508,0)),""))</f>
        <v/>
      </c>
      <c r="B107" s="61" t="str">
        <f>IF($A107="","",INDEX(_EngineTrades!$B$9:$B$508,MATCH($AG107,_EngineTrades!$AV$9:$AV$508,0)))</f>
        <v/>
      </c>
      <c r="C107" s="61" t="str">
        <f>IF($A107="","",INDEX(_EngineTrades!$T$9:$T$508,MATCH($AG107,_EngineTrades!$AV$9:$AV$508,0)))</f>
        <v/>
      </c>
      <c r="D107" s="47" t="str">
        <f>IF($A107="","",INDEX(_EngineTrades!$C$9:$C$508,MATCH($AG107,_EngineTrades!$AV$9:$AV$508,0)))</f>
        <v/>
      </c>
      <c r="E107" s="62" t="str">
        <f>IF($A107="","",IF(IFERROR(LOOKUP(2,1/(_EngineTrades!$AU$9:$AU$508=$A107),_EngineTrades!$AR$9:$AR$508),FALSE),"Closed","Open"))</f>
        <v/>
      </c>
      <c r="F107" s="63" t="str">
        <f>IF($A107="","",INDEX(_EngineTrades!$E$9:$E$508,$AG107-8))</f>
        <v/>
      </c>
      <c r="G107" s="63" t="str">
        <f>IF(OR($A107="",$E107&lt;&gt;"Closed"),"",IFERROR(INDEX(_EngineTrades!$E$9:$E$508,SUMIFS(_EngineTrades!$AX$9:$AX$508,_EngineTrades!$AU$9:$AU$508,$A107)-8),""))</f>
        <v/>
      </c>
      <c r="H107" s="49" t="str">
        <f>IF($A107="","",ROUND(SUMIFS(_EngineTrades!$Y$9:$Y$508,_EngineTrades!$AU$9:$AU$508,$A107),4))</f>
        <v/>
      </c>
      <c r="I107" s="49" t="str">
        <f>IF($A107="","",ROUND(SUMIFS(_EngineTrades!$Z$9:$Z$508,_EngineTrades!$AU$9:$AU$508,$A107),4))</f>
        <v/>
      </c>
      <c r="J107" s="45" t="str">
        <f t="shared" si="24"/>
        <v/>
      </c>
      <c r="K107" s="49" t="str">
        <f>IF($A107="","",ROUND(SUMIFS(_EngineTrades!$AA$9:$AA$508,_EngineTrades!$AU$9:$AU$508,$A107),4))</f>
        <v/>
      </c>
      <c r="L107" s="49" t="str">
        <f>IF($A107="","",ROUND(SUMIFS(_EngineTrades!$AB$9:$AB$508,_EngineTrades!$AU$9:$AU$508,$A107),4))</f>
        <v/>
      </c>
      <c r="M107" s="49" t="str">
        <f>IF($A107="","",ROUND(SUMIFS(_EngineTrades!$AC$9:$AC$508,_EngineTrades!$AU$9:$AU$508,$A107),4))</f>
        <v/>
      </c>
      <c r="N107" s="49" t="str">
        <f>IF($A107="","",ROUND(SUMIFS(_EngineTrades!$AD$9:$AD$508,_EngineTrades!$AU$9:$AU$508,$A107),4))</f>
        <v/>
      </c>
      <c r="O107" s="45" t="str">
        <f t="shared" si="25"/>
        <v/>
      </c>
      <c r="P107" s="61">
        <f>IF(OR($A107="",$E107&lt;&gt;"Open"),0,IFERROR(LOOKUP(2,1/(_EngineTrades!$AU$9:$AU$508=$A107),_EngineTrades!$AM$9:$AM$508),0))</f>
        <v>0</v>
      </c>
      <c r="Q107" s="49" t="str">
        <f>IF(OR($A107="",$P107=0),"",ROUND(IFERROR(LOOKUP(2,1/(_EngineTrades!$AU$9:$AU$508=$A107),_EngineTrades!$AN$9:$AN$508),0)/$P107,4))</f>
        <v/>
      </c>
      <c r="R107" s="49">
        <f>IF(OR($A107="",$E107&lt;&gt;"Open"),0,IFERROR(LOOKUP(2,1/(_EngineTrades!$AU$9:$AU$508=$A107),_EngineTrades!$AO$9:$AO$508),0))</f>
        <v>0</v>
      </c>
      <c r="S107" s="49">
        <f>IF(OR($A107="",$E107&lt;&gt;"Open"),0,ROUND($R107+IFERROR(LOOKUP(2,1/(_EngineTrades!$AU$9:$AU$508=$A107),_EngineTrades!$AN$9:$AN$508),0),4))</f>
        <v>0</v>
      </c>
      <c r="T107" s="49" t="str">
        <f>IF($A107="","",ROUND(IFERROR(LOOKUP(2,1/(_EngineTrades!$AU$9:$AU$508=$A107),_EngineTrades!$AT$9:$AT$508),0),4))</f>
        <v/>
      </c>
      <c r="U107" s="49" t="str">
        <f t="shared" si="26"/>
        <v/>
      </c>
      <c r="V107" s="49" t="str">
        <f>IF(AND($A107&lt;&gt;"",$E107="Open",$P107+N(IFERROR(LOOKUP(2,1/(_EngineTrades!$AU$9:$AU$508=$A107),_EngineTrades!$AP$9:$AP$508),0))&gt;0),ROUND(($R107-$O107)/($P107+N(IFERROR(LOOKUP(2,1/(_EngineTrades!$AU$9:$AU$508=$A107),_EngineTrades!$AP$9:$AP$508),0))),4),"")</f>
        <v/>
      </c>
      <c r="W107" s="64" t="str">
        <f>IF($A107="","",MAX(1,IF($G107="",_EngineTrades!$E$3-$F107,$G107-$F107)))</f>
        <v/>
      </c>
      <c r="X107" s="65" t="str">
        <f t="shared" si="27"/>
        <v/>
      </c>
      <c r="Y107" s="65" t="str">
        <f t="shared" si="28"/>
        <v/>
      </c>
      <c r="Z107" s="44">
        <f>IF(Cycles!U107="",0,Cycles!U107)</f>
        <v>0</v>
      </c>
      <c r="AA107" s="44">
        <f>IF(Cycles!V107="",0,Cycles!V107)</f>
        <v>0</v>
      </c>
      <c r="AB107" s="44">
        <f>IF(Cycles!W107="",0,Cycles!W107)</f>
        <v>0</v>
      </c>
      <c r="AC107" s="44">
        <f>IF(Cycles!X107="",0,Cycles!X107)</f>
        <v>0</v>
      </c>
      <c r="AD107" s="49" t="str">
        <f t="shared" si="29"/>
        <v/>
      </c>
      <c r="AE107" s="49" t="str">
        <f t="shared" si="30"/>
        <v/>
      </c>
      <c r="AF107" s="49" t="str">
        <f t="shared" si="31"/>
        <v/>
      </c>
      <c r="AG107" t="str">
        <f>IFERROR(MATCH(ROWS($AG$9:AG107),_EngineTrades!$AW$9:$AW$508,0)+8,"")</f>
        <v/>
      </c>
    </row>
    <row r="108" spans="1:33" ht="15" x14ac:dyDescent="0.25">
      <c r="A108" s="66" t="str">
        <f>IF($AG108="","",IFERROR(INDEX(_EngineTrades!$AU$9:$AU$508,MATCH($AG108,_EngineTrades!$AV$9:$AV$508,0)),""))</f>
        <v/>
      </c>
      <c r="B108" s="66" t="str">
        <f>IF($A108="","",INDEX(_EngineTrades!$B$9:$B$508,MATCH($AG108,_EngineTrades!$AV$9:$AV$508,0)))</f>
        <v/>
      </c>
      <c r="C108" s="66" t="str">
        <f>IF($A108="","",INDEX(_EngineTrades!$T$9:$T$508,MATCH($AG108,_EngineTrades!$AV$9:$AV$508,0)))</f>
        <v/>
      </c>
      <c r="D108" s="67" t="str">
        <f>IF($A108="","",INDEX(_EngineTrades!$C$9:$C$508,MATCH($AG108,_EngineTrades!$AV$9:$AV$508,0)))</f>
        <v/>
      </c>
      <c r="E108" s="68" t="str">
        <f>IF($A108="","",IF(IFERROR(LOOKUP(2,1/(_EngineTrades!$AU$9:$AU$508=$A108),_EngineTrades!$AR$9:$AR$508),FALSE),"Closed","Open"))</f>
        <v/>
      </c>
      <c r="F108" s="69" t="str">
        <f>IF($A108="","",INDEX(_EngineTrades!$E$9:$E$508,$AG108-8))</f>
        <v/>
      </c>
      <c r="G108" s="69" t="str">
        <f>IF(OR($A108="",$E108&lt;&gt;"Closed"),"",IFERROR(INDEX(_EngineTrades!$E$9:$E$508,SUMIFS(_EngineTrades!$AX$9:$AX$508,_EngineTrades!$AU$9:$AU$508,$A108)-8),""))</f>
        <v/>
      </c>
      <c r="H108" s="70" t="str">
        <f>IF($A108="","",ROUND(SUMIFS(_EngineTrades!$Y$9:$Y$508,_EngineTrades!$AU$9:$AU$508,$A108),4))</f>
        <v/>
      </c>
      <c r="I108" s="70" t="str">
        <f>IF($A108="","",ROUND(SUMIFS(_EngineTrades!$Z$9:$Z$508,_EngineTrades!$AU$9:$AU$508,$A108),4))</f>
        <v/>
      </c>
      <c r="J108" s="71" t="str">
        <f t="shared" si="24"/>
        <v/>
      </c>
      <c r="K108" s="70" t="str">
        <f>IF($A108="","",ROUND(SUMIFS(_EngineTrades!$AA$9:$AA$508,_EngineTrades!$AU$9:$AU$508,$A108),4))</f>
        <v/>
      </c>
      <c r="L108" s="70" t="str">
        <f>IF($A108="","",ROUND(SUMIFS(_EngineTrades!$AB$9:$AB$508,_EngineTrades!$AU$9:$AU$508,$A108),4))</f>
        <v/>
      </c>
      <c r="M108" s="70" t="str">
        <f>IF($A108="","",ROUND(SUMIFS(_EngineTrades!$AC$9:$AC$508,_EngineTrades!$AU$9:$AU$508,$A108),4))</f>
        <v/>
      </c>
      <c r="N108" s="70" t="str">
        <f>IF($A108="","",ROUND(SUMIFS(_EngineTrades!$AD$9:$AD$508,_EngineTrades!$AU$9:$AU$508,$A108),4))</f>
        <v/>
      </c>
      <c r="O108" s="71" t="str">
        <f t="shared" si="25"/>
        <v/>
      </c>
      <c r="P108" s="66">
        <f>IF(OR($A108="",$E108&lt;&gt;"Open"),0,IFERROR(LOOKUP(2,1/(_EngineTrades!$AU$9:$AU$508=$A108),_EngineTrades!$AM$9:$AM$508),0))</f>
        <v>0</v>
      </c>
      <c r="Q108" s="70" t="str">
        <f>IF(OR($A108="",$P108=0),"",ROUND(IFERROR(LOOKUP(2,1/(_EngineTrades!$AU$9:$AU$508=$A108),_EngineTrades!$AN$9:$AN$508),0)/$P108,4))</f>
        <v/>
      </c>
      <c r="R108" s="70">
        <f>IF(OR($A108="",$E108&lt;&gt;"Open"),0,IFERROR(LOOKUP(2,1/(_EngineTrades!$AU$9:$AU$508=$A108),_EngineTrades!$AO$9:$AO$508),0))</f>
        <v>0</v>
      </c>
      <c r="S108" s="70">
        <f>IF(OR($A108="",$E108&lt;&gt;"Open"),0,ROUND($R108+IFERROR(LOOKUP(2,1/(_EngineTrades!$AU$9:$AU$508=$A108),_EngineTrades!$AN$9:$AN$508),0),4))</f>
        <v>0</v>
      </c>
      <c r="T108" s="70" t="str">
        <f>IF($A108="","",ROUND(IFERROR(LOOKUP(2,1/(_EngineTrades!$AU$9:$AU$508=$A108),_EngineTrades!$AT$9:$AT$508),0),4))</f>
        <v/>
      </c>
      <c r="U108" s="70" t="str">
        <f t="shared" si="26"/>
        <v/>
      </c>
      <c r="V108" s="70" t="str">
        <f>IF(AND($A108&lt;&gt;"",$E108="Open",$P108+N(IFERROR(LOOKUP(2,1/(_EngineTrades!$AU$9:$AU$508=$A108),_EngineTrades!$AP$9:$AP$508),0))&gt;0),ROUND(($R108-$O108)/($P108+N(IFERROR(LOOKUP(2,1/(_EngineTrades!$AU$9:$AU$508=$A108),_EngineTrades!$AP$9:$AP$508),0))),4),"")</f>
        <v/>
      </c>
      <c r="W108" s="72" t="str">
        <f>IF($A108="","",MAX(1,IF($G108="",_EngineTrades!$E$3-$F108,$G108-$F108)))</f>
        <v/>
      </c>
      <c r="X108" s="73" t="str">
        <f t="shared" si="27"/>
        <v/>
      </c>
      <c r="Y108" s="73" t="str">
        <f t="shared" si="28"/>
        <v/>
      </c>
      <c r="Z108" s="44">
        <f>IF(Cycles!U108="",0,Cycles!U108)</f>
        <v>0</v>
      </c>
      <c r="AA108" s="44">
        <f>IF(Cycles!V108="",0,Cycles!V108)</f>
        <v>0</v>
      </c>
      <c r="AB108" s="44">
        <f>IF(Cycles!W108="",0,Cycles!W108)</f>
        <v>0</v>
      </c>
      <c r="AC108" s="44">
        <f>IF(Cycles!X108="",0,Cycles!X108)</f>
        <v>0</v>
      </c>
      <c r="AD108" s="70" t="str">
        <f t="shared" si="29"/>
        <v/>
      </c>
      <c r="AE108" s="70" t="str">
        <f t="shared" si="30"/>
        <v/>
      </c>
      <c r="AF108" s="70" t="str">
        <f t="shared" si="31"/>
        <v/>
      </c>
      <c r="AG108" t="str">
        <f>IFERROR(MATCH(ROWS($AG$9:AG108),_EngineTrades!$AW$9:$AW$508,0)+8,"")</f>
        <v/>
      </c>
    </row>
    <row r="109" spans="1:33" ht="15" x14ac:dyDescent="0.25">
      <c r="A109" s="61" t="str">
        <f>IF($AG109="","",IFERROR(INDEX(_EngineTrades!$AU$9:$AU$508,MATCH($AG109,_EngineTrades!$AV$9:$AV$508,0)),""))</f>
        <v/>
      </c>
      <c r="B109" s="61" t="str">
        <f>IF($A109="","",INDEX(_EngineTrades!$B$9:$B$508,MATCH($AG109,_EngineTrades!$AV$9:$AV$508,0)))</f>
        <v/>
      </c>
      <c r="C109" s="61" t="str">
        <f>IF($A109="","",INDEX(_EngineTrades!$T$9:$T$508,MATCH($AG109,_EngineTrades!$AV$9:$AV$508,0)))</f>
        <v/>
      </c>
      <c r="D109" s="47" t="str">
        <f>IF($A109="","",INDEX(_EngineTrades!$C$9:$C$508,MATCH($AG109,_EngineTrades!$AV$9:$AV$508,0)))</f>
        <v/>
      </c>
      <c r="E109" s="62" t="str">
        <f>IF($A109="","",IF(IFERROR(LOOKUP(2,1/(_EngineTrades!$AU$9:$AU$508=$A109),_EngineTrades!$AR$9:$AR$508),FALSE),"Closed","Open"))</f>
        <v/>
      </c>
      <c r="F109" s="63" t="str">
        <f>IF($A109="","",INDEX(_EngineTrades!$E$9:$E$508,$AG109-8))</f>
        <v/>
      </c>
      <c r="G109" s="63" t="str">
        <f>IF(OR($A109="",$E109&lt;&gt;"Closed"),"",IFERROR(INDEX(_EngineTrades!$E$9:$E$508,SUMIFS(_EngineTrades!$AX$9:$AX$508,_EngineTrades!$AU$9:$AU$508,$A109)-8),""))</f>
        <v/>
      </c>
      <c r="H109" s="49" t="str">
        <f>IF($A109="","",ROUND(SUMIFS(_EngineTrades!$Y$9:$Y$508,_EngineTrades!$AU$9:$AU$508,$A109),4))</f>
        <v/>
      </c>
      <c r="I109" s="49" t="str">
        <f>IF($A109="","",ROUND(SUMIFS(_EngineTrades!$Z$9:$Z$508,_EngineTrades!$AU$9:$AU$508,$A109),4))</f>
        <v/>
      </c>
      <c r="J109" s="45" t="str">
        <f t="shared" si="24"/>
        <v/>
      </c>
      <c r="K109" s="49" t="str">
        <f>IF($A109="","",ROUND(SUMIFS(_EngineTrades!$AA$9:$AA$508,_EngineTrades!$AU$9:$AU$508,$A109),4))</f>
        <v/>
      </c>
      <c r="L109" s="49" t="str">
        <f>IF($A109="","",ROUND(SUMIFS(_EngineTrades!$AB$9:$AB$508,_EngineTrades!$AU$9:$AU$508,$A109),4))</f>
        <v/>
      </c>
      <c r="M109" s="49" t="str">
        <f>IF($A109="","",ROUND(SUMIFS(_EngineTrades!$AC$9:$AC$508,_EngineTrades!$AU$9:$AU$508,$A109),4))</f>
        <v/>
      </c>
      <c r="N109" s="49" t="str">
        <f>IF($A109="","",ROUND(SUMIFS(_EngineTrades!$AD$9:$AD$508,_EngineTrades!$AU$9:$AU$508,$A109),4))</f>
        <v/>
      </c>
      <c r="O109" s="45" t="str">
        <f t="shared" si="25"/>
        <v/>
      </c>
      <c r="P109" s="61">
        <f>IF(OR($A109="",$E109&lt;&gt;"Open"),0,IFERROR(LOOKUP(2,1/(_EngineTrades!$AU$9:$AU$508=$A109),_EngineTrades!$AM$9:$AM$508),0))</f>
        <v>0</v>
      </c>
      <c r="Q109" s="49" t="str">
        <f>IF(OR($A109="",$P109=0),"",ROUND(IFERROR(LOOKUP(2,1/(_EngineTrades!$AU$9:$AU$508=$A109),_EngineTrades!$AN$9:$AN$508),0)/$P109,4))</f>
        <v/>
      </c>
      <c r="R109" s="49">
        <f>IF(OR($A109="",$E109&lt;&gt;"Open"),0,IFERROR(LOOKUP(2,1/(_EngineTrades!$AU$9:$AU$508=$A109),_EngineTrades!$AO$9:$AO$508),0))</f>
        <v>0</v>
      </c>
      <c r="S109" s="49">
        <f>IF(OR($A109="",$E109&lt;&gt;"Open"),0,ROUND($R109+IFERROR(LOOKUP(2,1/(_EngineTrades!$AU$9:$AU$508=$A109),_EngineTrades!$AN$9:$AN$508),0),4))</f>
        <v>0</v>
      </c>
      <c r="T109" s="49" t="str">
        <f>IF($A109="","",ROUND(IFERROR(LOOKUP(2,1/(_EngineTrades!$AU$9:$AU$508=$A109),_EngineTrades!$AT$9:$AT$508),0),4))</f>
        <v/>
      </c>
      <c r="U109" s="49" t="str">
        <f t="shared" si="26"/>
        <v/>
      </c>
      <c r="V109" s="49" t="str">
        <f>IF(AND($A109&lt;&gt;"",$E109="Open",$P109+N(IFERROR(LOOKUP(2,1/(_EngineTrades!$AU$9:$AU$508=$A109),_EngineTrades!$AP$9:$AP$508),0))&gt;0),ROUND(($R109-$O109)/($P109+N(IFERROR(LOOKUP(2,1/(_EngineTrades!$AU$9:$AU$508=$A109),_EngineTrades!$AP$9:$AP$508),0))),4),"")</f>
        <v/>
      </c>
      <c r="W109" s="64" t="str">
        <f>IF($A109="","",MAX(1,IF($G109="",_EngineTrades!$E$3-$F109,$G109-$F109)))</f>
        <v/>
      </c>
      <c r="X109" s="65" t="str">
        <f t="shared" si="27"/>
        <v/>
      </c>
      <c r="Y109" s="65" t="str">
        <f t="shared" si="28"/>
        <v/>
      </c>
      <c r="Z109" s="44">
        <f>IF(Cycles!U109="",0,Cycles!U109)</f>
        <v>0</v>
      </c>
      <c r="AA109" s="44">
        <f>IF(Cycles!V109="",0,Cycles!V109)</f>
        <v>0</v>
      </c>
      <c r="AB109" s="44">
        <f>IF(Cycles!W109="",0,Cycles!W109)</f>
        <v>0</v>
      </c>
      <c r="AC109" s="44">
        <f>IF(Cycles!X109="",0,Cycles!X109)</f>
        <v>0</v>
      </c>
      <c r="AD109" s="49" t="str">
        <f t="shared" si="29"/>
        <v/>
      </c>
      <c r="AE109" s="49" t="str">
        <f t="shared" si="30"/>
        <v/>
      </c>
      <c r="AF109" s="49" t="str">
        <f t="shared" si="31"/>
        <v/>
      </c>
      <c r="AG109" t="str">
        <f>IFERROR(MATCH(ROWS($AG$9:AG109),_EngineTrades!$AW$9:$AW$508,0)+8,"")</f>
        <v/>
      </c>
    </row>
    <row r="110" spans="1:33" ht="15" x14ac:dyDescent="0.25">
      <c r="A110" s="66" t="str">
        <f>IF($AG110="","",IFERROR(INDEX(_EngineTrades!$AU$9:$AU$508,MATCH($AG110,_EngineTrades!$AV$9:$AV$508,0)),""))</f>
        <v/>
      </c>
      <c r="B110" s="66" t="str">
        <f>IF($A110="","",INDEX(_EngineTrades!$B$9:$B$508,MATCH($AG110,_EngineTrades!$AV$9:$AV$508,0)))</f>
        <v/>
      </c>
      <c r="C110" s="66" t="str">
        <f>IF($A110="","",INDEX(_EngineTrades!$T$9:$T$508,MATCH($AG110,_EngineTrades!$AV$9:$AV$508,0)))</f>
        <v/>
      </c>
      <c r="D110" s="67" t="str">
        <f>IF($A110="","",INDEX(_EngineTrades!$C$9:$C$508,MATCH($AG110,_EngineTrades!$AV$9:$AV$508,0)))</f>
        <v/>
      </c>
      <c r="E110" s="68" t="str">
        <f>IF($A110="","",IF(IFERROR(LOOKUP(2,1/(_EngineTrades!$AU$9:$AU$508=$A110),_EngineTrades!$AR$9:$AR$508),FALSE),"Closed","Open"))</f>
        <v/>
      </c>
      <c r="F110" s="69" t="str">
        <f>IF($A110="","",INDEX(_EngineTrades!$E$9:$E$508,$AG110-8))</f>
        <v/>
      </c>
      <c r="G110" s="69" t="str">
        <f>IF(OR($A110="",$E110&lt;&gt;"Closed"),"",IFERROR(INDEX(_EngineTrades!$E$9:$E$508,SUMIFS(_EngineTrades!$AX$9:$AX$508,_EngineTrades!$AU$9:$AU$508,$A110)-8),""))</f>
        <v/>
      </c>
      <c r="H110" s="70" t="str">
        <f>IF($A110="","",ROUND(SUMIFS(_EngineTrades!$Y$9:$Y$508,_EngineTrades!$AU$9:$AU$508,$A110),4))</f>
        <v/>
      </c>
      <c r="I110" s="70" t="str">
        <f>IF($A110="","",ROUND(SUMIFS(_EngineTrades!$Z$9:$Z$508,_EngineTrades!$AU$9:$AU$508,$A110),4))</f>
        <v/>
      </c>
      <c r="J110" s="71" t="str">
        <f t="shared" si="24"/>
        <v/>
      </c>
      <c r="K110" s="70" t="str">
        <f>IF($A110="","",ROUND(SUMIFS(_EngineTrades!$AA$9:$AA$508,_EngineTrades!$AU$9:$AU$508,$A110),4))</f>
        <v/>
      </c>
      <c r="L110" s="70" t="str">
        <f>IF($A110="","",ROUND(SUMIFS(_EngineTrades!$AB$9:$AB$508,_EngineTrades!$AU$9:$AU$508,$A110),4))</f>
        <v/>
      </c>
      <c r="M110" s="70" t="str">
        <f>IF($A110="","",ROUND(SUMIFS(_EngineTrades!$AC$9:$AC$508,_EngineTrades!$AU$9:$AU$508,$A110),4))</f>
        <v/>
      </c>
      <c r="N110" s="70" t="str">
        <f>IF($A110="","",ROUND(SUMIFS(_EngineTrades!$AD$9:$AD$508,_EngineTrades!$AU$9:$AU$508,$A110),4))</f>
        <v/>
      </c>
      <c r="O110" s="71" t="str">
        <f t="shared" si="25"/>
        <v/>
      </c>
      <c r="P110" s="66">
        <f>IF(OR($A110="",$E110&lt;&gt;"Open"),0,IFERROR(LOOKUP(2,1/(_EngineTrades!$AU$9:$AU$508=$A110),_EngineTrades!$AM$9:$AM$508),0))</f>
        <v>0</v>
      </c>
      <c r="Q110" s="70" t="str">
        <f>IF(OR($A110="",$P110=0),"",ROUND(IFERROR(LOOKUP(2,1/(_EngineTrades!$AU$9:$AU$508=$A110),_EngineTrades!$AN$9:$AN$508),0)/$P110,4))</f>
        <v/>
      </c>
      <c r="R110" s="70">
        <f>IF(OR($A110="",$E110&lt;&gt;"Open"),0,IFERROR(LOOKUP(2,1/(_EngineTrades!$AU$9:$AU$508=$A110),_EngineTrades!$AO$9:$AO$508),0))</f>
        <v>0</v>
      </c>
      <c r="S110" s="70">
        <f>IF(OR($A110="",$E110&lt;&gt;"Open"),0,ROUND($R110+IFERROR(LOOKUP(2,1/(_EngineTrades!$AU$9:$AU$508=$A110),_EngineTrades!$AN$9:$AN$508),0),4))</f>
        <v>0</v>
      </c>
      <c r="T110" s="70" t="str">
        <f>IF($A110="","",ROUND(IFERROR(LOOKUP(2,1/(_EngineTrades!$AU$9:$AU$508=$A110),_EngineTrades!$AT$9:$AT$508),0),4))</f>
        <v/>
      </c>
      <c r="U110" s="70" t="str">
        <f t="shared" si="26"/>
        <v/>
      </c>
      <c r="V110" s="70" t="str">
        <f>IF(AND($A110&lt;&gt;"",$E110="Open",$P110+N(IFERROR(LOOKUP(2,1/(_EngineTrades!$AU$9:$AU$508=$A110),_EngineTrades!$AP$9:$AP$508),0))&gt;0),ROUND(($R110-$O110)/($P110+N(IFERROR(LOOKUP(2,1/(_EngineTrades!$AU$9:$AU$508=$A110),_EngineTrades!$AP$9:$AP$508),0))),4),"")</f>
        <v/>
      </c>
      <c r="W110" s="72" t="str">
        <f>IF($A110="","",MAX(1,IF($G110="",_EngineTrades!$E$3-$F110,$G110-$F110)))</f>
        <v/>
      </c>
      <c r="X110" s="73" t="str">
        <f t="shared" si="27"/>
        <v/>
      </c>
      <c r="Y110" s="73" t="str">
        <f t="shared" si="28"/>
        <v/>
      </c>
      <c r="Z110" s="44">
        <f>IF(Cycles!U110="",0,Cycles!U110)</f>
        <v>0</v>
      </c>
      <c r="AA110" s="44">
        <f>IF(Cycles!V110="",0,Cycles!V110)</f>
        <v>0</v>
      </c>
      <c r="AB110" s="44">
        <f>IF(Cycles!W110="",0,Cycles!W110)</f>
        <v>0</v>
      </c>
      <c r="AC110" s="44">
        <f>IF(Cycles!X110="",0,Cycles!X110)</f>
        <v>0</v>
      </c>
      <c r="AD110" s="70" t="str">
        <f t="shared" si="29"/>
        <v/>
      </c>
      <c r="AE110" s="70" t="str">
        <f t="shared" si="30"/>
        <v/>
      </c>
      <c r="AF110" s="70" t="str">
        <f t="shared" si="31"/>
        <v/>
      </c>
      <c r="AG110" t="str">
        <f>IFERROR(MATCH(ROWS($AG$9:AG110),_EngineTrades!$AW$9:$AW$508,0)+8,"")</f>
        <v/>
      </c>
    </row>
    <row r="111" spans="1:33" ht="15" x14ac:dyDescent="0.25">
      <c r="A111" s="61" t="str">
        <f>IF($AG111="","",IFERROR(INDEX(_EngineTrades!$AU$9:$AU$508,MATCH($AG111,_EngineTrades!$AV$9:$AV$508,0)),""))</f>
        <v/>
      </c>
      <c r="B111" s="61" t="str">
        <f>IF($A111="","",INDEX(_EngineTrades!$B$9:$B$508,MATCH($AG111,_EngineTrades!$AV$9:$AV$508,0)))</f>
        <v/>
      </c>
      <c r="C111" s="61" t="str">
        <f>IF($A111="","",INDEX(_EngineTrades!$T$9:$T$508,MATCH($AG111,_EngineTrades!$AV$9:$AV$508,0)))</f>
        <v/>
      </c>
      <c r="D111" s="47" t="str">
        <f>IF($A111="","",INDEX(_EngineTrades!$C$9:$C$508,MATCH($AG111,_EngineTrades!$AV$9:$AV$508,0)))</f>
        <v/>
      </c>
      <c r="E111" s="62" t="str">
        <f>IF($A111="","",IF(IFERROR(LOOKUP(2,1/(_EngineTrades!$AU$9:$AU$508=$A111),_EngineTrades!$AR$9:$AR$508),FALSE),"Closed","Open"))</f>
        <v/>
      </c>
      <c r="F111" s="63" t="str">
        <f>IF($A111="","",INDEX(_EngineTrades!$E$9:$E$508,$AG111-8))</f>
        <v/>
      </c>
      <c r="G111" s="63" t="str">
        <f>IF(OR($A111="",$E111&lt;&gt;"Closed"),"",IFERROR(INDEX(_EngineTrades!$E$9:$E$508,SUMIFS(_EngineTrades!$AX$9:$AX$508,_EngineTrades!$AU$9:$AU$508,$A111)-8),""))</f>
        <v/>
      </c>
      <c r="H111" s="49" t="str">
        <f>IF($A111="","",ROUND(SUMIFS(_EngineTrades!$Y$9:$Y$508,_EngineTrades!$AU$9:$AU$508,$A111),4))</f>
        <v/>
      </c>
      <c r="I111" s="49" t="str">
        <f>IF($A111="","",ROUND(SUMIFS(_EngineTrades!$Z$9:$Z$508,_EngineTrades!$AU$9:$AU$508,$A111),4))</f>
        <v/>
      </c>
      <c r="J111" s="45" t="str">
        <f t="shared" si="24"/>
        <v/>
      </c>
      <c r="K111" s="49" t="str">
        <f>IF($A111="","",ROUND(SUMIFS(_EngineTrades!$AA$9:$AA$508,_EngineTrades!$AU$9:$AU$508,$A111),4))</f>
        <v/>
      </c>
      <c r="L111" s="49" t="str">
        <f>IF($A111="","",ROUND(SUMIFS(_EngineTrades!$AB$9:$AB$508,_EngineTrades!$AU$9:$AU$508,$A111),4))</f>
        <v/>
      </c>
      <c r="M111" s="49" t="str">
        <f>IF($A111="","",ROUND(SUMIFS(_EngineTrades!$AC$9:$AC$508,_EngineTrades!$AU$9:$AU$508,$A111),4))</f>
        <v/>
      </c>
      <c r="N111" s="49" t="str">
        <f>IF($A111="","",ROUND(SUMIFS(_EngineTrades!$AD$9:$AD$508,_EngineTrades!$AU$9:$AU$508,$A111),4))</f>
        <v/>
      </c>
      <c r="O111" s="45" t="str">
        <f t="shared" si="25"/>
        <v/>
      </c>
      <c r="P111" s="61">
        <f>IF(OR($A111="",$E111&lt;&gt;"Open"),0,IFERROR(LOOKUP(2,1/(_EngineTrades!$AU$9:$AU$508=$A111),_EngineTrades!$AM$9:$AM$508),0))</f>
        <v>0</v>
      </c>
      <c r="Q111" s="49" t="str">
        <f>IF(OR($A111="",$P111=0),"",ROUND(IFERROR(LOOKUP(2,1/(_EngineTrades!$AU$9:$AU$508=$A111),_EngineTrades!$AN$9:$AN$508),0)/$P111,4))</f>
        <v/>
      </c>
      <c r="R111" s="49">
        <f>IF(OR($A111="",$E111&lt;&gt;"Open"),0,IFERROR(LOOKUP(2,1/(_EngineTrades!$AU$9:$AU$508=$A111),_EngineTrades!$AO$9:$AO$508),0))</f>
        <v>0</v>
      </c>
      <c r="S111" s="49">
        <f>IF(OR($A111="",$E111&lt;&gt;"Open"),0,ROUND($R111+IFERROR(LOOKUP(2,1/(_EngineTrades!$AU$9:$AU$508=$A111),_EngineTrades!$AN$9:$AN$508),0),4))</f>
        <v>0</v>
      </c>
      <c r="T111" s="49" t="str">
        <f>IF($A111="","",ROUND(IFERROR(LOOKUP(2,1/(_EngineTrades!$AU$9:$AU$508=$A111),_EngineTrades!$AT$9:$AT$508),0),4))</f>
        <v/>
      </c>
      <c r="U111" s="49" t="str">
        <f t="shared" si="26"/>
        <v/>
      </c>
      <c r="V111" s="49" t="str">
        <f>IF(AND($A111&lt;&gt;"",$E111="Open",$P111+N(IFERROR(LOOKUP(2,1/(_EngineTrades!$AU$9:$AU$508=$A111),_EngineTrades!$AP$9:$AP$508),0))&gt;0),ROUND(($R111-$O111)/($P111+N(IFERROR(LOOKUP(2,1/(_EngineTrades!$AU$9:$AU$508=$A111),_EngineTrades!$AP$9:$AP$508),0))),4),"")</f>
        <v/>
      </c>
      <c r="W111" s="64" t="str">
        <f>IF($A111="","",MAX(1,IF($G111="",_EngineTrades!$E$3-$F111,$G111-$F111)))</f>
        <v/>
      </c>
      <c r="X111" s="65" t="str">
        <f t="shared" si="27"/>
        <v/>
      </c>
      <c r="Y111" s="65" t="str">
        <f t="shared" si="28"/>
        <v/>
      </c>
      <c r="Z111" s="44">
        <f>IF(Cycles!U111="",0,Cycles!U111)</f>
        <v>0</v>
      </c>
      <c r="AA111" s="44">
        <f>IF(Cycles!V111="",0,Cycles!V111)</f>
        <v>0</v>
      </c>
      <c r="AB111" s="44">
        <f>IF(Cycles!W111="",0,Cycles!W111)</f>
        <v>0</v>
      </c>
      <c r="AC111" s="44">
        <f>IF(Cycles!X111="",0,Cycles!X111)</f>
        <v>0</v>
      </c>
      <c r="AD111" s="49" t="str">
        <f t="shared" si="29"/>
        <v/>
      </c>
      <c r="AE111" s="49" t="str">
        <f t="shared" si="30"/>
        <v/>
      </c>
      <c r="AF111" s="49" t="str">
        <f t="shared" si="31"/>
        <v/>
      </c>
      <c r="AG111" t="str">
        <f>IFERROR(MATCH(ROWS($AG$9:AG111),_EngineTrades!$AW$9:$AW$508,0)+8,"")</f>
        <v/>
      </c>
    </row>
    <row r="112" spans="1:33" ht="15" x14ac:dyDescent="0.25">
      <c r="A112" s="66" t="str">
        <f>IF($AG112="","",IFERROR(INDEX(_EngineTrades!$AU$9:$AU$508,MATCH($AG112,_EngineTrades!$AV$9:$AV$508,0)),""))</f>
        <v/>
      </c>
      <c r="B112" s="66" t="str">
        <f>IF($A112="","",INDEX(_EngineTrades!$B$9:$B$508,MATCH($AG112,_EngineTrades!$AV$9:$AV$508,0)))</f>
        <v/>
      </c>
      <c r="C112" s="66" t="str">
        <f>IF($A112="","",INDEX(_EngineTrades!$T$9:$T$508,MATCH($AG112,_EngineTrades!$AV$9:$AV$508,0)))</f>
        <v/>
      </c>
      <c r="D112" s="67" t="str">
        <f>IF($A112="","",INDEX(_EngineTrades!$C$9:$C$508,MATCH($AG112,_EngineTrades!$AV$9:$AV$508,0)))</f>
        <v/>
      </c>
      <c r="E112" s="68" t="str">
        <f>IF($A112="","",IF(IFERROR(LOOKUP(2,1/(_EngineTrades!$AU$9:$AU$508=$A112),_EngineTrades!$AR$9:$AR$508),FALSE),"Closed","Open"))</f>
        <v/>
      </c>
      <c r="F112" s="69" t="str">
        <f>IF($A112="","",INDEX(_EngineTrades!$E$9:$E$508,$AG112-8))</f>
        <v/>
      </c>
      <c r="G112" s="69" t="str">
        <f>IF(OR($A112="",$E112&lt;&gt;"Closed"),"",IFERROR(INDEX(_EngineTrades!$E$9:$E$508,SUMIFS(_EngineTrades!$AX$9:$AX$508,_EngineTrades!$AU$9:$AU$508,$A112)-8),""))</f>
        <v/>
      </c>
      <c r="H112" s="70" t="str">
        <f>IF($A112="","",ROUND(SUMIFS(_EngineTrades!$Y$9:$Y$508,_EngineTrades!$AU$9:$AU$508,$A112),4))</f>
        <v/>
      </c>
      <c r="I112" s="70" t="str">
        <f>IF($A112="","",ROUND(SUMIFS(_EngineTrades!$Z$9:$Z$508,_EngineTrades!$AU$9:$AU$508,$A112),4))</f>
        <v/>
      </c>
      <c r="J112" s="71" t="str">
        <f t="shared" si="24"/>
        <v/>
      </c>
      <c r="K112" s="70" t="str">
        <f>IF($A112="","",ROUND(SUMIFS(_EngineTrades!$AA$9:$AA$508,_EngineTrades!$AU$9:$AU$508,$A112),4))</f>
        <v/>
      </c>
      <c r="L112" s="70" t="str">
        <f>IF($A112="","",ROUND(SUMIFS(_EngineTrades!$AB$9:$AB$508,_EngineTrades!$AU$9:$AU$508,$A112),4))</f>
        <v/>
      </c>
      <c r="M112" s="70" t="str">
        <f>IF($A112="","",ROUND(SUMIFS(_EngineTrades!$AC$9:$AC$508,_EngineTrades!$AU$9:$AU$508,$A112),4))</f>
        <v/>
      </c>
      <c r="N112" s="70" t="str">
        <f>IF($A112="","",ROUND(SUMIFS(_EngineTrades!$AD$9:$AD$508,_EngineTrades!$AU$9:$AU$508,$A112),4))</f>
        <v/>
      </c>
      <c r="O112" s="71" t="str">
        <f t="shared" si="25"/>
        <v/>
      </c>
      <c r="P112" s="66">
        <f>IF(OR($A112="",$E112&lt;&gt;"Open"),0,IFERROR(LOOKUP(2,1/(_EngineTrades!$AU$9:$AU$508=$A112),_EngineTrades!$AM$9:$AM$508),0))</f>
        <v>0</v>
      </c>
      <c r="Q112" s="70" t="str">
        <f>IF(OR($A112="",$P112=0),"",ROUND(IFERROR(LOOKUP(2,1/(_EngineTrades!$AU$9:$AU$508=$A112),_EngineTrades!$AN$9:$AN$508),0)/$P112,4))</f>
        <v/>
      </c>
      <c r="R112" s="70">
        <f>IF(OR($A112="",$E112&lt;&gt;"Open"),0,IFERROR(LOOKUP(2,1/(_EngineTrades!$AU$9:$AU$508=$A112),_EngineTrades!$AO$9:$AO$508),0))</f>
        <v>0</v>
      </c>
      <c r="S112" s="70">
        <f>IF(OR($A112="",$E112&lt;&gt;"Open"),0,ROUND($R112+IFERROR(LOOKUP(2,1/(_EngineTrades!$AU$9:$AU$508=$A112),_EngineTrades!$AN$9:$AN$508),0),4))</f>
        <v>0</v>
      </c>
      <c r="T112" s="70" t="str">
        <f>IF($A112="","",ROUND(IFERROR(LOOKUP(2,1/(_EngineTrades!$AU$9:$AU$508=$A112),_EngineTrades!$AT$9:$AT$508),0),4))</f>
        <v/>
      </c>
      <c r="U112" s="70" t="str">
        <f t="shared" si="26"/>
        <v/>
      </c>
      <c r="V112" s="70" t="str">
        <f>IF(AND($A112&lt;&gt;"",$E112="Open",$P112+N(IFERROR(LOOKUP(2,1/(_EngineTrades!$AU$9:$AU$508=$A112),_EngineTrades!$AP$9:$AP$508),0))&gt;0),ROUND(($R112-$O112)/($P112+N(IFERROR(LOOKUP(2,1/(_EngineTrades!$AU$9:$AU$508=$A112),_EngineTrades!$AP$9:$AP$508),0))),4),"")</f>
        <v/>
      </c>
      <c r="W112" s="72" t="str">
        <f>IF($A112="","",MAX(1,IF($G112="",_EngineTrades!$E$3-$F112,$G112-$F112)))</f>
        <v/>
      </c>
      <c r="X112" s="73" t="str">
        <f t="shared" si="27"/>
        <v/>
      </c>
      <c r="Y112" s="73" t="str">
        <f t="shared" si="28"/>
        <v/>
      </c>
      <c r="Z112" s="44">
        <f>IF(Cycles!U112="",0,Cycles!U112)</f>
        <v>0</v>
      </c>
      <c r="AA112" s="44">
        <f>IF(Cycles!V112="",0,Cycles!V112)</f>
        <v>0</v>
      </c>
      <c r="AB112" s="44">
        <f>IF(Cycles!W112="",0,Cycles!W112)</f>
        <v>0</v>
      </c>
      <c r="AC112" s="44">
        <f>IF(Cycles!X112="",0,Cycles!X112)</f>
        <v>0</v>
      </c>
      <c r="AD112" s="70" t="str">
        <f t="shared" si="29"/>
        <v/>
      </c>
      <c r="AE112" s="70" t="str">
        <f t="shared" si="30"/>
        <v/>
      </c>
      <c r="AF112" s="70" t="str">
        <f t="shared" si="31"/>
        <v/>
      </c>
      <c r="AG112" t="str">
        <f>IFERROR(MATCH(ROWS($AG$9:AG112),_EngineTrades!$AW$9:$AW$508,0)+8,"")</f>
        <v/>
      </c>
    </row>
    <row r="113" spans="1:33" ht="15" x14ac:dyDescent="0.25">
      <c r="A113" s="61" t="str">
        <f>IF($AG113="","",IFERROR(INDEX(_EngineTrades!$AU$9:$AU$508,MATCH($AG113,_EngineTrades!$AV$9:$AV$508,0)),""))</f>
        <v/>
      </c>
      <c r="B113" s="61" t="str">
        <f>IF($A113="","",INDEX(_EngineTrades!$B$9:$B$508,MATCH($AG113,_EngineTrades!$AV$9:$AV$508,0)))</f>
        <v/>
      </c>
      <c r="C113" s="61" t="str">
        <f>IF($A113="","",INDEX(_EngineTrades!$T$9:$T$508,MATCH($AG113,_EngineTrades!$AV$9:$AV$508,0)))</f>
        <v/>
      </c>
      <c r="D113" s="47" t="str">
        <f>IF($A113="","",INDEX(_EngineTrades!$C$9:$C$508,MATCH($AG113,_EngineTrades!$AV$9:$AV$508,0)))</f>
        <v/>
      </c>
      <c r="E113" s="62" t="str">
        <f>IF($A113="","",IF(IFERROR(LOOKUP(2,1/(_EngineTrades!$AU$9:$AU$508=$A113),_EngineTrades!$AR$9:$AR$508),FALSE),"Closed","Open"))</f>
        <v/>
      </c>
      <c r="F113" s="63" t="str">
        <f>IF($A113="","",INDEX(_EngineTrades!$E$9:$E$508,$AG113-8))</f>
        <v/>
      </c>
      <c r="G113" s="63" t="str">
        <f>IF(OR($A113="",$E113&lt;&gt;"Closed"),"",IFERROR(INDEX(_EngineTrades!$E$9:$E$508,SUMIFS(_EngineTrades!$AX$9:$AX$508,_EngineTrades!$AU$9:$AU$508,$A113)-8),""))</f>
        <v/>
      </c>
      <c r="H113" s="49" t="str">
        <f>IF($A113="","",ROUND(SUMIFS(_EngineTrades!$Y$9:$Y$508,_EngineTrades!$AU$9:$AU$508,$A113),4))</f>
        <v/>
      </c>
      <c r="I113" s="49" t="str">
        <f>IF($A113="","",ROUND(SUMIFS(_EngineTrades!$Z$9:$Z$508,_EngineTrades!$AU$9:$AU$508,$A113),4))</f>
        <v/>
      </c>
      <c r="J113" s="45" t="str">
        <f t="shared" si="24"/>
        <v/>
      </c>
      <c r="K113" s="49" t="str">
        <f>IF($A113="","",ROUND(SUMIFS(_EngineTrades!$AA$9:$AA$508,_EngineTrades!$AU$9:$AU$508,$A113),4))</f>
        <v/>
      </c>
      <c r="L113" s="49" t="str">
        <f>IF($A113="","",ROUND(SUMIFS(_EngineTrades!$AB$9:$AB$508,_EngineTrades!$AU$9:$AU$508,$A113),4))</f>
        <v/>
      </c>
      <c r="M113" s="49" t="str">
        <f>IF($A113="","",ROUND(SUMIFS(_EngineTrades!$AC$9:$AC$508,_EngineTrades!$AU$9:$AU$508,$A113),4))</f>
        <v/>
      </c>
      <c r="N113" s="49" t="str">
        <f>IF($A113="","",ROUND(SUMIFS(_EngineTrades!$AD$9:$AD$508,_EngineTrades!$AU$9:$AU$508,$A113),4))</f>
        <v/>
      </c>
      <c r="O113" s="45" t="str">
        <f t="shared" si="25"/>
        <v/>
      </c>
      <c r="P113" s="61">
        <f>IF(OR($A113="",$E113&lt;&gt;"Open"),0,IFERROR(LOOKUP(2,1/(_EngineTrades!$AU$9:$AU$508=$A113),_EngineTrades!$AM$9:$AM$508),0))</f>
        <v>0</v>
      </c>
      <c r="Q113" s="49" t="str">
        <f>IF(OR($A113="",$P113=0),"",ROUND(IFERROR(LOOKUP(2,1/(_EngineTrades!$AU$9:$AU$508=$A113),_EngineTrades!$AN$9:$AN$508),0)/$P113,4))</f>
        <v/>
      </c>
      <c r="R113" s="49">
        <f>IF(OR($A113="",$E113&lt;&gt;"Open"),0,IFERROR(LOOKUP(2,1/(_EngineTrades!$AU$9:$AU$508=$A113),_EngineTrades!$AO$9:$AO$508),0))</f>
        <v>0</v>
      </c>
      <c r="S113" s="49">
        <f>IF(OR($A113="",$E113&lt;&gt;"Open"),0,ROUND($R113+IFERROR(LOOKUP(2,1/(_EngineTrades!$AU$9:$AU$508=$A113),_EngineTrades!$AN$9:$AN$508),0),4))</f>
        <v>0</v>
      </c>
      <c r="T113" s="49" t="str">
        <f>IF($A113="","",ROUND(IFERROR(LOOKUP(2,1/(_EngineTrades!$AU$9:$AU$508=$A113),_EngineTrades!$AT$9:$AT$508),0),4))</f>
        <v/>
      </c>
      <c r="U113" s="49" t="str">
        <f t="shared" si="26"/>
        <v/>
      </c>
      <c r="V113" s="49" t="str">
        <f>IF(AND($A113&lt;&gt;"",$E113="Open",$P113+N(IFERROR(LOOKUP(2,1/(_EngineTrades!$AU$9:$AU$508=$A113),_EngineTrades!$AP$9:$AP$508),0))&gt;0),ROUND(($R113-$O113)/($P113+N(IFERROR(LOOKUP(2,1/(_EngineTrades!$AU$9:$AU$508=$A113),_EngineTrades!$AP$9:$AP$508),0))),4),"")</f>
        <v/>
      </c>
      <c r="W113" s="64" t="str">
        <f>IF($A113="","",MAX(1,IF($G113="",_EngineTrades!$E$3-$F113,$G113-$F113)))</f>
        <v/>
      </c>
      <c r="X113" s="65" t="str">
        <f t="shared" si="27"/>
        <v/>
      </c>
      <c r="Y113" s="65" t="str">
        <f t="shared" si="28"/>
        <v/>
      </c>
      <c r="Z113" s="44">
        <f>IF(Cycles!U113="",0,Cycles!U113)</f>
        <v>0</v>
      </c>
      <c r="AA113" s="44">
        <f>IF(Cycles!V113="",0,Cycles!V113)</f>
        <v>0</v>
      </c>
      <c r="AB113" s="44">
        <f>IF(Cycles!W113="",0,Cycles!W113)</f>
        <v>0</v>
      </c>
      <c r="AC113" s="44">
        <f>IF(Cycles!X113="",0,Cycles!X113)</f>
        <v>0</v>
      </c>
      <c r="AD113" s="49" t="str">
        <f t="shared" si="29"/>
        <v/>
      </c>
      <c r="AE113" s="49" t="str">
        <f t="shared" si="30"/>
        <v/>
      </c>
      <c r="AF113" s="49" t="str">
        <f t="shared" si="31"/>
        <v/>
      </c>
      <c r="AG113" t="str">
        <f>IFERROR(MATCH(ROWS($AG$9:AG113),_EngineTrades!$AW$9:$AW$508,0)+8,"")</f>
        <v/>
      </c>
    </row>
    <row r="114" spans="1:33" ht="15" x14ac:dyDescent="0.25">
      <c r="A114" s="66" t="str">
        <f>IF($AG114="","",IFERROR(INDEX(_EngineTrades!$AU$9:$AU$508,MATCH($AG114,_EngineTrades!$AV$9:$AV$508,0)),""))</f>
        <v/>
      </c>
      <c r="B114" s="66" t="str">
        <f>IF($A114="","",INDEX(_EngineTrades!$B$9:$B$508,MATCH($AG114,_EngineTrades!$AV$9:$AV$508,0)))</f>
        <v/>
      </c>
      <c r="C114" s="66" t="str">
        <f>IF($A114="","",INDEX(_EngineTrades!$T$9:$T$508,MATCH($AG114,_EngineTrades!$AV$9:$AV$508,0)))</f>
        <v/>
      </c>
      <c r="D114" s="67" t="str">
        <f>IF($A114="","",INDEX(_EngineTrades!$C$9:$C$508,MATCH($AG114,_EngineTrades!$AV$9:$AV$508,0)))</f>
        <v/>
      </c>
      <c r="E114" s="68" t="str">
        <f>IF($A114="","",IF(IFERROR(LOOKUP(2,1/(_EngineTrades!$AU$9:$AU$508=$A114),_EngineTrades!$AR$9:$AR$508),FALSE),"Closed","Open"))</f>
        <v/>
      </c>
      <c r="F114" s="69" t="str">
        <f>IF($A114="","",INDEX(_EngineTrades!$E$9:$E$508,$AG114-8))</f>
        <v/>
      </c>
      <c r="G114" s="69" t="str">
        <f>IF(OR($A114="",$E114&lt;&gt;"Closed"),"",IFERROR(INDEX(_EngineTrades!$E$9:$E$508,SUMIFS(_EngineTrades!$AX$9:$AX$508,_EngineTrades!$AU$9:$AU$508,$A114)-8),""))</f>
        <v/>
      </c>
      <c r="H114" s="70" t="str">
        <f>IF($A114="","",ROUND(SUMIFS(_EngineTrades!$Y$9:$Y$508,_EngineTrades!$AU$9:$AU$508,$A114),4))</f>
        <v/>
      </c>
      <c r="I114" s="70" t="str">
        <f>IF($A114="","",ROUND(SUMIFS(_EngineTrades!$Z$9:$Z$508,_EngineTrades!$AU$9:$AU$508,$A114),4))</f>
        <v/>
      </c>
      <c r="J114" s="71" t="str">
        <f t="shared" si="24"/>
        <v/>
      </c>
      <c r="K114" s="70" t="str">
        <f>IF($A114="","",ROUND(SUMIFS(_EngineTrades!$AA$9:$AA$508,_EngineTrades!$AU$9:$AU$508,$A114),4))</f>
        <v/>
      </c>
      <c r="L114" s="70" t="str">
        <f>IF($A114="","",ROUND(SUMIFS(_EngineTrades!$AB$9:$AB$508,_EngineTrades!$AU$9:$AU$508,$A114),4))</f>
        <v/>
      </c>
      <c r="M114" s="70" t="str">
        <f>IF($A114="","",ROUND(SUMIFS(_EngineTrades!$AC$9:$AC$508,_EngineTrades!$AU$9:$AU$508,$A114),4))</f>
        <v/>
      </c>
      <c r="N114" s="70" t="str">
        <f>IF($A114="","",ROUND(SUMIFS(_EngineTrades!$AD$9:$AD$508,_EngineTrades!$AU$9:$AU$508,$A114),4))</f>
        <v/>
      </c>
      <c r="O114" s="71" t="str">
        <f t="shared" si="25"/>
        <v/>
      </c>
      <c r="P114" s="66">
        <f>IF(OR($A114="",$E114&lt;&gt;"Open"),0,IFERROR(LOOKUP(2,1/(_EngineTrades!$AU$9:$AU$508=$A114),_EngineTrades!$AM$9:$AM$508),0))</f>
        <v>0</v>
      </c>
      <c r="Q114" s="70" t="str">
        <f>IF(OR($A114="",$P114=0),"",ROUND(IFERROR(LOOKUP(2,1/(_EngineTrades!$AU$9:$AU$508=$A114),_EngineTrades!$AN$9:$AN$508),0)/$P114,4))</f>
        <v/>
      </c>
      <c r="R114" s="70">
        <f>IF(OR($A114="",$E114&lt;&gt;"Open"),0,IFERROR(LOOKUP(2,1/(_EngineTrades!$AU$9:$AU$508=$A114),_EngineTrades!$AO$9:$AO$508),0))</f>
        <v>0</v>
      </c>
      <c r="S114" s="70">
        <f>IF(OR($A114="",$E114&lt;&gt;"Open"),0,ROUND($R114+IFERROR(LOOKUP(2,1/(_EngineTrades!$AU$9:$AU$508=$A114),_EngineTrades!$AN$9:$AN$508),0),4))</f>
        <v>0</v>
      </c>
      <c r="T114" s="70" t="str">
        <f>IF($A114="","",ROUND(IFERROR(LOOKUP(2,1/(_EngineTrades!$AU$9:$AU$508=$A114),_EngineTrades!$AT$9:$AT$508),0),4))</f>
        <v/>
      </c>
      <c r="U114" s="70" t="str">
        <f t="shared" si="26"/>
        <v/>
      </c>
      <c r="V114" s="70" t="str">
        <f>IF(AND($A114&lt;&gt;"",$E114="Open",$P114+N(IFERROR(LOOKUP(2,1/(_EngineTrades!$AU$9:$AU$508=$A114),_EngineTrades!$AP$9:$AP$508),0))&gt;0),ROUND(($R114-$O114)/($P114+N(IFERROR(LOOKUP(2,1/(_EngineTrades!$AU$9:$AU$508=$A114),_EngineTrades!$AP$9:$AP$508),0))),4),"")</f>
        <v/>
      </c>
      <c r="W114" s="72" t="str">
        <f>IF($A114="","",MAX(1,IF($G114="",_EngineTrades!$E$3-$F114,$G114-$F114)))</f>
        <v/>
      </c>
      <c r="X114" s="73" t="str">
        <f t="shared" si="27"/>
        <v/>
      </c>
      <c r="Y114" s="73" t="str">
        <f t="shared" si="28"/>
        <v/>
      </c>
      <c r="Z114" s="44">
        <f>IF(Cycles!U114="",0,Cycles!U114)</f>
        <v>0</v>
      </c>
      <c r="AA114" s="44">
        <f>IF(Cycles!V114="",0,Cycles!V114)</f>
        <v>0</v>
      </c>
      <c r="AB114" s="44">
        <f>IF(Cycles!W114="",0,Cycles!W114)</f>
        <v>0</v>
      </c>
      <c r="AC114" s="44">
        <f>IF(Cycles!X114="",0,Cycles!X114)</f>
        <v>0</v>
      </c>
      <c r="AD114" s="70" t="str">
        <f t="shared" si="29"/>
        <v/>
      </c>
      <c r="AE114" s="70" t="str">
        <f t="shared" si="30"/>
        <v/>
      </c>
      <c r="AF114" s="70" t="str">
        <f t="shared" si="31"/>
        <v/>
      </c>
      <c r="AG114" t="str">
        <f>IFERROR(MATCH(ROWS($AG$9:AG114),_EngineTrades!$AW$9:$AW$508,0)+8,"")</f>
        <v/>
      </c>
    </row>
    <row r="115" spans="1:33" ht="15" x14ac:dyDescent="0.25">
      <c r="A115" s="61" t="str">
        <f>IF($AG115="","",IFERROR(INDEX(_EngineTrades!$AU$9:$AU$508,MATCH($AG115,_EngineTrades!$AV$9:$AV$508,0)),""))</f>
        <v/>
      </c>
      <c r="B115" s="61" t="str">
        <f>IF($A115="","",INDEX(_EngineTrades!$B$9:$B$508,MATCH($AG115,_EngineTrades!$AV$9:$AV$508,0)))</f>
        <v/>
      </c>
      <c r="C115" s="61" t="str">
        <f>IF($A115="","",INDEX(_EngineTrades!$T$9:$T$508,MATCH($AG115,_EngineTrades!$AV$9:$AV$508,0)))</f>
        <v/>
      </c>
      <c r="D115" s="47" t="str">
        <f>IF($A115="","",INDEX(_EngineTrades!$C$9:$C$508,MATCH($AG115,_EngineTrades!$AV$9:$AV$508,0)))</f>
        <v/>
      </c>
      <c r="E115" s="62" t="str">
        <f>IF($A115="","",IF(IFERROR(LOOKUP(2,1/(_EngineTrades!$AU$9:$AU$508=$A115),_EngineTrades!$AR$9:$AR$508),FALSE),"Closed","Open"))</f>
        <v/>
      </c>
      <c r="F115" s="63" t="str">
        <f>IF($A115="","",INDEX(_EngineTrades!$E$9:$E$508,$AG115-8))</f>
        <v/>
      </c>
      <c r="G115" s="63" t="str">
        <f>IF(OR($A115="",$E115&lt;&gt;"Closed"),"",IFERROR(INDEX(_EngineTrades!$E$9:$E$508,SUMIFS(_EngineTrades!$AX$9:$AX$508,_EngineTrades!$AU$9:$AU$508,$A115)-8),""))</f>
        <v/>
      </c>
      <c r="H115" s="49" t="str">
        <f>IF($A115="","",ROUND(SUMIFS(_EngineTrades!$Y$9:$Y$508,_EngineTrades!$AU$9:$AU$508,$A115),4))</f>
        <v/>
      </c>
      <c r="I115" s="49" t="str">
        <f>IF($A115="","",ROUND(SUMIFS(_EngineTrades!$Z$9:$Z$508,_EngineTrades!$AU$9:$AU$508,$A115),4))</f>
        <v/>
      </c>
      <c r="J115" s="45" t="str">
        <f t="shared" si="24"/>
        <v/>
      </c>
      <c r="K115" s="49" t="str">
        <f>IF($A115="","",ROUND(SUMIFS(_EngineTrades!$AA$9:$AA$508,_EngineTrades!$AU$9:$AU$508,$A115),4))</f>
        <v/>
      </c>
      <c r="L115" s="49" t="str">
        <f>IF($A115="","",ROUND(SUMIFS(_EngineTrades!$AB$9:$AB$508,_EngineTrades!$AU$9:$AU$508,$A115),4))</f>
        <v/>
      </c>
      <c r="M115" s="49" t="str">
        <f>IF($A115="","",ROUND(SUMIFS(_EngineTrades!$AC$9:$AC$508,_EngineTrades!$AU$9:$AU$508,$A115),4))</f>
        <v/>
      </c>
      <c r="N115" s="49" t="str">
        <f>IF($A115="","",ROUND(SUMIFS(_EngineTrades!$AD$9:$AD$508,_EngineTrades!$AU$9:$AU$508,$A115),4))</f>
        <v/>
      </c>
      <c r="O115" s="45" t="str">
        <f t="shared" si="25"/>
        <v/>
      </c>
      <c r="P115" s="61">
        <f>IF(OR($A115="",$E115&lt;&gt;"Open"),0,IFERROR(LOOKUP(2,1/(_EngineTrades!$AU$9:$AU$508=$A115),_EngineTrades!$AM$9:$AM$508),0))</f>
        <v>0</v>
      </c>
      <c r="Q115" s="49" t="str">
        <f>IF(OR($A115="",$P115=0),"",ROUND(IFERROR(LOOKUP(2,1/(_EngineTrades!$AU$9:$AU$508=$A115),_EngineTrades!$AN$9:$AN$508),0)/$P115,4))</f>
        <v/>
      </c>
      <c r="R115" s="49">
        <f>IF(OR($A115="",$E115&lt;&gt;"Open"),0,IFERROR(LOOKUP(2,1/(_EngineTrades!$AU$9:$AU$508=$A115),_EngineTrades!$AO$9:$AO$508),0))</f>
        <v>0</v>
      </c>
      <c r="S115" s="49">
        <f>IF(OR($A115="",$E115&lt;&gt;"Open"),0,ROUND($R115+IFERROR(LOOKUP(2,1/(_EngineTrades!$AU$9:$AU$508=$A115),_EngineTrades!$AN$9:$AN$508),0),4))</f>
        <v>0</v>
      </c>
      <c r="T115" s="49" t="str">
        <f>IF($A115="","",ROUND(IFERROR(LOOKUP(2,1/(_EngineTrades!$AU$9:$AU$508=$A115),_EngineTrades!$AT$9:$AT$508),0),4))</f>
        <v/>
      </c>
      <c r="U115" s="49" t="str">
        <f t="shared" si="26"/>
        <v/>
      </c>
      <c r="V115" s="49" t="str">
        <f>IF(AND($A115&lt;&gt;"",$E115="Open",$P115+N(IFERROR(LOOKUP(2,1/(_EngineTrades!$AU$9:$AU$508=$A115),_EngineTrades!$AP$9:$AP$508),0))&gt;0),ROUND(($R115-$O115)/($P115+N(IFERROR(LOOKUP(2,1/(_EngineTrades!$AU$9:$AU$508=$A115),_EngineTrades!$AP$9:$AP$508),0))),4),"")</f>
        <v/>
      </c>
      <c r="W115" s="64" t="str">
        <f>IF($A115="","",MAX(1,IF($G115="",_EngineTrades!$E$3-$F115,$G115-$F115)))</f>
        <v/>
      </c>
      <c r="X115" s="65" t="str">
        <f t="shared" si="27"/>
        <v/>
      </c>
      <c r="Y115" s="65" t="str">
        <f t="shared" si="28"/>
        <v/>
      </c>
      <c r="Z115" s="44">
        <f>IF(Cycles!U115="",0,Cycles!U115)</f>
        <v>0</v>
      </c>
      <c r="AA115" s="44">
        <f>IF(Cycles!V115="",0,Cycles!V115)</f>
        <v>0</v>
      </c>
      <c r="AB115" s="44">
        <f>IF(Cycles!W115="",0,Cycles!W115)</f>
        <v>0</v>
      </c>
      <c r="AC115" s="44">
        <f>IF(Cycles!X115="",0,Cycles!X115)</f>
        <v>0</v>
      </c>
      <c r="AD115" s="49" t="str">
        <f t="shared" si="29"/>
        <v/>
      </c>
      <c r="AE115" s="49" t="str">
        <f t="shared" si="30"/>
        <v/>
      </c>
      <c r="AF115" s="49" t="str">
        <f t="shared" si="31"/>
        <v/>
      </c>
      <c r="AG115" t="str">
        <f>IFERROR(MATCH(ROWS($AG$9:AG115),_EngineTrades!$AW$9:$AW$508,0)+8,"")</f>
        <v/>
      </c>
    </row>
    <row r="116" spans="1:33" ht="15" x14ac:dyDescent="0.25">
      <c r="A116" s="66" t="str">
        <f>IF($AG116="","",IFERROR(INDEX(_EngineTrades!$AU$9:$AU$508,MATCH($AG116,_EngineTrades!$AV$9:$AV$508,0)),""))</f>
        <v/>
      </c>
      <c r="B116" s="66" t="str">
        <f>IF($A116="","",INDEX(_EngineTrades!$B$9:$B$508,MATCH($AG116,_EngineTrades!$AV$9:$AV$508,0)))</f>
        <v/>
      </c>
      <c r="C116" s="66" t="str">
        <f>IF($A116="","",INDEX(_EngineTrades!$T$9:$T$508,MATCH($AG116,_EngineTrades!$AV$9:$AV$508,0)))</f>
        <v/>
      </c>
      <c r="D116" s="67" t="str">
        <f>IF($A116="","",INDEX(_EngineTrades!$C$9:$C$508,MATCH($AG116,_EngineTrades!$AV$9:$AV$508,0)))</f>
        <v/>
      </c>
      <c r="E116" s="68" t="str">
        <f>IF($A116="","",IF(IFERROR(LOOKUP(2,1/(_EngineTrades!$AU$9:$AU$508=$A116),_EngineTrades!$AR$9:$AR$508),FALSE),"Closed","Open"))</f>
        <v/>
      </c>
      <c r="F116" s="69" t="str">
        <f>IF($A116="","",INDEX(_EngineTrades!$E$9:$E$508,$AG116-8))</f>
        <v/>
      </c>
      <c r="G116" s="69" t="str">
        <f>IF(OR($A116="",$E116&lt;&gt;"Closed"),"",IFERROR(INDEX(_EngineTrades!$E$9:$E$508,SUMIFS(_EngineTrades!$AX$9:$AX$508,_EngineTrades!$AU$9:$AU$508,$A116)-8),""))</f>
        <v/>
      </c>
      <c r="H116" s="70" t="str">
        <f>IF($A116="","",ROUND(SUMIFS(_EngineTrades!$Y$9:$Y$508,_EngineTrades!$AU$9:$AU$508,$A116),4))</f>
        <v/>
      </c>
      <c r="I116" s="70" t="str">
        <f>IF($A116="","",ROUND(SUMIFS(_EngineTrades!$Z$9:$Z$508,_EngineTrades!$AU$9:$AU$508,$A116),4))</f>
        <v/>
      </c>
      <c r="J116" s="71" t="str">
        <f t="shared" si="24"/>
        <v/>
      </c>
      <c r="K116" s="70" t="str">
        <f>IF($A116="","",ROUND(SUMIFS(_EngineTrades!$AA$9:$AA$508,_EngineTrades!$AU$9:$AU$508,$A116),4))</f>
        <v/>
      </c>
      <c r="L116" s="70" t="str">
        <f>IF($A116="","",ROUND(SUMIFS(_EngineTrades!$AB$9:$AB$508,_EngineTrades!$AU$9:$AU$508,$A116),4))</f>
        <v/>
      </c>
      <c r="M116" s="70" t="str">
        <f>IF($A116="","",ROUND(SUMIFS(_EngineTrades!$AC$9:$AC$508,_EngineTrades!$AU$9:$AU$508,$A116),4))</f>
        <v/>
      </c>
      <c r="N116" s="70" t="str">
        <f>IF($A116="","",ROUND(SUMIFS(_EngineTrades!$AD$9:$AD$508,_EngineTrades!$AU$9:$AU$508,$A116),4))</f>
        <v/>
      </c>
      <c r="O116" s="71" t="str">
        <f t="shared" si="25"/>
        <v/>
      </c>
      <c r="P116" s="66">
        <f>IF(OR($A116="",$E116&lt;&gt;"Open"),0,IFERROR(LOOKUP(2,1/(_EngineTrades!$AU$9:$AU$508=$A116),_EngineTrades!$AM$9:$AM$508),0))</f>
        <v>0</v>
      </c>
      <c r="Q116" s="70" t="str">
        <f>IF(OR($A116="",$P116=0),"",ROUND(IFERROR(LOOKUP(2,1/(_EngineTrades!$AU$9:$AU$508=$A116),_EngineTrades!$AN$9:$AN$508),0)/$P116,4))</f>
        <v/>
      </c>
      <c r="R116" s="70">
        <f>IF(OR($A116="",$E116&lt;&gt;"Open"),0,IFERROR(LOOKUP(2,1/(_EngineTrades!$AU$9:$AU$508=$A116),_EngineTrades!$AO$9:$AO$508),0))</f>
        <v>0</v>
      </c>
      <c r="S116" s="70">
        <f>IF(OR($A116="",$E116&lt;&gt;"Open"),0,ROUND($R116+IFERROR(LOOKUP(2,1/(_EngineTrades!$AU$9:$AU$508=$A116),_EngineTrades!$AN$9:$AN$508),0),4))</f>
        <v>0</v>
      </c>
      <c r="T116" s="70" t="str">
        <f>IF($A116="","",ROUND(IFERROR(LOOKUP(2,1/(_EngineTrades!$AU$9:$AU$508=$A116),_EngineTrades!$AT$9:$AT$508),0),4))</f>
        <v/>
      </c>
      <c r="U116" s="70" t="str">
        <f t="shared" si="26"/>
        <v/>
      </c>
      <c r="V116" s="70" t="str">
        <f>IF(AND($A116&lt;&gt;"",$E116="Open",$P116+N(IFERROR(LOOKUP(2,1/(_EngineTrades!$AU$9:$AU$508=$A116),_EngineTrades!$AP$9:$AP$508),0))&gt;0),ROUND(($R116-$O116)/($P116+N(IFERROR(LOOKUP(2,1/(_EngineTrades!$AU$9:$AU$508=$A116),_EngineTrades!$AP$9:$AP$508),0))),4),"")</f>
        <v/>
      </c>
      <c r="W116" s="72" t="str">
        <f>IF($A116="","",MAX(1,IF($G116="",_EngineTrades!$E$3-$F116,$G116-$F116)))</f>
        <v/>
      </c>
      <c r="X116" s="73" t="str">
        <f t="shared" si="27"/>
        <v/>
      </c>
      <c r="Y116" s="73" t="str">
        <f t="shared" si="28"/>
        <v/>
      </c>
      <c r="Z116" s="44">
        <f>IF(Cycles!U116="",0,Cycles!U116)</f>
        <v>0</v>
      </c>
      <c r="AA116" s="44">
        <f>IF(Cycles!V116="",0,Cycles!V116)</f>
        <v>0</v>
      </c>
      <c r="AB116" s="44">
        <f>IF(Cycles!W116="",0,Cycles!W116)</f>
        <v>0</v>
      </c>
      <c r="AC116" s="44">
        <f>IF(Cycles!X116="",0,Cycles!X116)</f>
        <v>0</v>
      </c>
      <c r="AD116" s="70" t="str">
        <f t="shared" si="29"/>
        <v/>
      </c>
      <c r="AE116" s="70" t="str">
        <f t="shared" si="30"/>
        <v/>
      </c>
      <c r="AF116" s="70" t="str">
        <f t="shared" si="31"/>
        <v/>
      </c>
      <c r="AG116" t="str">
        <f>IFERROR(MATCH(ROWS($AG$9:AG116),_EngineTrades!$AW$9:$AW$508,0)+8,"")</f>
        <v/>
      </c>
    </row>
    <row r="117" spans="1:33" ht="15" x14ac:dyDescent="0.25">
      <c r="A117" s="61" t="str">
        <f>IF($AG117="","",IFERROR(INDEX(_EngineTrades!$AU$9:$AU$508,MATCH($AG117,_EngineTrades!$AV$9:$AV$508,0)),""))</f>
        <v/>
      </c>
      <c r="B117" s="61" t="str">
        <f>IF($A117="","",INDEX(_EngineTrades!$B$9:$B$508,MATCH($AG117,_EngineTrades!$AV$9:$AV$508,0)))</f>
        <v/>
      </c>
      <c r="C117" s="61" t="str">
        <f>IF($A117="","",INDEX(_EngineTrades!$T$9:$T$508,MATCH($AG117,_EngineTrades!$AV$9:$AV$508,0)))</f>
        <v/>
      </c>
      <c r="D117" s="47" t="str">
        <f>IF($A117="","",INDEX(_EngineTrades!$C$9:$C$508,MATCH($AG117,_EngineTrades!$AV$9:$AV$508,0)))</f>
        <v/>
      </c>
      <c r="E117" s="62" t="str">
        <f>IF($A117="","",IF(IFERROR(LOOKUP(2,1/(_EngineTrades!$AU$9:$AU$508=$A117),_EngineTrades!$AR$9:$AR$508),FALSE),"Closed","Open"))</f>
        <v/>
      </c>
      <c r="F117" s="63" t="str">
        <f>IF($A117="","",INDEX(_EngineTrades!$E$9:$E$508,$AG117-8))</f>
        <v/>
      </c>
      <c r="G117" s="63" t="str">
        <f>IF(OR($A117="",$E117&lt;&gt;"Closed"),"",IFERROR(INDEX(_EngineTrades!$E$9:$E$508,SUMIFS(_EngineTrades!$AX$9:$AX$508,_EngineTrades!$AU$9:$AU$508,$A117)-8),""))</f>
        <v/>
      </c>
      <c r="H117" s="49" t="str">
        <f>IF($A117="","",ROUND(SUMIFS(_EngineTrades!$Y$9:$Y$508,_EngineTrades!$AU$9:$AU$508,$A117),4))</f>
        <v/>
      </c>
      <c r="I117" s="49" t="str">
        <f>IF($A117="","",ROUND(SUMIFS(_EngineTrades!$Z$9:$Z$508,_EngineTrades!$AU$9:$AU$508,$A117),4))</f>
        <v/>
      </c>
      <c r="J117" s="45" t="str">
        <f t="shared" si="24"/>
        <v/>
      </c>
      <c r="K117" s="49" t="str">
        <f>IF($A117="","",ROUND(SUMIFS(_EngineTrades!$AA$9:$AA$508,_EngineTrades!$AU$9:$AU$508,$A117),4))</f>
        <v/>
      </c>
      <c r="L117" s="49" t="str">
        <f>IF($A117="","",ROUND(SUMIFS(_EngineTrades!$AB$9:$AB$508,_EngineTrades!$AU$9:$AU$508,$A117),4))</f>
        <v/>
      </c>
      <c r="M117" s="49" t="str">
        <f>IF($A117="","",ROUND(SUMIFS(_EngineTrades!$AC$9:$AC$508,_EngineTrades!$AU$9:$AU$508,$A117),4))</f>
        <v/>
      </c>
      <c r="N117" s="49" t="str">
        <f>IF($A117="","",ROUND(SUMIFS(_EngineTrades!$AD$9:$AD$508,_EngineTrades!$AU$9:$AU$508,$A117),4))</f>
        <v/>
      </c>
      <c r="O117" s="45" t="str">
        <f t="shared" si="25"/>
        <v/>
      </c>
      <c r="P117" s="61">
        <f>IF(OR($A117="",$E117&lt;&gt;"Open"),0,IFERROR(LOOKUP(2,1/(_EngineTrades!$AU$9:$AU$508=$A117),_EngineTrades!$AM$9:$AM$508),0))</f>
        <v>0</v>
      </c>
      <c r="Q117" s="49" t="str">
        <f>IF(OR($A117="",$P117=0),"",ROUND(IFERROR(LOOKUP(2,1/(_EngineTrades!$AU$9:$AU$508=$A117),_EngineTrades!$AN$9:$AN$508),0)/$P117,4))</f>
        <v/>
      </c>
      <c r="R117" s="49">
        <f>IF(OR($A117="",$E117&lt;&gt;"Open"),0,IFERROR(LOOKUP(2,1/(_EngineTrades!$AU$9:$AU$508=$A117),_EngineTrades!$AO$9:$AO$508),0))</f>
        <v>0</v>
      </c>
      <c r="S117" s="49">
        <f>IF(OR($A117="",$E117&lt;&gt;"Open"),0,ROUND($R117+IFERROR(LOOKUP(2,1/(_EngineTrades!$AU$9:$AU$508=$A117),_EngineTrades!$AN$9:$AN$508),0),4))</f>
        <v>0</v>
      </c>
      <c r="T117" s="49" t="str">
        <f>IF($A117="","",ROUND(IFERROR(LOOKUP(2,1/(_EngineTrades!$AU$9:$AU$508=$A117),_EngineTrades!$AT$9:$AT$508),0),4))</f>
        <v/>
      </c>
      <c r="U117" s="49" t="str">
        <f t="shared" si="26"/>
        <v/>
      </c>
      <c r="V117" s="49" t="str">
        <f>IF(AND($A117&lt;&gt;"",$E117="Open",$P117+N(IFERROR(LOOKUP(2,1/(_EngineTrades!$AU$9:$AU$508=$A117),_EngineTrades!$AP$9:$AP$508),0))&gt;0),ROUND(($R117-$O117)/($P117+N(IFERROR(LOOKUP(2,1/(_EngineTrades!$AU$9:$AU$508=$A117),_EngineTrades!$AP$9:$AP$508),0))),4),"")</f>
        <v/>
      </c>
      <c r="W117" s="64" t="str">
        <f>IF($A117="","",MAX(1,IF($G117="",_EngineTrades!$E$3-$F117,$G117-$F117)))</f>
        <v/>
      </c>
      <c r="X117" s="65" t="str">
        <f t="shared" si="27"/>
        <v/>
      </c>
      <c r="Y117" s="65" t="str">
        <f t="shared" si="28"/>
        <v/>
      </c>
      <c r="Z117" s="44">
        <f>IF(Cycles!U117="",0,Cycles!U117)</f>
        <v>0</v>
      </c>
      <c r="AA117" s="44">
        <f>IF(Cycles!V117="",0,Cycles!V117)</f>
        <v>0</v>
      </c>
      <c r="AB117" s="44">
        <f>IF(Cycles!W117="",0,Cycles!W117)</f>
        <v>0</v>
      </c>
      <c r="AC117" s="44">
        <f>IF(Cycles!X117="",0,Cycles!X117)</f>
        <v>0</v>
      </c>
      <c r="AD117" s="49" t="str">
        <f t="shared" si="29"/>
        <v/>
      </c>
      <c r="AE117" s="49" t="str">
        <f t="shared" si="30"/>
        <v/>
      </c>
      <c r="AF117" s="49" t="str">
        <f t="shared" si="31"/>
        <v/>
      </c>
      <c r="AG117" t="str">
        <f>IFERROR(MATCH(ROWS($AG$9:AG117),_EngineTrades!$AW$9:$AW$508,0)+8,"")</f>
        <v/>
      </c>
    </row>
    <row r="118" spans="1:33" ht="15" x14ac:dyDescent="0.25">
      <c r="A118" s="66" t="str">
        <f>IF($AG118="","",IFERROR(INDEX(_EngineTrades!$AU$9:$AU$508,MATCH($AG118,_EngineTrades!$AV$9:$AV$508,0)),""))</f>
        <v/>
      </c>
      <c r="B118" s="66" t="str">
        <f>IF($A118="","",INDEX(_EngineTrades!$B$9:$B$508,MATCH($AG118,_EngineTrades!$AV$9:$AV$508,0)))</f>
        <v/>
      </c>
      <c r="C118" s="66" t="str">
        <f>IF($A118="","",INDEX(_EngineTrades!$T$9:$T$508,MATCH($AG118,_EngineTrades!$AV$9:$AV$508,0)))</f>
        <v/>
      </c>
      <c r="D118" s="67" t="str">
        <f>IF($A118="","",INDEX(_EngineTrades!$C$9:$C$508,MATCH($AG118,_EngineTrades!$AV$9:$AV$508,0)))</f>
        <v/>
      </c>
      <c r="E118" s="68" t="str">
        <f>IF($A118="","",IF(IFERROR(LOOKUP(2,1/(_EngineTrades!$AU$9:$AU$508=$A118),_EngineTrades!$AR$9:$AR$508),FALSE),"Closed","Open"))</f>
        <v/>
      </c>
      <c r="F118" s="69" t="str">
        <f>IF($A118="","",INDEX(_EngineTrades!$E$9:$E$508,$AG118-8))</f>
        <v/>
      </c>
      <c r="G118" s="69" t="str">
        <f>IF(OR($A118="",$E118&lt;&gt;"Closed"),"",IFERROR(INDEX(_EngineTrades!$E$9:$E$508,SUMIFS(_EngineTrades!$AX$9:$AX$508,_EngineTrades!$AU$9:$AU$508,$A118)-8),""))</f>
        <v/>
      </c>
      <c r="H118" s="70" t="str">
        <f>IF($A118="","",ROUND(SUMIFS(_EngineTrades!$Y$9:$Y$508,_EngineTrades!$AU$9:$AU$508,$A118),4))</f>
        <v/>
      </c>
      <c r="I118" s="70" t="str">
        <f>IF($A118="","",ROUND(SUMIFS(_EngineTrades!$Z$9:$Z$508,_EngineTrades!$AU$9:$AU$508,$A118),4))</f>
        <v/>
      </c>
      <c r="J118" s="71" t="str">
        <f t="shared" si="24"/>
        <v/>
      </c>
      <c r="K118" s="70" t="str">
        <f>IF($A118="","",ROUND(SUMIFS(_EngineTrades!$AA$9:$AA$508,_EngineTrades!$AU$9:$AU$508,$A118),4))</f>
        <v/>
      </c>
      <c r="L118" s="70" t="str">
        <f>IF($A118="","",ROUND(SUMIFS(_EngineTrades!$AB$9:$AB$508,_EngineTrades!$AU$9:$AU$508,$A118),4))</f>
        <v/>
      </c>
      <c r="M118" s="70" t="str">
        <f>IF($A118="","",ROUND(SUMIFS(_EngineTrades!$AC$9:$AC$508,_EngineTrades!$AU$9:$AU$508,$A118),4))</f>
        <v/>
      </c>
      <c r="N118" s="70" t="str">
        <f>IF($A118="","",ROUND(SUMIFS(_EngineTrades!$AD$9:$AD$508,_EngineTrades!$AU$9:$AU$508,$A118),4))</f>
        <v/>
      </c>
      <c r="O118" s="71" t="str">
        <f t="shared" si="25"/>
        <v/>
      </c>
      <c r="P118" s="66">
        <f>IF(OR($A118="",$E118&lt;&gt;"Open"),0,IFERROR(LOOKUP(2,1/(_EngineTrades!$AU$9:$AU$508=$A118),_EngineTrades!$AM$9:$AM$508),0))</f>
        <v>0</v>
      </c>
      <c r="Q118" s="70" t="str">
        <f>IF(OR($A118="",$P118=0),"",ROUND(IFERROR(LOOKUP(2,1/(_EngineTrades!$AU$9:$AU$508=$A118),_EngineTrades!$AN$9:$AN$508),0)/$P118,4))</f>
        <v/>
      </c>
      <c r="R118" s="70">
        <f>IF(OR($A118="",$E118&lt;&gt;"Open"),0,IFERROR(LOOKUP(2,1/(_EngineTrades!$AU$9:$AU$508=$A118),_EngineTrades!$AO$9:$AO$508),0))</f>
        <v>0</v>
      </c>
      <c r="S118" s="70">
        <f>IF(OR($A118="",$E118&lt;&gt;"Open"),0,ROUND($R118+IFERROR(LOOKUP(2,1/(_EngineTrades!$AU$9:$AU$508=$A118),_EngineTrades!$AN$9:$AN$508),0),4))</f>
        <v>0</v>
      </c>
      <c r="T118" s="70" t="str">
        <f>IF($A118="","",ROUND(IFERROR(LOOKUP(2,1/(_EngineTrades!$AU$9:$AU$508=$A118),_EngineTrades!$AT$9:$AT$508),0),4))</f>
        <v/>
      </c>
      <c r="U118" s="70" t="str">
        <f t="shared" si="26"/>
        <v/>
      </c>
      <c r="V118" s="70" t="str">
        <f>IF(AND($A118&lt;&gt;"",$E118="Open",$P118+N(IFERROR(LOOKUP(2,1/(_EngineTrades!$AU$9:$AU$508=$A118),_EngineTrades!$AP$9:$AP$508),0))&gt;0),ROUND(($R118-$O118)/($P118+N(IFERROR(LOOKUP(2,1/(_EngineTrades!$AU$9:$AU$508=$A118),_EngineTrades!$AP$9:$AP$508),0))),4),"")</f>
        <v/>
      </c>
      <c r="W118" s="72" t="str">
        <f>IF($A118="","",MAX(1,IF($G118="",_EngineTrades!$E$3-$F118,$G118-$F118)))</f>
        <v/>
      </c>
      <c r="X118" s="73" t="str">
        <f t="shared" si="27"/>
        <v/>
      </c>
      <c r="Y118" s="73" t="str">
        <f t="shared" si="28"/>
        <v/>
      </c>
      <c r="Z118" s="44">
        <f>IF(Cycles!U118="",0,Cycles!U118)</f>
        <v>0</v>
      </c>
      <c r="AA118" s="44">
        <f>IF(Cycles!V118="",0,Cycles!V118)</f>
        <v>0</v>
      </c>
      <c r="AB118" s="44">
        <f>IF(Cycles!W118="",0,Cycles!W118)</f>
        <v>0</v>
      </c>
      <c r="AC118" s="44">
        <f>IF(Cycles!X118="",0,Cycles!X118)</f>
        <v>0</v>
      </c>
      <c r="AD118" s="70" t="str">
        <f t="shared" si="29"/>
        <v/>
      </c>
      <c r="AE118" s="70" t="str">
        <f t="shared" si="30"/>
        <v/>
      </c>
      <c r="AF118" s="70" t="str">
        <f t="shared" si="31"/>
        <v/>
      </c>
      <c r="AG118" t="str">
        <f>IFERROR(MATCH(ROWS($AG$9:AG118),_EngineTrades!$AW$9:$AW$508,0)+8,"")</f>
        <v/>
      </c>
    </row>
    <row r="119" spans="1:33" ht="15" x14ac:dyDescent="0.25">
      <c r="A119" s="61" t="str">
        <f>IF($AG119="","",IFERROR(INDEX(_EngineTrades!$AU$9:$AU$508,MATCH($AG119,_EngineTrades!$AV$9:$AV$508,0)),""))</f>
        <v/>
      </c>
      <c r="B119" s="61" t="str">
        <f>IF($A119="","",INDEX(_EngineTrades!$B$9:$B$508,MATCH($AG119,_EngineTrades!$AV$9:$AV$508,0)))</f>
        <v/>
      </c>
      <c r="C119" s="61" t="str">
        <f>IF($A119="","",INDEX(_EngineTrades!$T$9:$T$508,MATCH($AG119,_EngineTrades!$AV$9:$AV$508,0)))</f>
        <v/>
      </c>
      <c r="D119" s="47" t="str">
        <f>IF($A119="","",INDEX(_EngineTrades!$C$9:$C$508,MATCH($AG119,_EngineTrades!$AV$9:$AV$508,0)))</f>
        <v/>
      </c>
      <c r="E119" s="62" t="str">
        <f>IF($A119="","",IF(IFERROR(LOOKUP(2,1/(_EngineTrades!$AU$9:$AU$508=$A119),_EngineTrades!$AR$9:$AR$508),FALSE),"Closed","Open"))</f>
        <v/>
      </c>
      <c r="F119" s="63" t="str">
        <f>IF($A119="","",INDEX(_EngineTrades!$E$9:$E$508,$AG119-8))</f>
        <v/>
      </c>
      <c r="G119" s="63" t="str">
        <f>IF(OR($A119="",$E119&lt;&gt;"Closed"),"",IFERROR(INDEX(_EngineTrades!$E$9:$E$508,SUMIFS(_EngineTrades!$AX$9:$AX$508,_EngineTrades!$AU$9:$AU$508,$A119)-8),""))</f>
        <v/>
      </c>
      <c r="H119" s="49" t="str">
        <f>IF($A119="","",ROUND(SUMIFS(_EngineTrades!$Y$9:$Y$508,_EngineTrades!$AU$9:$AU$508,$A119),4))</f>
        <v/>
      </c>
      <c r="I119" s="49" t="str">
        <f>IF($A119="","",ROUND(SUMIFS(_EngineTrades!$Z$9:$Z$508,_EngineTrades!$AU$9:$AU$508,$A119),4))</f>
        <v/>
      </c>
      <c r="J119" s="45" t="str">
        <f t="shared" si="24"/>
        <v/>
      </c>
      <c r="K119" s="49" t="str">
        <f>IF($A119="","",ROUND(SUMIFS(_EngineTrades!$AA$9:$AA$508,_EngineTrades!$AU$9:$AU$508,$A119),4))</f>
        <v/>
      </c>
      <c r="L119" s="49" t="str">
        <f>IF($A119="","",ROUND(SUMIFS(_EngineTrades!$AB$9:$AB$508,_EngineTrades!$AU$9:$AU$508,$A119),4))</f>
        <v/>
      </c>
      <c r="M119" s="49" t="str">
        <f>IF($A119="","",ROUND(SUMIFS(_EngineTrades!$AC$9:$AC$508,_EngineTrades!$AU$9:$AU$508,$A119),4))</f>
        <v/>
      </c>
      <c r="N119" s="49" t="str">
        <f>IF($A119="","",ROUND(SUMIFS(_EngineTrades!$AD$9:$AD$508,_EngineTrades!$AU$9:$AU$508,$A119),4))</f>
        <v/>
      </c>
      <c r="O119" s="45" t="str">
        <f t="shared" si="25"/>
        <v/>
      </c>
      <c r="P119" s="61">
        <f>IF(OR($A119="",$E119&lt;&gt;"Open"),0,IFERROR(LOOKUP(2,1/(_EngineTrades!$AU$9:$AU$508=$A119),_EngineTrades!$AM$9:$AM$508),0))</f>
        <v>0</v>
      </c>
      <c r="Q119" s="49" t="str">
        <f>IF(OR($A119="",$P119=0),"",ROUND(IFERROR(LOOKUP(2,1/(_EngineTrades!$AU$9:$AU$508=$A119),_EngineTrades!$AN$9:$AN$508),0)/$P119,4))</f>
        <v/>
      </c>
      <c r="R119" s="49">
        <f>IF(OR($A119="",$E119&lt;&gt;"Open"),0,IFERROR(LOOKUP(2,1/(_EngineTrades!$AU$9:$AU$508=$A119),_EngineTrades!$AO$9:$AO$508),0))</f>
        <v>0</v>
      </c>
      <c r="S119" s="49">
        <f>IF(OR($A119="",$E119&lt;&gt;"Open"),0,ROUND($R119+IFERROR(LOOKUP(2,1/(_EngineTrades!$AU$9:$AU$508=$A119),_EngineTrades!$AN$9:$AN$508),0),4))</f>
        <v>0</v>
      </c>
      <c r="T119" s="49" t="str">
        <f>IF($A119="","",ROUND(IFERROR(LOOKUP(2,1/(_EngineTrades!$AU$9:$AU$508=$A119),_EngineTrades!$AT$9:$AT$508),0),4))</f>
        <v/>
      </c>
      <c r="U119" s="49" t="str">
        <f t="shared" si="26"/>
        <v/>
      </c>
      <c r="V119" s="49" t="str">
        <f>IF(AND($A119&lt;&gt;"",$E119="Open",$P119+N(IFERROR(LOOKUP(2,1/(_EngineTrades!$AU$9:$AU$508=$A119),_EngineTrades!$AP$9:$AP$508),0))&gt;0),ROUND(($R119-$O119)/($P119+N(IFERROR(LOOKUP(2,1/(_EngineTrades!$AU$9:$AU$508=$A119),_EngineTrades!$AP$9:$AP$508),0))),4),"")</f>
        <v/>
      </c>
      <c r="W119" s="64" t="str">
        <f>IF($A119="","",MAX(1,IF($G119="",_EngineTrades!$E$3-$F119,$G119-$F119)))</f>
        <v/>
      </c>
      <c r="X119" s="65" t="str">
        <f t="shared" si="27"/>
        <v/>
      </c>
      <c r="Y119" s="65" t="str">
        <f t="shared" si="28"/>
        <v/>
      </c>
      <c r="Z119" s="44">
        <f>IF(Cycles!U119="",0,Cycles!U119)</f>
        <v>0</v>
      </c>
      <c r="AA119" s="44">
        <f>IF(Cycles!V119="",0,Cycles!V119)</f>
        <v>0</v>
      </c>
      <c r="AB119" s="44">
        <f>IF(Cycles!W119="",0,Cycles!W119)</f>
        <v>0</v>
      </c>
      <c r="AC119" s="44">
        <f>IF(Cycles!X119="",0,Cycles!X119)</f>
        <v>0</v>
      </c>
      <c r="AD119" s="49" t="str">
        <f t="shared" si="29"/>
        <v/>
      </c>
      <c r="AE119" s="49" t="str">
        <f t="shared" si="30"/>
        <v/>
      </c>
      <c r="AF119" s="49" t="str">
        <f t="shared" si="31"/>
        <v/>
      </c>
      <c r="AG119" t="str">
        <f>IFERROR(MATCH(ROWS($AG$9:AG119),_EngineTrades!$AW$9:$AW$508,0)+8,"")</f>
        <v/>
      </c>
    </row>
    <row r="120" spans="1:33" ht="15" x14ac:dyDescent="0.25">
      <c r="A120" s="66" t="str">
        <f>IF($AG120="","",IFERROR(INDEX(_EngineTrades!$AU$9:$AU$508,MATCH($AG120,_EngineTrades!$AV$9:$AV$508,0)),""))</f>
        <v/>
      </c>
      <c r="B120" s="66" t="str">
        <f>IF($A120="","",INDEX(_EngineTrades!$B$9:$B$508,MATCH($AG120,_EngineTrades!$AV$9:$AV$508,0)))</f>
        <v/>
      </c>
      <c r="C120" s="66" t="str">
        <f>IF($A120="","",INDEX(_EngineTrades!$T$9:$T$508,MATCH($AG120,_EngineTrades!$AV$9:$AV$508,0)))</f>
        <v/>
      </c>
      <c r="D120" s="67" t="str">
        <f>IF($A120="","",INDEX(_EngineTrades!$C$9:$C$508,MATCH($AG120,_EngineTrades!$AV$9:$AV$508,0)))</f>
        <v/>
      </c>
      <c r="E120" s="68" t="str">
        <f>IF($A120="","",IF(IFERROR(LOOKUP(2,1/(_EngineTrades!$AU$9:$AU$508=$A120),_EngineTrades!$AR$9:$AR$508),FALSE),"Closed","Open"))</f>
        <v/>
      </c>
      <c r="F120" s="69" t="str">
        <f>IF($A120="","",INDEX(_EngineTrades!$E$9:$E$508,$AG120-8))</f>
        <v/>
      </c>
      <c r="G120" s="69" t="str">
        <f>IF(OR($A120="",$E120&lt;&gt;"Closed"),"",IFERROR(INDEX(_EngineTrades!$E$9:$E$508,SUMIFS(_EngineTrades!$AX$9:$AX$508,_EngineTrades!$AU$9:$AU$508,$A120)-8),""))</f>
        <v/>
      </c>
      <c r="H120" s="70" t="str">
        <f>IF($A120="","",ROUND(SUMIFS(_EngineTrades!$Y$9:$Y$508,_EngineTrades!$AU$9:$AU$508,$A120),4))</f>
        <v/>
      </c>
      <c r="I120" s="70" t="str">
        <f>IF($A120="","",ROUND(SUMIFS(_EngineTrades!$Z$9:$Z$508,_EngineTrades!$AU$9:$AU$508,$A120),4))</f>
        <v/>
      </c>
      <c r="J120" s="71" t="str">
        <f t="shared" si="24"/>
        <v/>
      </c>
      <c r="K120" s="70" t="str">
        <f>IF($A120="","",ROUND(SUMIFS(_EngineTrades!$AA$9:$AA$508,_EngineTrades!$AU$9:$AU$508,$A120),4))</f>
        <v/>
      </c>
      <c r="L120" s="70" t="str">
        <f>IF($A120="","",ROUND(SUMIFS(_EngineTrades!$AB$9:$AB$508,_EngineTrades!$AU$9:$AU$508,$A120),4))</f>
        <v/>
      </c>
      <c r="M120" s="70" t="str">
        <f>IF($A120="","",ROUND(SUMIFS(_EngineTrades!$AC$9:$AC$508,_EngineTrades!$AU$9:$AU$508,$A120),4))</f>
        <v/>
      </c>
      <c r="N120" s="70" t="str">
        <f>IF($A120="","",ROUND(SUMIFS(_EngineTrades!$AD$9:$AD$508,_EngineTrades!$AU$9:$AU$508,$A120),4))</f>
        <v/>
      </c>
      <c r="O120" s="71" t="str">
        <f t="shared" si="25"/>
        <v/>
      </c>
      <c r="P120" s="66">
        <f>IF(OR($A120="",$E120&lt;&gt;"Open"),0,IFERROR(LOOKUP(2,1/(_EngineTrades!$AU$9:$AU$508=$A120),_EngineTrades!$AM$9:$AM$508),0))</f>
        <v>0</v>
      </c>
      <c r="Q120" s="70" t="str">
        <f>IF(OR($A120="",$P120=0),"",ROUND(IFERROR(LOOKUP(2,1/(_EngineTrades!$AU$9:$AU$508=$A120),_EngineTrades!$AN$9:$AN$508),0)/$P120,4))</f>
        <v/>
      </c>
      <c r="R120" s="70">
        <f>IF(OR($A120="",$E120&lt;&gt;"Open"),0,IFERROR(LOOKUP(2,1/(_EngineTrades!$AU$9:$AU$508=$A120),_EngineTrades!$AO$9:$AO$508),0))</f>
        <v>0</v>
      </c>
      <c r="S120" s="70">
        <f>IF(OR($A120="",$E120&lt;&gt;"Open"),0,ROUND($R120+IFERROR(LOOKUP(2,1/(_EngineTrades!$AU$9:$AU$508=$A120),_EngineTrades!$AN$9:$AN$508),0),4))</f>
        <v>0</v>
      </c>
      <c r="T120" s="70" t="str">
        <f>IF($A120="","",ROUND(IFERROR(LOOKUP(2,1/(_EngineTrades!$AU$9:$AU$508=$A120),_EngineTrades!$AT$9:$AT$508),0),4))</f>
        <v/>
      </c>
      <c r="U120" s="70" t="str">
        <f t="shared" si="26"/>
        <v/>
      </c>
      <c r="V120" s="70" t="str">
        <f>IF(AND($A120&lt;&gt;"",$E120="Open",$P120+N(IFERROR(LOOKUP(2,1/(_EngineTrades!$AU$9:$AU$508=$A120),_EngineTrades!$AP$9:$AP$508),0))&gt;0),ROUND(($R120-$O120)/($P120+N(IFERROR(LOOKUP(2,1/(_EngineTrades!$AU$9:$AU$508=$A120),_EngineTrades!$AP$9:$AP$508),0))),4),"")</f>
        <v/>
      </c>
      <c r="W120" s="72" t="str">
        <f>IF($A120="","",MAX(1,IF($G120="",_EngineTrades!$E$3-$F120,$G120-$F120)))</f>
        <v/>
      </c>
      <c r="X120" s="73" t="str">
        <f t="shared" si="27"/>
        <v/>
      </c>
      <c r="Y120" s="73" t="str">
        <f t="shared" si="28"/>
        <v/>
      </c>
      <c r="Z120" s="44">
        <f>IF(Cycles!U120="",0,Cycles!U120)</f>
        <v>0</v>
      </c>
      <c r="AA120" s="44">
        <f>IF(Cycles!V120="",0,Cycles!V120)</f>
        <v>0</v>
      </c>
      <c r="AB120" s="44">
        <f>IF(Cycles!W120="",0,Cycles!W120)</f>
        <v>0</v>
      </c>
      <c r="AC120" s="44">
        <f>IF(Cycles!X120="",0,Cycles!X120)</f>
        <v>0</v>
      </c>
      <c r="AD120" s="70" t="str">
        <f t="shared" si="29"/>
        <v/>
      </c>
      <c r="AE120" s="70" t="str">
        <f t="shared" si="30"/>
        <v/>
      </c>
      <c r="AF120" s="70" t="str">
        <f t="shared" si="31"/>
        <v/>
      </c>
      <c r="AG120" t="str">
        <f>IFERROR(MATCH(ROWS($AG$9:AG120),_EngineTrades!$AW$9:$AW$508,0)+8,"")</f>
        <v/>
      </c>
    </row>
    <row r="121" spans="1:33" ht="15" x14ac:dyDescent="0.25">
      <c r="A121" s="61" t="str">
        <f>IF($AG121="","",IFERROR(INDEX(_EngineTrades!$AU$9:$AU$508,MATCH($AG121,_EngineTrades!$AV$9:$AV$508,0)),""))</f>
        <v/>
      </c>
      <c r="B121" s="61" t="str">
        <f>IF($A121="","",INDEX(_EngineTrades!$B$9:$B$508,MATCH($AG121,_EngineTrades!$AV$9:$AV$508,0)))</f>
        <v/>
      </c>
      <c r="C121" s="61" t="str">
        <f>IF($A121="","",INDEX(_EngineTrades!$T$9:$T$508,MATCH($AG121,_EngineTrades!$AV$9:$AV$508,0)))</f>
        <v/>
      </c>
      <c r="D121" s="47" t="str">
        <f>IF($A121="","",INDEX(_EngineTrades!$C$9:$C$508,MATCH($AG121,_EngineTrades!$AV$9:$AV$508,0)))</f>
        <v/>
      </c>
      <c r="E121" s="62" t="str">
        <f>IF($A121="","",IF(IFERROR(LOOKUP(2,1/(_EngineTrades!$AU$9:$AU$508=$A121),_EngineTrades!$AR$9:$AR$508),FALSE),"Closed","Open"))</f>
        <v/>
      </c>
      <c r="F121" s="63" t="str">
        <f>IF($A121="","",INDEX(_EngineTrades!$E$9:$E$508,$AG121-8))</f>
        <v/>
      </c>
      <c r="G121" s="63" t="str">
        <f>IF(OR($A121="",$E121&lt;&gt;"Closed"),"",IFERROR(INDEX(_EngineTrades!$E$9:$E$508,SUMIFS(_EngineTrades!$AX$9:$AX$508,_EngineTrades!$AU$9:$AU$508,$A121)-8),""))</f>
        <v/>
      </c>
      <c r="H121" s="49" t="str">
        <f>IF($A121="","",ROUND(SUMIFS(_EngineTrades!$Y$9:$Y$508,_EngineTrades!$AU$9:$AU$508,$A121),4))</f>
        <v/>
      </c>
      <c r="I121" s="49" t="str">
        <f>IF($A121="","",ROUND(SUMIFS(_EngineTrades!$Z$9:$Z$508,_EngineTrades!$AU$9:$AU$508,$A121),4))</f>
        <v/>
      </c>
      <c r="J121" s="45" t="str">
        <f t="shared" si="24"/>
        <v/>
      </c>
      <c r="K121" s="49" t="str">
        <f>IF($A121="","",ROUND(SUMIFS(_EngineTrades!$AA$9:$AA$508,_EngineTrades!$AU$9:$AU$508,$A121),4))</f>
        <v/>
      </c>
      <c r="L121" s="49" t="str">
        <f>IF($A121="","",ROUND(SUMIFS(_EngineTrades!$AB$9:$AB$508,_EngineTrades!$AU$9:$AU$508,$A121),4))</f>
        <v/>
      </c>
      <c r="M121" s="49" t="str">
        <f>IF($A121="","",ROUND(SUMIFS(_EngineTrades!$AC$9:$AC$508,_EngineTrades!$AU$9:$AU$508,$A121),4))</f>
        <v/>
      </c>
      <c r="N121" s="49" t="str">
        <f>IF($A121="","",ROUND(SUMIFS(_EngineTrades!$AD$9:$AD$508,_EngineTrades!$AU$9:$AU$508,$A121),4))</f>
        <v/>
      </c>
      <c r="O121" s="45" t="str">
        <f t="shared" si="25"/>
        <v/>
      </c>
      <c r="P121" s="61">
        <f>IF(OR($A121="",$E121&lt;&gt;"Open"),0,IFERROR(LOOKUP(2,1/(_EngineTrades!$AU$9:$AU$508=$A121),_EngineTrades!$AM$9:$AM$508),0))</f>
        <v>0</v>
      </c>
      <c r="Q121" s="49" t="str">
        <f>IF(OR($A121="",$P121=0),"",ROUND(IFERROR(LOOKUP(2,1/(_EngineTrades!$AU$9:$AU$508=$A121),_EngineTrades!$AN$9:$AN$508),0)/$P121,4))</f>
        <v/>
      </c>
      <c r="R121" s="49">
        <f>IF(OR($A121="",$E121&lt;&gt;"Open"),0,IFERROR(LOOKUP(2,1/(_EngineTrades!$AU$9:$AU$508=$A121),_EngineTrades!$AO$9:$AO$508),0))</f>
        <v>0</v>
      </c>
      <c r="S121" s="49">
        <f>IF(OR($A121="",$E121&lt;&gt;"Open"),0,ROUND($R121+IFERROR(LOOKUP(2,1/(_EngineTrades!$AU$9:$AU$508=$A121),_EngineTrades!$AN$9:$AN$508),0),4))</f>
        <v>0</v>
      </c>
      <c r="T121" s="49" t="str">
        <f>IF($A121="","",ROUND(IFERROR(LOOKUP(2,1/(_EngineTrades!$AU$9:$AU$508=$A121),_EngineTrades!$AT$9:$AT$508),0),4))</f>
        <v/>
      </c>
      <c r="U121" s="49" t="str">
        <f t="shared" si="26"/>
        <v/>
      </c>
      <c r="V121" s="49" t="str">
        <f>IF(AND($A121&lt;&gt;"",$E121="Open",$P121+N(IFERROR(LOOKUP(2,1/(_EngineTrades!$AU$9:$AU$508=$A121),_EngineTrades!$AP$9:$AP$508),0))&gt;0),ROUND(($R121-$O121)/($P121+N(IFERROR(LOOKUP(2,1/(_EngineTrades!$AU$9:$AU$508=$A121),_EngineTrades!$AP$9:$AP$508),0))),4),"")</f>
        <v/>
      </c>
      <c r="W121" s="64" t="str">
        <f>IF($A121="","",MAX(1,IF($G121="",_EngineTrades!$E$3-$F121,$G121-$F121)))</f>
        <v/>
      </c>
      <c r="X121" s="65" t="str">
        <f t="shared" si="27"/>
        <v/>
      </c>
      <c r="Y121" s="65" t="str">
        <f t="shared" si="28"/>
        <v/>
      </c>
      <c r="Z121" s="44">
        <f>IF(Cycles!U121="",0,Cycles!U121)</f>
        <v>0</v>
      </c>
      <c r="AA121" s="44">
        <f>IF(Cycles!V121="",0,Cycles!V121)</f>
        <v>0</v>
      </c>
      <c r="AB121" s="44">
        <f>IF(Cycles!W121="",0,Cycles!W121)</f>
        <v>0</v>
      </c>
      <c r="AC121" s="44">
        <f>IF(Cycles!X121="",0,Cycles!X121)</f>
        <v>0</v>
      </c>
      <c r="AD121" s="49" t="str">
        <f t="shared" si="29"/>
        <v/>
      </c>
      <c r="AE121" s="49" t="str">
        <f t="shared" si="30"/>
        <v/>
      </c>
      <c r="AF121" s="49" t="str">
        <f t="shared" si="31"/>
        <v/>
      </c>
      <c r="AG121" t="str">
        <f>IFERROR(MATCH(ROWS($AG$9:AG121),_EngineTrades!$AW$9:$AW$508,0)+8,"")</f>
        <v/>
      </c>
    </row>
    <row r="122" spans="1:33" ht="15" x14ac:dyDescent="0.25">
      <c r="A122" s="66" t="str">
        <f>IF($AG122="","",IFERROR(INDEX(_EngineTrades!$AU$9:$AU$508,MATCH($AG122,_EngineTrades!$AV$9:$AV$508,0)),""))</f>
        <v/>
      </c>
      <c r="B122" s="66" t="str">
        <f>IF($A122="","",INDEX(_EngineTrades!$B$9:$B$508,MATCH($AG122,_EngineTrades!$AV$9:$AV$508,0)))</f>
        <v/>
      </c>
      <c r="C122" s="66" t="str">
        <f>IF($A122="","",INDEX(_EngineTrades!$T$9:$T$508,MATCH($AG122,_EngineTrades!$AV$9:$AV$508,0)))</f>
        <v/>
      </c>
      <c r="D122" s="67" t="str">
        <f>IF($A122="","",INDEX(_EngineTrades!$C$9:$C$508,MATCH($AG122,_EngineTrades!$AV$9:$AV$508,0)))</f>
        <v/>
      </c>
      <c r="E122" s="68" t="str">
        <f>IF($A122="","",IF(IFERROR(LOOKUP(2,1/(_EngineTrades!$AU$9:$AU$508=$A122),_EngineTrades!$AR$9:$AR$508),FALSE),"Closed","Open"))</f>
        <v/>
      </c>
      <c r="F122" s="69" t="str">
        <f>IF($A122="","",INDEX(_EngineTrades!$E$9:$E$508,$AG122-8))</f>
        <v/>
      </c>
      <c r="G122" s="69" t="str">
        <f>IF(OR($A122="",$E122&lt;&gt;"Closed"),"",IFERROR(INDEX(_EngineTrades!$E$9:$E$508,SUMIFS(_EngineTrades!$AX$9:$AX$508,_EngineTrades!$AU$9:$AU$508,$A122)-8),""))</f>
        <v/>
      </c>
      <c r="H122" s="70" t="str">
        <f>IF($A122="","",ROUND(SUMIFS(_EngineTrades!$Y$9:$Y$508,_EngineTrades!$AU$9:$AU$508,$A122),4))</f>
        <v/>
      </c>
      <c r="I122" s="70" t="str">
        <f>IF($A122="","",ROUND(SUMIFS(_EngineTrades!$Z$9:$Z$508,_EngineTrades!$AU$9:$AU$508,$A122),4))</f>
        <v/>
      </c>
      <c r="J122" s="71" t="str">
        <f t="shared" si="24"/>
        <v/>
      </c>
      <c r="K122" s="70" t="str">
        <f>IF($A122="","",ROUND(SUMIFS(_EngineTrades!$AA$9:$AA$508,_EngineTrades!$AU$9:$AU$508,$A122),4))</f>
        <v/>
      </c>
      <c r="L122" s="70" t="str">
        <f>IF($A122="","",ROUND(SUMIFS(_EngineTrades!$AB$9:$AB$508,_EngineTrades!$AU$9:$AU$508,$A122),4))</f>
        <v/>
      </c>
      <c r="M122" s="70" t="str">
        <f>IF($A122="","",ROUND(SUMIFS(_EngineTrades!$AC$9:$AC$508,_EngineTrades!$AU$9:$AU$508,$A122),4))</f>
        <v/>
      </c>
      <c r="N122" s="70" t="str">
        <f>IF($A122="","",ROUND(SUMIFS(_EngineTrades!$AD$9:$AD$508,_EngineTrades!$AU$9:$AU$508,$A122),4))</f>
        <v/>
      </c>
      <c r="O122" s="71" t="str">
        <f t="shared" si="25"/>
        <v/>
      </c>
      <c r="P122" s="66">
        <f>IF(OR($A122="",$E122&lt;&gt;"Open"),0,IFERROR(LOOKUP(2,1/(_EngineTrades!$AU$9:$AU$508=$A122),_EngineTrades!$AM$9:$AM$508),0))</f>
        <v>0</v>
      </c>
      <c r="Q122" s="70" t="str">
        <f>IF(OR($A122="",$P122=0),"",ROUND(IFERROR(LOOKUP(2,1/(_EngineTrades!$AU$9:$AU$508=$A122),_EngineTrades!$AN$9:$AN$508),0)/$P122,4))</f>
        <v/>
      </c>
      <c r="R122" s="70">
        <f>IF(OR($A122="",$E122&lt;&gt;"Open"),0,IFERROR(LOOKUP(2,1/(_EngineTrades!$AU$9:$AU$508=$A122),_EngineTrades!$AO$9:$AO$508),0))</f>
        <v>0</v>
      </c>
      <c r="S122" s="70">
        <f>IF(OR($A122="",$E122&lt;&gt;"Open"),0,ROUND($R122+IFERROR(LOOKUP(2,1/(_EngineTrades!$AU$9:$AU$508=$A122),_EngineTrades!$AN$9:$AN$508),0),4))</f>
        <v>0</v>
      </c>
      <c r="T122" s="70" t="str">
        <f>IF($A122="","",ROUND(IFERROR(LOOKUP(2,1/(_EngineTrades!$AU$9:$AU$508=$A122),_EngineTrades!$AT$9:$AT$508),0),4))</f>
        <v/>
      </c>
      <c r="U122" s="70" t="str">
        <f t="shared" si="26"/>
        <v/>
      </c>
      <c r="V122" s="70" t="str">
        <f>IF(AND($A122&lt;&gt;"",$E122="Open",$P122+N(IFERROR(LOOKUP(2,1/(_EngineTrades!$AU$9:$AU$508=$A122),_EngineTrades!$AP$9:$AP$508),0))&gt;0),ROUND(($R122-$O122)/($P122+N(IFERROR(LOOKUP(2,1/(_EngineTrades!$AU$9:$AU$508=$A122),_EngineTrades!$AP$9:$AP$508),0))),4),"")</f>
        <v/>
      </c>
      <c r="W122" s="72" t="str">
        <f>IF($A122="","",MAX(1,IF($G122="",_EngineTrades!$E$3-$F122,$G122-$F122)))</f>
        <v/>
      </c>
      <c r="X122" s="73" t="str">
        <f t="shared" si="27"/>
        <v/>
      </c>
      <c r="Y122" s="73" t="str">
        <f t="shared" si="28"/>
        <v/>
      </c>
      <c r="Z122" s="44">
        <f>IF(Cycles!U122="",0,Cycles!U122)</f>
        <v>0</v>
      </c>
      <c r="AA122" s="44">
        <f>IF(Cycles!V122="",0,Cycles!V122)</f>
        <v>0</v>
      </c>
      <c r="AB122" s="44">
        <f>IF(Cycles!W122="",0,Cycles!W122)</f>
        <v>0</v>
      </c>
      <c r="AC122" s="44">
        <f>IF(Cycles!X122="",0,Cycles!X122)</f>
        <v>0</v>
      </c>
      <c r="AD122" s="70" t="str">
        <f t="shared" si="29"/>
        <v/>
      </c>
      <c r="AE122" s="70" t="str">
        <f t="shared" si="30"/>
        <v/>
      </c>
      <c r="AF122" s="70" t="str">
        <f t="shared" si="31"/>
        <v/>
      </c>
      <c r="AG122" t="str">
        <f>IFERROR(MATCH(ROWS($AG$9:AG122),_EngineTrades!$AW$9:$AW$508,0)+8,"")</f>
        <v/>
      </c>
    </row>
    <row r="123" spans="1:33" ht="15" x14ac:dyDescent="0.25">
      <c r="A123" s="61" t="str">
        <f>IF($AG123="","",IFERROR(INDEX(_EngineTrades!$AU$9:$AU$508,MATCH($AG123,_EngineTrades!$AV$9:$AV$508,0)),""))</f>
        <v/>
      </c>
      <c r="B123" s="61" t="str">
        <f>IF($A123="","",INDEX(_EngineTrades!$B$9:$B$508,MATCH($AG123,_EngineTrades!$AV$9:$AV$508,0)))</f>
        <v/>
      </c>
      <c r="C123" s="61" t="str">
        <f>IF($A123="","",INDEX(_EngineTrades!$T$9:$T$508,MATCH($AG123,_EngineTrades!$AV$9:$AV$508,0)))</f>
        <v/>
      </c>
      <c r="D123" s="47" t="str">
        <f>IF($A123="","",INDEX(_EngineTrades!$C$9:$C$508,MATCH($AG123,_EngineTrades!$AV$9:$AV$508,0)))</f>
        <v/>
      </c>
      <c r="E123" s="62" t="str">
        <f>IF($A123="","",IF(IFERROR(LOOKUP(2,1/(_EngineTrades!$AU$9:$AU$508=$A123),_EngineTrades!$AR$9:$AR$508),FALSE),"Closed","Open"))</f>
        <v/>
      </c>
      <c r="F123" s="63" t="str">
        <f>IF($A123="","",INDEX(_EngineTrades!$E$9:$E$508,$AG123-8))</f>
        <v/>
      </c>
      <c r="G123" s="63" t="str">
        <f>IF(OR($A123="",$E123&lt;&gt;"Closed"),"",IFERROR(INDEX(_EngineTrades!$E$9:$E$508,SUMIFS(_EngineTrades!$AX$9:$AX$508,_EngineTrades!$AU$9:$AU$508,$A123)-8),""))</f>
        <v/>
      </c>
      <c r="H123" s="49" t="str">
        <f>IF($A123="","",ROUND(SUMIFS(_EngineTrades!$Y$9:$Y$508,_EngineTrades!$AU$9:$AU$508,$A123),4))</f>
        <v/>
      </c>
      <c r="I123" s="49" t="str">
        <f>IF($A123="","",ROUND(SUMIFS(_EngineTrades!$Z$9:$Z$508,_EngineTrades!$AU$9:$AU$508,$A123),4))</f>
        <v/>
      </c>
      <c r="J123" s="45" t="str">
        <f t="shared" si="24"/>
        <v/>
      </c>
      <c r="K123" s="49" t="str">
        <f>IF($A123="","",ROUND(SUMIFS(_EngineTrades!$AA$9:$AA$508,_EngineTrades!$AU$9:$AU$508,$A123),4))</f>
        <v/>
      </c>
      <c r="L123" s="49" t="str">
        <f>IF($A123="","",ROUND(SUMIFS(_EngineTrades!$AB$9:$AB$508,_EngineTrades!$AU$9:$AU$508,$A123),4))</f>
        <v/>
      </c>
      <c r="M123" s="49" t="str">
        <f>IF($A123="","",ROUND(SUMIFS(_EngineTrades!$AC$9:$AC$508,_EngineTrades!$AU$9:$AU$508,$A123),4))</f>
        <v/>
      </c>
      <c r="N123" s="49" t="str">
        <f>IF($A123="","",ROUND(SUMIFS(_EngineTrades!$AD$9:$AD$508,_EngineTrades!$AU$9:$AU$508,$A123),4))</f>
        <v/>
      </c>
      <c r="O123" s="45" t="str">
        <f t="shared" si="25"/>
        <v/>
      </c>
      <c r="P123" s="61">
        <f>IF(OR($A123="",$E123&lt;&gt;"Open"),0,IFERROR(LOOKUP(2,1/(_EngineTrades!$AU$9:$AU$508=$A123),_EngineTrades!$AM$9:$AM$508),0))</f>
        <v>0</v>
      </c>
      <c r="Q123" s="49" t="str">
        <f>IF(OR($A123="",$P123=0),"",ROUND(IFERROR(LOOKUP(2,1/(_EngineTrades!$AU$9:$AU$508=$A123),_EngineTrades!$AN$9:$AN$508),0)/$P123,4))</f>
        <v/>
      </c>
      <c r="R123" s="49">
        <f>IF(OR($A123="",$E123&lt;&gt;"Open"),0,IFERROR(LOOKUP(2,1/(_EngineTrades!$AU$9:$AU$508=$A123),_EngineTrades!$AO$9:$AO$508),0))</f>
        <v>0</v>
      </c>
      <c r="S123" s="49">
        <f>IF(OR($A123="",$E123&lt;&gt;"Open"),0,ROUND($R123+IFERROR(LOOKUP(2,1/(_EngineTrades!$AU$9:$AU$508=$A123),_EngineTrades!$AN$9:$AN$508),0),4))</f>
        <v>0</v>
      </c>
      <c r="T123" s="49" t="str">
        <f>IF($A123="","",ROUND(IFERROR(LOOKUP(2,1/(_EngineTrades!$AU$9:$AU$508=$A123),_EngineTrades!$AT$9:$AT$508),0),4))</f>
        <v/>
      </c>
      <c r="U123" s="49" t="str">
        <f t="shared" si="26"/>
        <v/>
      </c>
      <c r="V123" s="49" t="str">
        <f>IF(AND($A123&lt;&gt;"",$E123="Open",$P123+N(IFERROR(LOOKUP(2,1/(_EngineTrades!$AU$9:$AU$508=$A123),_EngineTrades!$AP$9:$AP$508),0))&gt;0),ROUND(($R123-$O123)/($P123+N(IFERROR(LOOKUP(2,1/(_EngineTrades!$AU$9:$AU$508=$A123),_EngineTrades!$AP$9:$AP$508),0))),4),"")</f>
        <v/>
      </c>
      <c r="W123" s="64" t="str">
        <f>IF($A123="","",MAX(1,IF($G123="",_EngineTrades!$E$3-$F123,$G123-$F123)))</f>
        <v/>
      </c>
      <c r="X123" s="65" t="str">
        <f t="shared" si="27"/>
        <v/>
      </c>
      <c r="Y123" s="65" t="str">
        <f t="shared" si="28"/>
        <v/>
      </c>
      <c r="Z123" s="44">
        <f>IF(Cycles!U123="",0,Cycles!U123)</f>
        <v>0</v>
      </c>
      <c r="AA123" s="44">
        <f>IF(Cycles!V123="",0,Cycles!V123)</f>
        <v>0</v>
      </c>
      <c r="AB123" s="44">
        <f>IF(Cycles!W123="",0,Cycles!W123)</f>
        <v>0</v>
      </c>
      <c r="AC123" s="44">
        <f>IF(Cycles!X123="",0,Cycles!X123)</f>
        <v>0</v>
      </c>
      <c r="AD123" s="49" t="str">
        <f t="shared" si="29"/>
        <v/>
      </c>
      <c r="AE123" s="49" t="str">
        <f t="shared" si="30"/>
        <v/>
      </c>
      <c r="AF123" s="49" t="str">
        <f t="shared" si="31"/>
        <v/>
      </c>
      <c r="AG123" t="str">
        <f>IFERROR(MATCH(ROWS($AG$9:AG123),_EngineTrades!$AW$9:$AW$508,0)+8,"")</f>
        <v/>
      </c>
    </row>
    <row r="124" spans="1:33" ht="15" x14ac:dyDescent="0.25">
      <c r="A124" s="66" t="str">
        <f>IF($AG124="","",IFERROR(INDEX(_EngineTrades!$AU$9:$AU$508,MATCH($AG124,_EngineTrades!$AV$9:$AV$508,0)),""))</f>
        <v/>
      </c>
      <c r="B124" s="66" t="str">
        <f>IF($A124="","",INDEX(_EngineTrades!$B$9:$B$508,MATCH($AG124,_EngineTrades!$AV$9:$AV$508,0)))</f>
        <v/>
      </c>
      <c r="C124" s="66" t="str">
        <f>IF($A124="","",INDEX(_EngineTrades!$T$9:$T$508,MATCH($AG124,_EngineTrades!$AV$9:$AV$508,0)))</f>
        <v/>
      </c>
      <c r="D124" s="67" t="str">
        <f>IF($A124="","",INDEX(_EngineTrades!$C$9:$C$508,MATCH($AG124,_EngineTrades!$AV$9:$AV$508,0)))</f>
        <v/>
      </c>
      <c r="E124" s="68" t="str">
        <f>IF($A124="","",IF(IFERROR(LOOKUP(2,1/(_EngineTrades!$AU$9:$AU$508=$A124),_EngineTrades!$AR$9:$AR$508),FALSE),"Closed","Open"))</f>
        <v/>
      </c>
      <c r="F124" s="69" t="str">
        <f>IF($A124="","",INDEX(_EngineTrades!$E$9:$E$508,$AG124-8))</f>
        <v/>
      </c>
      <c r="G124" s="69" t="str">
        <f>IF(OR($A124="",$E124&lt;&gt;"Closed"),"",IFERROR(INDEX(_EngineTrades!$E$9:$E$508,SUMIFS(_EngineTrades!$AX$9:$AX$508,_EngineTrades!$AU$9:$AU$508,$A124)-8),""))</f>
        <v/>
      </c>
      <c r="H124" s="70" t="str">
        <f>IF($A124="","",ROUND(SUMIFS(_EngineTrades!$Y$9:$Y$508,_EngineTrades!$AU$9:$AU$508,$A124),4))</f>
        <v/>
      </c>
      <c r="I124" s="70" t="str">
        <f>IF($A124="","",ROUND(SUMIFS(_EngineTrades!$Z$9:$Z$508,_EngineTrades!$AU$9:$AU$508,$A124),4))</f>
        <v/>
      </c>
      <c r="J124" s="71" t="str">
        <f t="shared" si="24"/>
        <v/>
      </c>
      <c r="K124" s="70" t="str">
        <f>IF($A124="","",ROUND(SUMIFS(_EngineTrades!$AA$9:$AA$508,_EngineTrades!$AU$9:$AU$508,$A124),4))</f>
        <v/>
      </c>
      <c r="L124" s="70" t="str">
        <f>IF($A124="","",ROUND(SUMIFS(_EngineTrades!$AB$9:$AB$508,_EngineTrades!$AU$9:$AU$508,$A124),4))</f>
        <v/>
      </c>
      <c r="M124" s="70" t="str">
        <f>IF($A124="","",ROUND(SUMIFS(_EngineTrades!$AC$9:$AC$508,_EngineTrades!$AU$9:$AU$508,$A124),4))</f>
        <v/>
      </c>
      <c r="N124" s="70" t="str">
        <f>IF($A124="","",ROUND(SUMIFS(_EngineTrades!$AD$9:$AD$508,_EngineTrades!$AU$9:$AU$508,$A124),4))</f>
        <v/>
      </c>
      <c r="O124" s="71" t="str">
        <f t="shared" si="25"/>
        <v/>
      </c>
      <c r="P124" s="66">
        <f>IF(OR($A124="",$E124&lt;&gt;"Open"),0,IFERROR(LOOKUP(2,1/(_EngineTrades!$AU$9:$AU$508=$A124),_EngineTrades!$AM$9:$AM$508),0))</f>
        <v>0</v>
      </c>
      <c r="Q124" s="70" t="str">
        <f>IF(OR($A124="",$P124=0),"",ROUND(IFERROR(LOOKUP(2,1/(_EngineTrades!$AU$9:$AU$508=$A124),_EngineTrades!$AN$9:$AN$508),0)/$P124,4))</f>
        <v/>
      </c>
      <c r="R124" s="70">
        <f>IF(OR($A124="",$E124&lt;&gt;"Open"),0,IFERROR(LOOKUP(2,1/(_EngineTrades!$AU$9:$AU$508=$A124),_EngineTrades!$AO$9:$AO$508),0))</f>
        <v>0</v>
      </c>
      <c r="S124" s="70">
        <f>IF(OR($A124="",$E124&lt;&gt;"Open"),0,ROUND($R124+IFERROR(LOOKUP(2,1/(_EngineTrades!$AU$9:$AU$508=$A124),_EngineTrades!$AN$9:$AN$508),0),4))</f>
        <v>0</v>
      </c>
      <c r="T124" s="70" t="str">
        <f>IF($A124="","",ROUND(IFERROR(LOOKUP(2,1/(_EngineTrades!$AU$9:$AU$508=$A124),_EngineTrades!$AT$9:$AT$508),0),4))</f>
        <v/>
      </c>
      <c r="U124" s="70" t="str">
        <f t="shared" si="26"/>
        <v/>
      </c>
      <c r="V124" s="70" t="str">
        <f>IF(AND($A124&lt;&gt;"",$E124="Open",$P124+N(IFERROR(LOOKUP(2,1/(_EngineTrades!$AU$9:$AU$508=$A124),_EngineTrades!$AP$9:$AP$508),0))&gt;0),ROUND(($R124-$O124)/($P124+N(IFERROR(LOOKUP(2,1/(_EngineTrades!$AU$9:$AU$508=$A124),_EngineTrades!$AP$9:$AP$508),0))),4),"")</f>
        <v/>
      </c>
      <c r="W124" s="72" t="str">
        <f>IF($A124="","",MAX(1,IF($G124="",_EngineTrades!$E$3-$F124,$G124-$F124)))</f>
        <v/>
      </c>
      <c r="X124" s="73" t="str">
        <f t="shared" si="27"/>
        <v/>
      </c>
      <c r="Y124" s="73" t="str">
        <f t="shared" si="28"/>
        <v/>
      </c>
      <c r="Z124" s="44">
        <f>IF(Cycles!U124="",0,Cycles!U124)</f>
        <v>0</v>
      </c>
      <c r="AA124" s="44">
        <f>IF(Cycles!V124="",0,Cycles!V124)</f>
        <v>0</v>
      </c>
      <c r="AB124" s="44">
        <f>IF(Cycles!W124="",0,Cycles!W124)</f>
        <v>0</v>
      </c>
      <c r="AC124" s="44">
        <f>IF(Cycles!X124="",0,Cycles!X124)</f>
        <v>0</v>
      </c>
      <c r="AD124" s="70" t="str">
        <f t="shared" si="29"/>
        <v/>
      </c>
      <c r="AE124" s="70" t="str">
        <f t="shared" si="30"/>
        <v/>
      </c>
      <c r="AF124" s="70" t="str">
        <f t="shared" si="31"/>
        <v/>
      </c>
      <c r="AG124" t="str">
        <f>IFERROR(MATCH(ROWS($AG$9:AG124),_EngineTrades!$AW$9:$AW$508,0)+8,"")</f>
        <v/>
      </c>
    </row>
    <row r="125" spans="1:33" ht="15" x14ac:dyDescent="0.25">
      <c r="A125" s="61" t="str">
        <f>IF($AG125="","",IFERROR(INDEX(_EngineTrades!$AU$9:$AU$508,MATCH($AG125,_EngineTrades!$AV$9:$AV$508,0)),""))</f>
        <v/>
      </c>
      <c r="B125" s="61" t="str">
        <f>IF($A125="","",INDEX(_EngineTrades!$B$9:$B$508,MATCH($AG125,_EngineTrades!$AV$9:$AV$508,0)))</f>
        <v/>
      </c>
      <c r="C125" s="61" t="str">
        <f>IF($A125="","",INDEX(_EngineTrades!$T$9:$T$508,MATCH($AG125,_EngineTrades!$AV$9:$AV$508,0)))</f>
        <v/>
      </c>
      <c r="D125" s="47" t="str">
        <f>IF($A125="","",INDEX(_EngineTrades!$C$9:$C$508,MATCH($AG125,_EngineTrades!$AV$9:$AV$508,0)))</f>
        <v/>
      </c>
      <c r="E125" s="62" t="str">
        <f>IF($A125="","",IF(IFERROR(LOOKUP(2,1/(_EngineTrades!$AU$9:$AU$508=$A125),_EngineTrades!$AR$9:$AR$508),FALSE),"Closed","Open"))</f>
        <v/>
      </c>
      <c r="F125" s="63" t="str">
        <f>IF($A125="","",INDEX(_EngineTrades!$E$9:$E$508,$AG125-8))</f>
        <v/>
      </c>
      <c r="G125" s="63" t="str">
        <f>IF(OR($A125="",$E125&lt;&gt;"Closed"),"",IFERROR(INDEX(_EngineTrades!$E$9:$E$508,SUMIFS(_EngineTrades!$AX$9:$AX$508,_EngineTrades!$AU$9:$AU$508,$A125)-8),""))</f>
        <v/>
      </c>
      <c r="H125" s="49" t="str">
        <f>IF($A125="","",ROUND(SUMIFS(_EngineTrades!$Y$9:$Y$508,_EngineTrades!$AU$9:$AU$508,$A125),4))</f>
        <v/>
      </c>
      <c r="I125" s="49" t="str">
        <f>IF($A125="","",ROUND(SUMIFS(_EngineTrades!$Z$9:$Z$508,_EngineTrades!$AU$9:$AU$508,$A125),4))</f>
        <v/>
      </c>
      <c r="J125" s="45" t="str">
        <f t="shared" si="24"/>
        <v/>
      </c>
      <c r="K125" s="49" t="str">
        <f>IF($A125="","",ROUND(SUMIFS(_EngineTrades!$AA$9:$AA$508,_EngineTrades!$AU$9:$AU$508,$A125),4))</f>
        <v/>
      </c>
      <c r="L125" s="49" t="str">
        <f>IF($A125="","",ROUND(SUMIFS(_EngineTrades!$AB$9:$AB$508,_EngineTrades!$AU$9:$AU$508,$A125),4))</f>
        <v/>
      </c>
      <c r="M125" s="49" t="str">
        <f>IF($A125="","",ROUND(SUMIFS(_EngineTrades!$AC$9:$AC$508,_EngineTrades!$AU$9:$AU$508,$A125),4))</f>
        <v/>
      </c>
      <c r="N125" s="49" t="str">
        <f>IF($A125="","",ROUND(SUMIFS(_EngineTrades!$AD$9:$AD$508,_EngineTrades!$AU$9:$AU$508,$A125),4))</f>
        <v/>
      </c>
      <c r="O125" s="45" t="str">
        <f t="shared" si="25"/>
        <v/>
      </c>
      <c r="P125" s="61">
        <f>IF(OR($A125="",$E125&lt;&gt;"Open"),0,IFERROR(LOOKUP(2,1/(_EngineTrades!$AU$9:$AU$508=$A125),_EngineTrades!$AM$9:$AM$508),0))</f>
        <v>0</v>
      </c>
      <c r="Q125" s="49" t="str">
        <f>IF(OR($A125="",$P125=0),"",ROUND(IFERROR(LOOKUP(2,1/(_EngineTrades!$AU$9:$AU$508=$A125),_EngineTrades!$AN$9:$AN$508),0)/$P125,4))</f>
        <v/>
      </c>
      <c r="R125" s="49">
        <f>IF(OR($A125="",$E125&lt;&gt;"Open"),0,IFERROR(LOOKUP(2,1/(_EngineTrades!$AU$9:$AU$508=$A125),_EngineTrades!$AO$9:$AO$508),0))</f>
        <v>0</v>
      </c>
      <c r="S125" s="49">
        <f>IF(OR($A125="",$E125&lt;&gt;"Open"),0,ROUND($R125+IFERROR(LOOKUP(2,1/(_EngineTrades!$AU$9:$AU$508=$A125),_EngineTrades!$AN$9:$AN$508),0),4))</f>
        <v>0</v>
      </c>
      <c r="T125" s="49" t="str">
        <f>IF($A125="","",ROUND(IFERROR(LOOKUP(2,1/(_EngineTrades!$AU$9:$AU$508=$A125),_EngineTrades!$AT$9:$AT$508),0),4))</f>
        <v/>
      </c>
      <c r="U125" s="49" t="str">
        <f t="shared" si="26"/>
        <v/>
      </c>
      <c r="V125" s="49" t="str">
        <f>IF(AND($A125&lt;&gt;"",$E125="Open",$P125+N(IFERROR(LOOKUP(2,1/(_EngineTrades!$AU$9:$AU$508=$A125),_EngineTrades!$AP$9:$AP$508),0))&gt;0),ROUND(($R125-$O125)/($P125+N(IFERROR(LOOKUP(2,1/(_EngineTrades!$AU$9:$AU$508=$A125),_EngineTrades!$AP$9:$AP$508),0))),4),"")</f>
        <v/>
      </c>
      <c r="W125" s="64" t="str">
        <f>IF($A125="","",MAX(1,IF($G125="",_EngineTrades!$E$3-$F125,$G125-$F125)))</f>
        <v/>
      </c>
      <c r="X125" s="65" t="str">
        <f t="shared" si="27"/>
        <v/>
      </c>
      <c r="Y125" s="65" t="str">
        <f t="shared" si="28"/>
        <v/>
      </c>
      <c r="Z125" s="44">
        <f>IF(Cycles!U125="",0,Cycles!U125)</f>
        <v>0</v>
      </c>
      <c r="AA125" s="44">
        <f>IF(Cycles!V125="",0,Cycles!V125)</f>
        <v>0</v>
      </c>
      <c r="AB125" s="44">
        <f>IF(Cycles!W125="",0,Cycles!W125)</f>
        <v>0</v>
      </c>
      <c r="AC125" s="44">
        <f>IF(Cycles!X125="",0,Cycles!X125)</f>
        <v>0</v>
      </c>
      <c r="AD125" s="49" t="str">
        <f t="shared" si="29"/>
        <v/>
      </c>
      <c r="AE125" s="49" t="str">
        <f t="shared" si="30"/>
        <v/>
      </c>
      <c r="AF125" s="49" t="str">
        <f t="shared" si="31"/>
        <v/>
      </c>
      <c r="AG125" t="str">
        <f>IFERROR(MATCH(ROWS($AG$9:AG125),_EngineTrades!$AW$9:$AW$508,0)+8,"")</f>
        <v/>
      </c>
    </row>
    <row r="126" spans="1:33" ht="15" x14ac:dyDescent="0.25">
      <c r="A126" s="66" t="str">
        <f>IF($AG126="","",IFERROR(INDEX(_EngineTrades!$AU$9:$AU$508,MATCH($AG126,_EngineTrades!$AV$9:$AV$508,0)),""))</f>
        <v/>
      </c>
      <c r="B126" s="66" t="str">
        <f>IF($A126="","",INDEX(_EngineTrades!$B$9:$B$508,MATCH($AG126,_EngineTrades!$AV$9:$AV$508,0)))</f>
        <v/>
      </c>
      <c r="C126" s="66" t="str">
        <f>IF($A126="","",INDEX(_EngineTrades!$T$9:$T$508,MATCH($AG126,_EngineTrades!$AV$9:$AV$508,0)))</f>
        <v/>
      </c>
      <c r="D126" s="67" t="str">
        <f>IF($A126="","",INDEX(_EngineTrades!$C$9:$C$508,MATCH($AG126,_EngineTrades!$AV$9:$AV$508,0)))</f>
        <v/>
      </c>
      <c r="E126" s="68" t="str">
        <f>IF($A126="","",IF(IFERROR(LOOKUP(2,1/(_EngineTrades!$AU$9:$AU$508=$A126),_EngineTrades!$AR$9:$AR$508),FALSE),"Closed","Open"))</f>
        <v/>
      </c>
      <c r="F126" s="69" t="str">
        <f>IF($A126="","",INDEX(_EngineTrades!$E$9:$E$508,$AG126-8))</f>
        <v/>
      </c>
      <c r="G126" s="69" t="str">
        <f>IF(OR($A126="",$E126&lt;&gt;"Closed"),"",IFERROR(INDEX(_EngineTrades!$E$9:$E$508,SUMIFS(_EngineTrades!$AX$9:$AX$508,_EngineTrades!$AU$9:$AU$508,$A126)-8),""))</f>
        <v/>
      </c>
      <c r="H126" s="70" t="str">
        <f>IF($A126="","",ROUND(SUMIFS(_EngineTrades!$Y$9:$Y$508,_EngineTrades!$AU$9:$AU$508,$A126),4))</f>
        <v/>
      </c>
      <c r="I126" s="70" t="str">
        <f>IF($A126="","",ROUND(SUMIFS(_EngineTrades!$Z$9:$Z$508,_EngineTrades!$AU$9:$AU$508,$A126),4))</f>
        <v/>
      </c>
      <c r="J126" s="71" t="str">
        <f t="shared" si="24"/>
        <v/>
      </c>
      <c r="K126" s="70" t="str">
        <f>IF($A126="","",ROUND(SUMIFS(_EngineTrades!$AA$9:$AA$508,_EngineTrades!$AU$9:$AU$508,$A126),4))</f>
        <v/>
      </c>
      <c r="L126" s="70" t="str">
        <f>IF($A126="","",ROUND(SUMIFS(_EngineTrades!$AB$9:$AB$508,_EngineTrades!$AU$9:$AU$508,$A126),4))</f>
        <v/>
      </c>
      <c r="M126" s="70" t="str">
        <f>IF($A126="","",ROUND(SUMIFS(_EngineTrades!$AC$9:$AC$508,_EngineTrades!$AU$9:$AU$508,$A126),4))</f>
        <v/>
      </c>
      <c r="N126" s="70" t="str">
        <f>IF($A126="","",ROUND(SUMIFS(_EngineTrades!$AD$9:$AD$508,_EngineTrades!$AU$9:$AU$508,$A126),4))</f>
        <v/>
      </c>
      <c r="O126" s="71" t="str">
        <f t="shared" si="25"/>
        <v/>
      </c>
      <c r="P126" s="66">
        <f>IF(OR($A126="",$E126&lt;&gt;"Open"),0,IFERROR(LOOKUP(2,1/(_EngineTrades!$AU$9:$AU$508=$A126),_EngineTrades!$AM$9:$AM$508),0))</f>
        <v>0</v>
      </c>
      <c r="Q126" s="70" t="str">
        <f>IF(OR($A126="",$P126=0),"",ROUND(IFERROR(LOOKUP(2,1/(_EngineTrades!$AU$9:$AU$508=$A126),_EngineTrades!$AN$9:$AN$508),0)/$P126,4))</f>
        <v/>
      </c>
      <c r="R126" s="70">
        <f>IF(OR($A126="",$E126&lt;&gt;"Open"),0,IFERROR(LOOKUP(2,1/(_EngineTrades!$AU$9:$AU$508=$A126),_EngineTrades!$AO$9:$AO$508),0))</f>
        <v>0</v>
      </c>
      <c r="S126" s="70">
        <f>IF(OR($A126="",$E126&lt;&gt;"Open"),0,ROUND($R126+IFERROR(LOOKUP(2,1/(_EngineTrades!$AU$9:$AU$508=$A126),_EngineTrades!$AN$9:$AN$508),0),4))</f>
        <v>0</v>
      </c>
      <c r="T126" s="70" t="str">
        <f>IF($A126="","",ROUND(IFERROR(LOOKUP(2,1/(_EngineTrades!$AU$9:$AU$508=$A126),_EngineTrades!$AT$9:$AT$508),0),4))</f>
        <v/>
      </c>
      <c r="U126" s="70" t="str">
        <f t="shared" si="26"/>
        <v/>
      </c>
      <c r="V126" s="70" t="str">
        <f>IF(AND($A126&lt;&gt;"",$E126="Open",$P126+N(IFERROR(LOOKUP(2,1/(_EngineTrades!$AU$9:$AU$508=$A126),_EngineTrades!$AP$9:$AP$508),0))&gt;0),ROUND(($R126-$O126)/($P126+N(IFERROR(LOOKUP(2,1/(_EngineTrades!$AU$9:$AU$508=$A126),_EngineTrades!$AP$9:$AP$508),0))),4),"")</f>
        <v/>
      </c>
      <c r="W126" s="72" t="str">
        <f>IF($A126="","",MAX(1,IF($G126="",_EngineTrades!$E$3-$F126,$G126-$F126)))</f>
        <v/>
      </c>
      <c r="X126" s="73" t="str">
        <f t="shared" si="27"/>
        <v/>
      </c>
      <c r="Y126" s="73" t="str">
        <f t="shared" si="28"/>
        <v/>
      </c>
      <c r="Z126" s="44">
        <f>IF(Cycles!U126="",0,Cycles!U126)</f>
        <v>0</v>
      </c>
      <c r="AA126" s="44">
        <f>IF(Cycles!V126="",0,Cycles!V126)</f>
        <v>0</v>
      </c>
      <c r="AB126" s="44">
        <f>IF(Cycles!W126="",0,Cycles!W126)</f>
        <v>0</v>
      </c>
      <c r="AC126" s="44">
        <f>IF(Cycles!X126="",0,Cycles!X126)</f>
        <v>0</v>
      </c>
      <c r="AD126" s="70" t="str">
        <f t="shared" si="29"/>
        <v/>
      </c>
      <c r="AE126" s="70" t="str">
        <f t="shared" si="30"/>
        <v/>
      </c>
      <c r="AF126" s="70" t="str">
        <f t="shared" si="31"/>
        <v/>
      </c>
      <c r="AG126" t="str">
        <f>IFERROR(MATCH(ROWS($AG$9:AG126),_EngineTrades!$AW$9:$AW$508,0)+8,"")</f>
        <v/>
      </c>
    </row>
    <row r="127" spans="1:33" ht="15" x14ac:dyDescent="0.25">
      <c r="A127" s="61" t="str">
        <f>IF($AG127="","",IFERROR(INDEX(_EngineTrades!$AU$9:$AU$508,MATCH($AG127,_EngineTrades!$AV$9:$AV$508,0)),""))</f>
        <v/>
      </c>
      <c r="B127" s="61" t="str">
        <f>IF($A127="","",INDEX(_EngineTrades!$B$9:$B$508,MATCH($AG127,_EngineTrades!$AV$9:$AV$508,0)))</f>
        <v/>
      </c>
      <c r="C127" s="61" t="str">
        <f>IF($A127="","",INDEX(_EngineTrades!$T$9:$T$508,MATCH($AG127,_EngineTrades!$AV$9:$AV$508,0)))</f>
        <v/>
      </c>
      <c r="D127" s="47" t="str">
        <f>IF($A127="","",INDEX(_EngineTrades!$C$9:$C$508,MATCH($AG127,_EngineTrades!$AV$9:$AV$508,0)))</f>
        <v/>
      </c>
      <c r="E127" s="62" t="str">
        <f>IF($A127="","",IF(IFERROR(LOOKUP(2,1/(_EngineTrades!$AU$9:$AU$508=$A127),_EngineTrades!$AR$9:$AR$508),FALSE),"Closed","Open"))</f>
        <v/>
      </c>
      <c r="F127" s="63" t="str">
        <f>IF($A127="","",INDEX(_EngineTrades!$E$9:$E$508,$AG127-8))</f>
        <v/>
      </c>
      <c r="G127" s="63" t="str">
        <f>IF(OR($A127="",$E127&lt;&gt;"Closed"),"",IFERROR(INDEX(_EngineTrades!$E$9:$E$508,SUMIFS(_EngineTrades!$AX$9:$AX$508,_EngineTrades!$AU$9:$AU$508,$A127)-8),""))</f>
        <v/>
      </c>
      <c r="H127" s="49" t="str">
        <f>IF($A127="","",ROUND(SUMIFS(_EngineTrades!$Y$9:$Y$508,_EngineTrades!$AU$9:$AU$508,$A127),4))</f>
        <v/>
      </c>
      <c r="I127" s="49" t="str">
        <f>IF($A127="","",ROUND(SUMIFS(_EngineTrades!$Z$9:$Z$508,_EngineTrades!$AU$9:$AU$508,$A127),4))</f>
        <v/>
      </c>
      <c r="J127" s="45" t="str">
        <f t="shared" si="24"/>
        <v/>
      </c>
      <c r="K127" s="49" t="str">
        <f>IF($A127="","",ROUND(SUMIFS(_EngineTrades!$AA$9:$AA$508,_EngineTrades!$AU$9:$AU$508,$A127),4))</f>
        <v/>
      </c>
      <c r="L127" s="49" t="str">
        <f>IF($A127="","",ROUND(SUMIFS(_EngineTrades!$AB$9:$AB$508,_EngineTrades!$AU$9:$AU$508,$A127),4))</f>
        <v/>
      </c>
      <c r="M127" s="49" t="str">
        <f>IF($A127="","",ROUND(SUMIFS(_EngineTrades!$AC$9:$AC$508,_EngineTrades!$AU$9:$AU$508,$A127),4))</f>
        <v/>
      </c>
      <c r="N127" s="49" t="str">
        <f>IF($A127="","",ROUND(SUMIFS(_EngineTrades!$AD$9:$AD$508,_EngineTrades!$AU$9:$AU$508,$A127),4))</f>
        <v/>
      </c>
      <c r="O127" s="45" t="str">
        <f t="shared" si="25"/>
        <v/>
      </c>
      <c r="P127" s="61">
        <f>IF(OR($A127="",$E127&lt;&gt;"Open"),0,IFERROR(LOOKUP(2,1/(_EngineTrades!$AU$9:$AU$508=$A127),_EngineTrades!$AM$9:$AM$508),0))</f>
        <v>0</v>
      </c>
      <c r="Q127" s="49" t="str">
        <f>IF(OR($A127="",$P127=0),"",ROUND(IFERROR(LOOKUP(2,1/(_EngineTrades!$AU$9:$AU$508=$A127),_EngineTrades!$AN$9:$AN$508),0)/$P127,4))</f>
        <v/>
      </c>
      <c r="R127" s="49">
        <f>IF(OR($A127="",$E127&lt;&gt;"Open"),0,IFERROR(LOOKUP(2,1/(_EngineTrades!$AU$9:$AU$508=$A127),_EngineTrades!$AO$9:$AO$508),0))</f>
        <v>0</v>
      </c>
      <c r="S127" s="49">
        <f>IF(OR($A127="",$E127&lt;&gt;"Open"),0,ROUND($R127+IFERROR(LOOKUP(2,1/(_EngineTrades!$AU$9:$AU$508=$A127),_EngineTrades!$AN$9:$AN$508),0),4))</f>
        <v>0</v>
      </c>
      <c r="T127" s="49" t="str">
        <f>IF($A127="","",ROUND(IFERROR(LOOKUP(2,1/(_EngineTrades!$AU$9:$AU$508=$A127),_EngineTrades!$AT$9:$AT$508),0),4))</f>
        <v/>
      </c>
      <c r="U127" s="49" t="str">
        <f t="shared" si="26"/>
        <v/>
      </c>
      <c r="V127" s="49" t="str">
        <f>IF(AND($A127&lt;&gt;"",$E127="Open",$P127+N(IFERROR(LOOKUP(2,1/(_EngineTrades!$AU$9:$AU$508=$A127),_EngineTrades!$AP$9:$AP$508),0))&gt;0),ROUND(($R127-$O127)/($P127+N(IFERROR(LOOKUP(2,1/(_EngineTrades!$AU$9:$AU$508=$A127),_EngineTrades!$AP$9:$AP$508),0))),4),"")</f>
        <v/>
      </c>
      <c r="W127" s="64" t="str">
        <f>IF($A127="","",MAX(1,IF($G127="",_EngineTrades!$E$3-$F127,$G127-$F127)))</f>
        <v/>
      </c>
      <c r="X127" s="65" t="str">
        <f t="shared" si="27"/>
        <v/>
      </c>
      <c r="Y127" s="65" t="str">
        <f t="shared" si="28"/>
        <v/>
      </c>
      <c r="Z127" s="44">
        <f>IF(Cycles!U127="",0,Cycles!U127)</f>
        <v>0</v>
      </c>
      <c r="AA127" s="44">
        <f>IF(Cycles!V127="",0,Cycles!V127)</f>
        <v>0</v>
      </c>
      <c r="AB127" s="44">
        <f>IF(Cycles!W127="",0,Cycles!W127)</f>
        <v>0</v>
      </c>
      <c r="AC127" s="44">
        <f>IF(Cycles!X127="",0,Cycles!X127)</f>
        <v>0</v>
      </c>
      <c r="AD127" s="49" t="str">
        <f t="shared" si="29"/>
        <v/>
      </c>
      <c r="AE127" s="49" t="str">
        <f t="shared" si="30"/>
        <v/>
      </c>
      <c r="AF127" s="49" t="str">
        <f t="shared" si="31"/>
        <v/>
      </c>
      <c r="AG127" t="str">
        <f>IFERROR(MATCH(ROWS($AG$9:AG127),_EngineTrades!$AW$9:$AW$508,0)+8,"")</f>
        <v/>
      </c>
    </row>
    <row r="128" spans="1:33" ht="15" x14ac:dyDescent="0.25">
      <c r="A128" s="66" t="str">
        <f>IF($AG128="","",IFERROR(INDEX(_EngineTrades!$AU$9:$AU$508,MATCH($AG128,_EngineTrades!$AV$9:$AV$508,0)),""))</f>
        <v/>
      </c>
      <c r="B128" s="66" t="str">
        <f>IF($A128="","",INDEX(_EngineTrades!$B$9:$B$508,MATCH($AG128,_EngineTrades!$AV$9:$AV$508,0)))</f>
        <v/>
      </c>
      <c r="C128" s="66" t="str">
        <f>IF($A128="","",INDEX(_EngineTrades!$T$9:$T$508,MATCH($AG128,_EngineTrades!$AV$9:$AV$508,0)))</f>
        <v/>
      </c>
      <c r="D128" s="67" t="str">
        <f>IF($A128="","",INDEX(_EngineTrades!$C$9:$C$508,MATCH($AG128,_EngineTrades!$AV$9:$AV$508,0)))</f>
        <v/>
      </c>
      <c r="E128" s="68" t="str">
        <f>IF($A128="","",IF(IFERROR(LOOKUP(2,1/(_EngineTrades!$AU$9:$AU$508=$A128),_EngineTrades!$AR$9:$AR$508),FALSE),"Closed","Open"))</f>
        <v/>
      </c>
      <c r="F128" s="69" t="str">
        <f>IF($A128="","",INDEX(_EngineTrades!$E$9:$E$508,$AG128-8))</f>
        <v/>
      </c>
      <c r="G128" s="69" t="str">
        <f>IF(OR($A128="",$E128&lt;&gt;"Closed"),"",IFERROR(INDEX(_EngineTrades!$E$9:$E$508,SUMIFS(_EngineTrades!$AX$9:$AX$508,_EngineTrades!$AU$9:$AU$508,$A128)-8),""))</f>
        <v/>
      </c>
      <c r="H128" s="70" t="str">
        <f>IF($A128="","",ROUND(SUMIFS(_EngineTrades!$Y$9:$Y$508,_EngineTrades!$AU$9:$AU$508,$A128),4))</f>
        <v/>
      </c>
      <c r="I128" s="70" t="str">
        <f>IF($A128="","",ROUND(SUMIFS(_EngineTrades!$Z$9:$Z$508,_EngineTrades!$AU$9:$AU$508,$A128),4))</f>
        <v/>
      </c>
      <c r="J128" s="71" t="str">
        <f t="shared" si="24"/>
        <v/>
      </c>
      <c r="K128" s="70" t="str">
        <f>IF($A128="","",ROUND(SUMIFS(_EngineTrades!$AA$9:$AA$508,_EngineTrades!$AU$9:$AU$508,$A128),4))</f>
        <v/>
      </c>
      <c r="L128" s="70" t="str">
        <f>IF($A128="","",ROUND(SUMIFS(_EngineTrades!$AB$9:$AB$508,_EngineTrades!$AU$9:$AU$508,$A128),4))</f>
        <v/>
      </c>
      <c r="M128" s="70" t="str">
        <f>IF($A128="","",ROUND(SUMIFS(_EngineTrades!$AC$9:$AC$508,_EngineTrades!$AU$9:$AU$508,$A128),4))</f>
        <v/>
      </c>
      <c r="N128" s="70" t="str">
        <f>IF($A128="","",ROUND(SUMIFS(_EngineTrades!$AD$9:$AD$508,_EngineTrades!$AU$9:$AU$508,$A128),4))</f>
        <v/>
      </c>
      <c r="O128" s="71" t="str">
        <f t="shared" si="25"/>
        <v/>
      </c>
      <c r="P128" s="66">
        <f>IF(OR($A128="",$E128&lt;&gt;"Open"),0,IFERROR(LOOKUP(2,1/(_EngineTrades!$AU$9:$AU$508=$A128),_EngineTrades!$AM$9:$AM$508),0))</f>
        <v>0</v>
      </c>
      <c r="Q128" s="70" t="str">
        <f>IF(OR($A128="",$P128=0),"",ROUND(IFERROR(LOOKUP(2,1/(_EngineTrades!$AU$9:$AU$508=$A128),_EngineTrades!$AN$9:$AN$508),0)/$P128,4))</f>
        <v/>
      </c>
      <c r="R128" s="70">
        <f>IF(OR($A128="",$E128&lt;&gt;"Open"),0,IFERROR(LOOKUP(2,1/(_EngineTrades!$AU$9:$AU$508=$A128),_EngineTrades!$AO$9:$AO$508),0))</f>
        <v>0</v>
      </c>
      <c r="S128" s="70">
        <f>IF(OR($A128="",$E128&lt;&gt;"Open"),0,ROUND($R128+IFERROR(LOOKUP(2,1/(_EngineTrades!$AU$9:$AU$508=$A128),_EngineTrades!$AN$9:$AN$508),0),4))</f>
        <v>0</v>
      </c>
      <c r="T128" s="70" t="str">
        <f>IF($A128="","",ROUND(IFERROR(LOOKUP(2,1/(_EngineTrades!$AU$9:$AU$508=$A128),_EngineTrades!$AT$9:$AT$508),0),4))</f>
        <v/>
      </c>
      <c r="U128" s="70" t="str">
        <f t="shared" si="26"/>
        <v/>
      </c>
      <c r="V128" s="70" t="str">
        <f>IF(AND($A128&lt;&gt;"",$E128="Open",$P128+N(IFERROR(LOOKUP(2,1/(_EngineTrades!$AU$9:$AU$508=$A128),_EngineTrades!$AP$9:$AP$508),0))&gt;0),ROUND(($R128-$O128)/($P128+N(IFERROR(LOOKUP(2,1/(_EngineTrades!$AU$9:$AU$508=$A128),_EngineTrades!$AP$9:$AP$508),0))),4),"")</f>
        <v/>
      </c>
      <c r="W128" s="72" t="str">
        <f>IF($A128="","",MAX(1,IF($G128="",_EngineTrades!$E$3-$F128,$G128-$F128)))</f>
        <v/>
      </c>
      <c r="X128" s="73" t="str">
        <f t="shared" si="27"/>
        <v/>
      </c>
      <c r="Y128" s="73" t="str">
        <f t="shared" si="28"/>
        <v/>
      </c>
      <c r="Z128" s="44">
        <f>IF(Cycles!U128="",0,Cycles!U128)</f>
        <v>0</v>
      </c>
      <c r="AA128" s="44">
        <f>IF(Cycles!V128="",0,Cycles!V128)</f>
        <v>0</v>
      </c>
      <c r="AB128" s="44">
        <f>IF(Cycles!W128="",0,Cycles!W128)</f>
        <v>0</v>
      </c>
      <c r="AC128" s="44">
        <f>IF(Cycles!X128="",0,Cycles!X128)</f>
        <v>0</v>
      </c>
      <c r="AD128" s="70" t="str">
        <f t="shared" si="29"/>
        <v/>
      </c>
      <c r="AE128" s="70" t="str">
        <f t="shared" si="30"/>
        <v/>
      </c>
      <c r="AF128" s="70" t="str">
        <f t="shared" si="31"/>
        <v/>
      </c>
      <c r="AG128" t="str">
        <f>IFERROR(MATCH(ROWS($AG$9:AG128),_EngineTrades!$AW$9:$AW$508,0)+8,"")</f>
        <v/>
      </c>
    </row>
    <row r="129" spans="1:33" ht="15" x14ac:dyDescent="0.25">
      <c r="A129" s="61" t="str">
        <f>IF($AG129="","",IFERROR(INDEX(_EngineTrades!$AU$9:$AU$508,MATCH($AG129,_EngineTrades!$AV$9:$AV$508,0)),""))</f>
        <v/>
      </c>
      <c r="B129" s="61" t="str">
        <f>IF($A129="","",INDEX(_EngineTrades!$B$9:$B$508,MATCH($AG129,_EngineTrades!$AV$9:$AV$508,0)))</f>
        <v/>
      </c>
      <c r="C129" s="61" t="str">
        <f>IF($A129="","",INDEX(_EngineTrades!$T$9:$T$508,MATCH($AG129,_EngineTrades!$AV$9:$AV$508,0)))</f>
        <v/>
      </c>
      <c r="D129" s="47" t="str">
        <f>IF($A129="","",INDEX(_EngineTrades!$C$9:$C$508,MATCH($AG129,_EngineTrades!$AV$9:$AV$508,0)))</f>
        <v/>
      </c>
      <c r="E129" s="62" t="str">
        <f>IF($A129="","",IF(IFERROR(LOOKUP(2,1/(_EngineTrades!$AU$9:$AU$508=$A129),_EngineTrades!$AR$9:$AR$508),FALSE),"Closed","Open"))</f>
        <v/>
      </c>
      <c r="F129" s="63" t="str">
        <f>IF($A129="","",INDEX(_EngineTrades!$E$9:$E$508,$AG129-8))</f>
        <v/>
      </c>
      <c r="G129" s="63" t="str">
        <f>IF(OR($A129="",$E129&lt;&gt;"Closed"),"",IFERROR(INDEX(_EngineTrades!$E$9:$E$508,SUMIFS(_EngineTrades!$AX$9:$AX$508,_EngineTrades!$AU$9:$AU$508,$A129)-8),""))</f>
        <v/>
      </c>
      <c r="H129" s="49" t="str">
        <f>IF($A129="","",ROUND(SUMIFS(_EngineTrades!$Y$9:$Y$508,_EngineTrades!$AU$9:$AU$508,$A129),4))</f>
        <v/>
      </c>
      <c r="I129" s="49" t="str">
        <f>IF($A129="","",ROUND(SUMIFS(_EngineTrades!$Z$9:$Z$508,_EngineTrades!$AU$9:$AU$508,$A129),4))</f>
        <v/>
      </c>
      <c r="J129" s="45" t="str">
        <f t="shared" si="24"/>
        <v/>
      </c>
      <c r="K129" s="49" t="str">
        <f>IF($A129="","",ROUND(SUMIFS(_EngineTrades!$AA$9:$AA$508,_EngineTrades!$AU$9:$AU$508,$A129),4))</f>
        <v/>
      </c>
      <c r="L129" s="49" t="str">
        <f>IF($A129="","",ROUND(SUMIFS(_EngineTrades!$AB$9:$AB$508,_EngineTrades!$AU$9:$AU$508,$A129),4))</f>
        <v/>
      </c>
      <c r="M129" s="49" t="str">
        <f>IF($A129="","",ROUND(SUMIFS(_EngineTrades!$AC$9:$AC$508,_EngineTrades!$AU$9:$AU$508,$A129),4))</f>
        <v/>
      </c>
      <c r="N129" s="49" t="str">
        <f>IF($A129="","",ROUND(SUMIFS(_EngineTrades!$AD$9:$AD$508,_EngineTrades!$AU$9:$AU$508,$A129),4))</f>
        <v/>
      </c>
      <c r="O129" s="45" t="str">
        <f t="shared" si="25"/>
        <v/>
      </c>
      <c r="P129" s="61">
        <f>IF(OR($A129="",$E129&lt;&gt;"Open"),0,IFERROR(LOOKUP(2,1/(_EngineTrades!$AU$9:$AU$508=$A129),_EngineTrades!$AM$9:$AM$508),0))</f>
        <v>0</v>
      </c>
      <c r="Q129" s="49" t="str">
        <f>IF(OR($A129="",$P129=0),"",ROUND(IFERROR(LOOKUP(2,1/(_EngineTrades!$AU$9:$AU$508=$A129),_EngineTrades!$AN$9:$AN$508),0)/$P129,4))</f>
        <v/>
      </c>
      <c r="R129" s="49">
        <f>IF(OR($A129="",$E129&lt;&gt;"Open"),0,IFERROR(LOOKUP(2,1/(_EngineTrades!$AU$9:$AU$508=$A129),_EngineTrades!$AO$9:$AO$508),0))</f>
        <v>0</v>
      </c>
      <c r="S129" s="49">
        <f>IF(OR($A129="",$E129&lt;&gt;"Open"),0,ROUND($R129+IFERROR(LOOKUP(2,1/(_EngineTrades!$AU$9:$AU$508=$A129),_EngineTrades!$AN$9:$AN$508),0),4))</f>
        <v>0</v>
      </c>
      <c r="T129" s="49" t="str">
        <f>IF($A129="","",ROUND(IFERROR(LOOKUP(2,1/(_EngineTrades!$AU$9:$AU$508=$A129),_EngineTrades!$AT$9:$AT$508),0),4))</f>
        <v/>
      </c>
      <c r="U129" s="49" t="str">
        <f t="shared" si="26"/>
        <v/>
      </c>
      <c r="V129" s="49" t="str">
        <f>IF(AND($A129&lt;&gt;"",$E129="Open",$P129+N(IFERROR(LOOKUP(2,1/(_EngineTrades!$AU$9:$AU$508=$A129),_EngineTrades!$AP$9:$AP$508),0))&gt;0),ROUND(($R129-$O129)/($P129+N(IFERROR(LOOKUP(2,1/(_EngineTrades!$AU$9:$AU$508=$A129),_EngineTrades!$AP$9:$AP$508),0))),4),"")</f>
        <v/>
      </c>
      <c r="W129" s="64" t="str">
        <f>IF($A129="","",MAX(1,IF($G129="",_EngineTrades!$E$3-$F129,$G129-$F129)))</f>
        <v/>
      </c>
      <c r="X129" s="65" t="str">
        <f t="shared" si="27"/>
        <v/>
      </c>
      <c r="Y129" s="65" t="str">
        <f t="shared" si="28"/>
        <v/>
      </c>
      <c r="Z129" s="44">
        <f>IF(Cycles!U129="",0,Cycles!U129)</f>
        <v>0</v>
      </c>
      <c r="AA129" s="44">
        <f>IF(Cycles!V129="",0,Cycles!V129)</f>
        <v>0</v>
      </c>
      <c r="AB129" s="44">
        <f>IF(Cycles!W129="",0,Cycles!W129)</f>
        <v>0</v>
      </c>
      <c r="AC129" s="44">
        <f>IF(Cycles!X129="",0,Cycles!X129)</f>
        <v>0</v>
      </c>
      <c r="AD129" s="49" t="str">
        <f t="shared" si="29"/>
        <v/>
      </c>
      <c r="AE129" s="49" t="str">
        <f t="shared" si="30"/>
        <v/>
      </c>
      <c r="AF129" s="49" t="str">
        <f t="shared" si="31"/>
        <v/>
      </c>
      <c r="AG129" t="str">
        <f>IFERROR(MATCH(ROWS($AG$9:AG129),_EngineTrades!$AW$9:$AW$508,0)+8,"")</f>
        <v/>
      </c>
    </row>
    <row r="130" spans="1:33" ht="15" x14ac:dyDescent="0.25">
      <c r="A130" s="66" t="str">
        <f>IF($AG130="","",IFERROR(INDEX(_EngineTrades!$AU$9:$AU$508,MATCH($AG130,_EngineTrades!$AV$9:$AV$508,0)),""))</f>
        <v/>
      </c>
      <c r="B130" s="66" t="str">
        <f>IF($A130="","",INDEX(_EngineTrades!$B$9:$B$508,MATCH($AG130,_EngineTrades!$AV$9:$AV$508,0)))</f>
        <v/>
      </c>
      <c r="C130" s="66" t="str">
        <f>IF($A130="","",INDEX(_EngineTrades!$T$9:$T$508,MATCH($AG130,_EngineTrades!$AV$9:$AV$508,0)))</f>
        <v/>
      </c>
      <c r="D130" s="67" t="str">
        <f>IF($A130="","",INDEX(_EngineTrades!$C$9:$C$508,MATCH($AG130,_EngineTrades!$AV$9:$AV$508,0)))</f>
        <v/>
      </c>
      <c r="E130" s="68" t="str">
        <f>IF($A130="","",IF(IFERROR(LOOKUP(2,1/(_EngineTrades!$AU$9:$AU$508=$A130),_EngineTrades!$AR$9:$AR$508),FALSE),"Closed","Open"))</f>
        <v/>
      </c>
      <c r="F130" s="69" t="str">
        <f>IF($A130="","",INDEX(_EngineTrades!$E$9:$E$508,$AG130-8))</f>
        <v/>
      </c>
      <c r="G130" s="69" t="str">
        <f>IF(OR($A130="",$E130&lt;&gt;"Closed"),"",IFERROR(INDEX(_EngineTrades!$E$9:$E$508,SUMIFS(_EngineTrades!$AX$9:$AX$508,_EngineTrades!$AU$9:$AU$508,$A130)-8),""))</f>
        <v/>
      </c>
      <c r="H130" s="70" t="str">
        <f>IF($A130="","",ROUND(SUMIFS(_EngineTrades!$Y$9:$Y$508,_EngineTrades!$AU$9:$AU$508,$A130),4))</f>
        <v/>
      </c>
      <c r="I130" s="70" t="str">
        <f>IF($A130="","",ROUND(SUMIFS(_EngineTrades!$Z$9:$Z$508,_EngineTrades!$AU$9:$AU$508,$A130),4))</f>
        <v/>
      </c>
      <c r="J130" s="71" t="str">
        <f t="shared" si="24"/>
        <v/>
      </c>
      <c r="K130" s="70" t="str">
        <f>IF($A130="","",ROUND(SUMIFS(_EngineTrades!$AA$9:$AA$508,_EngineTrades!$AU$9:$AU$508,$A130),4))</f>
        <v/>
      </c>
      <c r="L130" s="70" t="str">
        <f>IF($A130="","",ROUND(SUMIFS(_EngineTrades!$AB$9:$AB$508,_EngineTrades!$AU$9:$AU$508,$A130),4))</f>
        <v/>
      </c>
      <c r="M130" s="70" t="str">
        <f>IF($A130="","",ROUND(SUMIFS(_EngineTrades!$AC$9:$AC$508,_EngineTrades!$AU$9:$AU$508,$A130),4))</f>
        <v/>
      </c>
      <c r="N130" s="70" t="str">
        <f>IF($A130="","",ROUND(SUMIFS(_EngineTrades!$AD$9:$AD$508,_EngineTrades!$AU$9:$AU$508,$A130),4))</f>
        <v/>
      </c>
      <c r="O130" s="71" t="str">
        <f t="shared" si="25"/>
        <v/>
      </c>
      <c r="P130" s="66">
        <f>IF(OR($A130="",$E130&lt;&gt;"Open"),0,IFERROR(LOOKUP(2,1/(_EngineTrades!$AU$9:$AU$508=$A130),_EngineTrades!$AM$9:$AM$508),0))</f>
        <v>0</v>
      </c>
      <c r="Q130" s="70" t="str">
        <f>IF(OR($A130="",$P130=0),"",ROUND(IFERROR(LOOKUP(2,1/(_EngineTrades!$AU$9:$AU$508=$A130),_EngineTrades!$AN$9:$AN$508),0)/$P130,4))</f>
        <v/>
      </c>
      <c r="R130" s="70">
        <f>IF(OR($A130="",$E130&lt;&gt;"Open"),0,IFERROR(LOOKUP(2,1/(_EngineTrades!$AU$9:$AU$508=$A130),_EngineTrades!$AO$9:$AO$508),0))</f>
        <v>0</v>
      </c>
      <c r="S130" s="70">
        <f>IF(OR($A130="",$E130&lt;&gt;"Open"),0,ROUND($R130+IFERROR(LOOKUP(2,1/(_EngineTrades!$AU$9:$AU$508=$A130),_EngineTrades!$AN$9:$AN$508),0),4))</f>
        <v>0</v>
      </c>
      <c r="T130" s="70" t="str">
        <f>IF($A130="","",ROUND(IFERROR(LOOKUP(2,1/(_EngineTrades!$AU$9:$AU$508=$A130),_EngineTrades!$AT$9:$AT$508),0),4))</f>
        <v/>
      </c>
      <c r="U130" s="70" t="str">
        <f t="shared" si="26"/>
        <v/>
      </c>
      <c r="V130" s="70" t="str">
        <f>IF(AND($A130&lt;&gt;"",$E130="Open",$P130+N(IFERROR(LOOKUP(2,1/(_EngineTrades!$AU$9:$AU$508=$A130),_EngineTrades!$AP$9:$AP$508),0))&gt;0),ROUND(($R130-$O130)/($P130+N(IFERROR(LOOKUP(2,1/(_EngineTrades!$AU$9:$AU$508=$A130),_EngineTrades!$AP$9:$AP$508),0))),4),"")</f>
        <v/>
      </c>
      <c r="W130" s="72" t="str">
        <f>IF($A130="","",MAX(1,IF($G130="",_EngineTrades!$E$3-$F130,$G130-$F130)))</f>
        <v/>
      </c>
      <c r="X130" s="73" t="str">
        <f t="shared" si="27"/>
        <v/>
      </c>
      <c r="Y130" s="73" t="str">
        <f t="shared" si="28"/>
        <v/>
      </c>
      <c r="Z130" s="44">
        <f>IF(Cycles!U130="",0,Cycles!U130)</f>
        <v>0</v>
      </c>
      <c r="AA130" s="44">
        <f>IF(Cycles!V130="",0,Cycles!V130)</f>
        <v>0</v>
      </c>
      <c r="AB130" s="44">
        <f>IF(Cycles!W130="",0,Cycles!W130)</f>
        <v>0</v>
      </c>
      <c r="AC130" s="44">
        <f>IF(Cycles!X130="",0,Cycles!X130)</f>
        <v>0</v>
      </c>
      <c r="AD130" s="70" t="str">
        <f t="shared" si="29"/>
        <v/>
      </c>
      <c r="AE130" s="70" t="str">
        <f t="shared" si="30"/>
        <v/>
      </c>
      <c r="AF130" s="70" t="str">
        <f t="shared" si="31"/>
        <v/>
      </c>
      <c r="AG130" t="str">
        <f>IFERROR(MATCH(ROWS($AG$9:AG130),_EngineTrades!$AW$9:$AW$508,0)+8,"")</f>
        <v/>
      </c>
    </row>
    <row r="131" spans="1:33" ht="15" x14ac:dyDescent="0.25">
      <c r="A131" s="61" t="str">
        <f>IF($AG131="","",IFERROR(INDEX(_EngineTrades!$AU$9:$AU$508,MATCH($AG131,_EngineTrades!$AV$9:$AV$508,0)),""))</f>
        <v/>
      </c>
      <c r="B131" s="61" t="str">
        <f>IF($A131="","",INDEX(_EngineTrades!$B$9:$B$508,MATCH($AG131,_EngineTrades!$AV$9:$AV$508,0)))</f>
        <v/>
      </c>
      <c r="C131" s="61" t="str">
        <f>IF($A131="","",INDEX(_EngineTrades!$T$9:$T$508,MATCH($AG131,_EngineTrades!$AV$9:$AV$508,0)))</f>
        <v/>
      </c>
      <c r="D131" s="47" t="str">
        <f>IF($A131="","",INDEX(_EngineTrades!$C$9:$C$508,MATCH($AG131,_EngineTrades!$AV$9:$AV$508,0)))</f>
        <v/>
      </c>
      <c r="E131" s="62" t="str">
        <f>IF($A131="","",IF(IFERROR(LOOKUP(2,1/(_EngineTrades!$AU$9:$AU$508=$A131),_EngineTrades!$AR$9:$AR$508),FALSE),"Closed","Open"))</f>
        <v/>
      </c>
      <c r="F131" s="63" t="str">
        <f>IF($A131="","",INDEX(_EngineTrades!$E$9:$E$508,$AG131-8))</f>
        <v/>
      </c>
      <c r="G131" s="63" t="str">
        <f>IF(OR($A131="",$E131&lt;&gt;"Closed"),"",IFERROR(INDEX(_EngineTrades!$E$9:$E$508,SUMIFS(_EngineTrades!$AX$9:$AX$508,_EngineTrades!$AU$9:$AU$508,$A131)-8),""))</f>
        <v/>
      </c>
      <c r="H131" s="49" t="str">
        <f>IF($A131="","",ROUND(SUMIFS(_EngineTrades!$Y$9:$Y$508,_EngineTrades!$AU$9:$AU$508,$A131),4))</f>
        <v/>
      </c>
      <c r="I131" s="49" t="str">
        <f>IF($A131="","",ROUND(SUMIFS(_EngineTrades!$Z$9:$Z$508,_EngineTrades!$AU$9:$AU$508,$A131),4))</f>
        <v/>
      </c>
      <c r="J131" s="45" t="str">
        <f t="shared" si="24"/>
        <v/>
      </c>
      <c r="K131" s="49" t="str">
        <f>IF($A131="","",ROUND(SUMIFS(_EngineTrades!$AA$9:$AA$508,_EngineTrades!$AU$9:$AU$508,$A131),4))</f>
        <v/>
      </c>
      <c r="L131" s="49" t="str">
        <f>IF($A131="","",ROUND(SUMIFS(_EngineTrades!$AB$9:$AB$508,_EngineTrades!$AU$9:$AU$508,$A131),4))</f>
        <v/>
      </c>
      <c r="M131" s="49" t="str">
        <f>IF($A131="","",ROUND(SUMIFS(_EngineTrades!$AC$9:$AC$508,_EngineTrades!$AU$9:$AU$508,$A131),4))</f>
        <v/>
      </c>
      <c r="N131" s="49" t="str">
        <f>IF($A131="","",ROUND(SUMIFS(_EngineTrades!$AD$9:$AD$508,_EngineTrades!$AU$9:$AU$508,$A131),4))</f>
        <v/>
      </c>
      <c r="O131" s="45" t="str">
        <f t="shared" si="25"/>
        <v/>
      </c>
      <c r="P131" s="61">
        <f>IF(OR($A131="",$E131&lt;&gt;"Open"),0,IFERROR(LOOKUP(2,1/(_EngineTrades!$AU$9:$AU$508=$A131),_EngineTrades!$AM$9:$AM$508),0))</f>
        <v>0</v>
      </c>
      <c r="Q131" s="49" t="str">
        <f>IF(OR($A131="",$P131=0),"",ROUND(IFERROR(LOOKUP(2,1/(_EngineTrades!$AU$9:$AU$508=$A131),_EngineTrades!$AN$9:$AN$508),0)/$P131,4))</f>
        <v/>
      </c>
      <c r="R131" s="49">
        <f>IF(OR($A131="",$E131&lt;&gt;"Open"),0,IFERROR(LOOKUP(2,1/(_EngineTrades!$AU$9:$AU$508=$A131),_EngineTrades!$AO$9:$AO$508),0))</f>
        <v>0</v>
      </c>
      <c r="S131" s="49">
        <f>IF(OR($A131="",$E131&lt;&gt;"Open"),0,ROUND($R131+IFERROR(LOOKUP(2,1/(_EngineTrades!$AU$9:$AU$508=$A131),_EngineTrades!$AN$9:$AN$508),0),4))</f>
        <v>0</v>
      </c>
      <c r="T131" s="49" t="str">
        <f>IF($A131="","",ROUND(IFERROR(LOOKUP(2,1/(_EngineTrades!$AU$9:$AU$508=$A131),_EngineTrades!$AT$9:$AT$508),0),4))</f>
        <v/>
      </c>
      <c r="U131" s="49" t="str">
        <f t="shared" si="26"/>
        <v/>
      </c>
      <c r="V131" s="49" t="str">
        <f>IF(AND($A131&lt;&gt;"",$E131="Open",$P131+N(IFERROR(LOOKUP(2,1/(_EngineTrades!$AU$9:$AU$508=$A131),_EngineTrades!$AP$9:$AP$508),0))&gt;0),ROUND(($R131-$O131)/($P131+N(IFERROR(LOOKUP(2,1/(_EngineTrades!$AU$9:$AU$508=$A131),_EngineTrades!$AP$9:$AP$508),0))),4),"")</f>
        <v/>
      </c>
      <c r="W131" s="64" t="str">
        <f>IF($A131="","",MAX(1,IF($G131="",_EngineTrades!$E$3-$F131,$G131-$F131)))</f>
        <v/>
      </c>
      <c r="X131" s="65" t="str">
        <f t="shared" si="27"/>
        <v/>
      </c>
      <c r="Y131" s="65" t="str">
        <f t="shared" si="28"/>
        <v/>
      </c>
      <c r="Z131" s="44">
        <f>IF(Cycles!U131="",0,Cycles!U131)</f>
        <v>0</v>
      </c>
      <c r="AA131" s="44">
        <f>IF(Cycles!V131="",0,Cycles!V131)</f>
        <v>0</v>
      </c>
      <c r="AB131" s="44">
        <f>IF(Cycles!W131="",0,Cycles!W131)</f>
        <v>0</v>
      </c>
      <c r="AC131" s="44">
        <f>IF(Cycles!X131="",0,Cycles!X131)</f>
        <v>0</v>
      </c>
      <c r="AD131" s="49" t="str">
        <f t="shared" si="29"/>
        <v/>
      </c>
      <c r="AE131" s="49" t="str">
        <f t="shared" si="30"/>
        <v/>
      </c>
      <c r="AF131" s="49" t="str">
        <f t="shared" si="31"/>
        <v/>
      </c>
      <c r="AG131" t="str">
        <f>IFERROR(MATCH(ROWS($AG$9:AG131),_EngineTrades!$AW$9:$AW$508,0)+8,"")</f>
        <v/>
      </c>
    </row>
    <row r="132" spans="1:33" ht="15" x14ac:dyDescent="0.25">
      <c r="A132" s="66" t="str">
        <f>IF($AG132="","",IFERROR(INDEX(_EngineTrades!$AU$9:$AU$508,MATCH($AG132,_EngineTrades!$AV$9:$AV$508,0)),""))</f>
        <v/>
      </c>
      <c r="B132" s="66" t="str">
        <f>IF($A132="","",INDEX(_EngineTrades!$B$9:$B$508,MATCH($AG132,_EngineTrades!$AV$9:$AV$508,0)))</f>
        <v/>
      </c>
      <c r="C132" s="66" t="str">
        <f>IF($A132="","",INDEX(_EngineTrades!$T$9:$T$508,MATCH($AG132,_EngineTrades!$AV$9:$AV$508,0)))</f>
        <v/>
      </c>
      <c r="D132" s="67" t="str">
        <f>IF($A132="","",INDEX(_EngineTrades!$C$9:$C$508,MATCH($AG132,_EngineTrades!$AV$9:$AV$508,0)))</f>
        <v/>
      </c>
      <c r="E132" s="68" t="str">
        <f>IF($A132="","",IF(IFERROR(LOOKUP(2,1/(_EngineTrades!$AU$9:$AU$508=$A132),_EngineTrades!$AR$9:$AR$508),FALSE),"Closed","Open"))</f>
        <v/>
      </c>
      <c r="F132" s="69" t="str">
        <f>IF($A132="","",INDEX(_EngineTrades!$E$9:$E$508,$AG132-8))</f>
        <v/>
      </c>
      <c r="G132" s="69" t="str">
        <f>IF(OR($A132="",$E132&lt;&gt;"Closed"),"",IFERROR(INDEX(_EngineTrades!$E$9:$E$508,SUMIFS(_EngineTrades!$AX$9:$AX$508,_EngineTrades!$AU$9:$AU$508,$A132)-8),""))</f>
        <v/>
      </c>
      <c r="H132" s="70" t="str">
        <f>IF($A132="","",ROUND(SUMIFS(_EngineTrades!$Y$9:$Y$508,_EngineTrades!$AU$9:$AU$508,$A132),4))</f>
        <v/>
      </c>
      <c r="I132" s="70" t="str">
        <f>IF($A132="","",ROUND(SUMIFS(_EngineTrades!$Z$9:$Z$508,_EngineTrades!$AU$9:$AU$508,$A132),4))</f>
        <v/>
      </c>
      <c r="J132" s="71" t="str">
        <f t="shared" si="24"/>
        <v/>
      </c>
      <c r="K132" s="70" t="str">
        <f>IF($A132="","",ROUND(SUMIFS(_EngineTrades!$AA$9:$AA$508,_EngineTrades!$AU$9:$AU$508,$A132),4))</f>
        <v/>
      </c>
      <c r="L132" s="70" t="str">
        <f>IF($A132="","",ROUND(SUMIFS(_EngineTrades!$AB$9:$AB$508,_EngineTrades!$AU$9:$AU$508,$A132),4))</f>
        <v/>
      </c>
      <c r="M132" s="70" t="str">
        <f>IF($A132="","",ROUND(SUMIFS(_EngineTrades!$AC$9:$AC$508,_EngineTrades!$AU$9:$AU$508,$A132),4))</f>
        <v/>
      </c>
      <c r="N132" s="70" t="str">
        <f>IF($A132="","",ROUND(SUMIFS(_EngineTrades!$AD$9:$AD$508,_EngineTrades!$AU$9:$AU$508,$A132),4))</f>
        <v/>
      </c>
      <c r="O132" s="71" t="str">
        <f t="shared" si="25"/>
        <v/>
      </c>
      <c r="P132" s="66">
        <f>IF(OR($A132="",$E132&lt;&gt;"Open"),0,IFERROR(LOOKUP(2,1/(_EngineTrades!$AU$9:$AU$508=$A132),_EngineTrades!$AM$9:$AM$508),0))</f>
        <v>0</v>
      </c>
      <c r="Q132" s="70" t="str">
        <f>IF(OR($A132="",$P132=0),"",ROUND(IFERROR(LOOKUP(2,1/(_EngineTrades!$AU$9:$AU$508=$A132),_EngineTrades!$AN$9:$AN$508),0)/$P132,4))</f>
        <v/>
      </c>
      <c r="R132" s="70">
        <f>IF(OR($A132="",$E132&lt;&gt;"Open"),0,IFERROR(LOOKUP(2,1/(_EngineTrades!$AU$9:$AU$508=$A132),_EngineTrades!$AO$9:$AO$508),0))</f>
        <v>0</v>
      </c>
      <c r="S132" s="70">
        <f>IF(OR($A132="",$E132&lt;&gt;"Open"),0,ROUND($R132+IFERROR(LOOKUP(2,1/(_EngineTrades!$AU$9:$AU$508=$A132),_EngineTrades!$AN$9:$AN$508),0),4))</f>
        <v>0</v>
      </c>
      <c r="T132" s="70" t="str">
        <f>IF($A132="","",ROUND(IFERROR(LOOKUP(2,1/(_EngineTrades!$AU$9:$AU$508=$A132),_EngineTrades!$AT$9:$AT$508),0),4))</f>
        <v/>
      </c>
      <c r="U132" s="70" t="str">
        <f t="shared" si="26"/>
        <v/>
      </c>
      <c r="V132" s="70" t="str">
        <f>IF(AND($A132&lt;&gt;"",$E132="Open",$P132+N(IFERROR(LOOKUP(2,1/(_EngineTrades!$AU$9:$AU$508=$A132),_EngineTrades!$AP$9:$AP$508),0))&gt;0),ROUND(($R132-$O132)/($P132+N(IFERROR(LOOKUP(2,1/(_EngineTrades!$AU$9:$AU$508=$A132),_EngineTrades!$AP$9:$AP$508),0))),4),"")</f>
        <v/>
      </c>
      <c r="W132" s="72" t="str">
        <f>IF($A132="","",MAX(1,IF($G132="",_EngineTrades!$E$3-$F132,$G132-$F132)))</f>
        <v/>
      </c>
      <c r="X132" s="73" t="str">
        <f t="shared" si="27"/>
        <v/>
      </c>
      <c r="Y132" s="73" t="str">
        <f t="shared" si="28"/>
        <v/>
      </c>
      <c r="Z132" s="44">
        <f>IF(Cycles!U132="",0,Cycles!U132)</f>
        <v>0</v>
      </c>
      <c r="AA132" s="44">
        <f>IF(Cycles!V132="",0,Cycles!V132)</f>
        <v>0</v>
      </c>
      <c r="AB132" s="44">
        <f>IF(Cycles!W132="",0,Cycles!W132)</f>
        <v>0</v>
      </c>
      <c r="AC132" s="44">
        <f>IF(Cycles!X132="",0,Cycles!X132)</f>
        <v>0</v>
      </c>
      <c r="AD132" s="70" t="str">
        <f t="shared" si="29"/>
        <v/>
      </c>
      <c r="AE132" s="70" t="str">
        <f t="shared" si="30"/>
        <v/>
      </c>
      <c r="AF132" s="70" t="str">
        <f t="shared" si="31"/>
        <v/>
      </c>
      <c r="AG132" t="str">
        <f>IFERROR(MATCH(ROWS($AG$9:AG132),_EngineTrades!$AW$9:$AW$508,0)+8,"")</f>
        <v/>
      </c>
    </row>
    <row r="133" spans="1:33" ht="15" x14ac:dyDescent="0.25">
      <c r="A133" s="61" t="str">
        <f>IF($AG133="","",IFERROR(INDEX(_EngineTrades!$AU$9:$AU$508,MATCH($AG133,_EngineTrades!$AV$9:$AV$508,0)),""))</f>
        <v/>
      </c>
      <c r="B133" s="61" t="str">
        <f>IF($A133="","",INDEX(_EngineTrades!$B$9:$B$508,MATCH($AG133,_EngineTrades!$AV$9:$AV$508,0)))</f>
        <v/>
      </c>
      <c r="C133" s="61" t="str">
        <f>IF($A133="","",INDEX(_EngineTrades!$T$9:$T$508,MATCH($AG133,_EngineTrades!$AV$9:$AV$508,0)))</f>
        <v/>
      </c>
      <c r="D133" s="47" t="str">
        <f>IF($A133="","",INDEX(_EngineTrades!$C$9:$C$508,MATCH($AG133,_EngineTrades!$AV$9:$AV$508,0)))</f>
        <v/>
      </c>
      <c r="E133" s="62" t="str">
        <f>IF($A133="","",IF(IFERROR(LOOKUP(2,1/(_EngineTrades!$AU$9:$AU$508=$A133),_EngineTrades!$AR$9:$AR$508),FALSE),"Closed","Open"))</f>
        <v/>
      </c>
      <c r="F133" s="63" t="str">
        <f>IF($A133="","",INDEX(_EngineTrades!$E$9:$E$508,$AG133-8))</f>
        <v/>
      </c>
      <c r="G133" s="63" t="str">
        <f>IF(OR($A133="",$E133&lt;&gt;"Closed"),"",IFERROR(INDEX(_EngineTrades!$E$9:$E$508,SUMIFS(_EngineTrades!$AX$9:$AX$508,_EngineTrades!$AU$9:$AU$508,$A133)-8),""))</f>
        <v/>
      </c>
      <c r="H133" s="49" t="str">
        <f>IF($A133="","",ROUND(SUMIFS(_EngineTrades!$Y$9:$Y$508,_EngineTrades!$AU$9:$AU$508,$A133),4))</f>
        <v/>
      </c>
      <c r="I133" s="49" t="str">
        <f>IF($A133="","",ROUND(SUMIFS(_EngineTrades!$Z$9:$Z$508,_EngineTrades!$AU$9:$AU$508,$A133),4))</f>
        <v/>
      </c>
      <c r="J133" s="45" t="str">
        <f t="shared" si="24"/>
        <v/>
      </c>
      <c r="K133" s="49" t="str">
        <f>IF($A133="","",ROUND(SUMIFS(_EngineTrades!$AA$9:$AA$508,_EngineTrades!$AU$9:$AU$508,$A133),4))</f>
        <v/>
      </c>
      <c r="L133" s="49" t="str">
        <f>IF($A133="","",ROUND(SUMIFS(_EngineTrades!$AB$9:$AB$508,_EngineTrades!$AU$9:$AU$508,$A133),4))</f>
        <v/>
      </c>
      <c r="M133" s="49" t="str">
        <f>IF($A133="","",ROUND(SUMIFS(_EngineTrades!$AC$9:$AC$508,_EngineTrades!$AU$9:$AU$508,$A133),4))</f>
        <v/>
      </c>
      <c r="N133" s="49" t="str">
        <f>IF($A133="","",ROUND(SUMIFS(_EngineTrades!$AD$9:$AD$508,_EngineTrades!$AU$9:$AU$508,$A133),4))</f>
        <v/>
      </c>
      <c r="O133" s="45" t="str">
        <f t="shared" si="25"/>
        <v/>
      </c>
      <c r="P133" s="61">
        <f>IF(OR($A133="",$E133&lt;&gt;"Open"),0,IFERROR(LOOKUP(2,1/(_EngineTrades!$AU$9:$AU$508=$A133),_EngineTrades!$AM$9:$AM$508),0))</f>
        <v>0</v>
      </c>
      <c r="Q133" s="49" t="str">
        <f>IF(OR($A133="",$P133=0),"",ROUND(IFERROR(LOOKUP(2,1/(_EngineTrades!$AU$9:$AU$508=$A133),_EngineTrades!$AN$9:$AN$508),0)/$P133,4))</f>
        <v/>
      </c>
      <c r="R133" s="49">
        <f>IF(OR($A133="",$E133&lt;&gt;"Open"),0,IFERROR(LOOKUP(2,1/(_EngineTrades!$AU$9:$AU$508=$A133),_EngineTrades!$AO$9:$AO$508),0))</f>
        <v>0</v>
      </c>
      <c r="S133" s="49">
        <f>IF(OR($A133="",$E133&lt;&gt;"Open"),0,ROUND($R133+IFERROR(LOOKUP(2,1/(_EngineTrades!$AU$9:$AU$508=$A133),_EngineTrades!$AN$9:$AN$508),0),4))</f>
        <v>0</v>
      </c>
      <c r="T133" s="49" t="str">
        <f>IF($A133="","",ROUND(IFERROR(LOOKUP(2,1/(_EngineTrades!$AU$9:$AU$508=$A133),_EngineTrades!$AT$9:$AT$508),0),4))</f>
        <v/>
      </c>
      <c r="U133" s="49" t="str">
        <f t="shared" si="26"/>
        <v/>
      </c>
      <c r="V133" s="49" t="str">
        <f>IF(AND($A133&lt;&gt;"",$E133="Open",$P133+N(IFERROR(LOOKUP(2,1/(_EngineTrades!$AU$9:$AU$508=$A133),_EngineTrades!$AP$9:$AP$508),0))&gt;0),ROUND(($R133-$O133)/($P133+N(IFERROR(LOOKUP(2,1/(_EngineTrades!$AU$9:$AU$508=$A133),_EngineTrades!$AP$9:$AP$508),0))),4),"")</f>
        <v/>
      </c>
      <c r="W133" s="64" t="str">
        <f>IF($A133="","",MAX(1,IF($G133="",_EngineTrades!$E$3-$F133,$G133-$F133)))</f>
        <v/>
      </c>
      <c r="X133" s="65" t="str">
        <f t="shared" si="27"/>
        <v/>
      </c>
      <c r="Y133" s="65" t="str">
        <f t="shared" si="28"/>
        <v/>
      </c>
      <c r="Z133" s="44">
        <f>IF(Cycles!U133="",0,Cycles!U133)</f>
        <v>0</v>
      </c>
      <c r="AA133" s="44">
        <f>IF(Cycles!V133="",0,Cycles!V133)</f>
        <v>0</v>
      </c>
      <c r="AB133" s="44">
        <f>IF(Cycles!W133="",0,Cycles!W133)</f>
        <v>0</v>
      </c>
      <c r="AC133" s="44">
        <f>IF(Cycles!X133="",0,Cycles!X133)</f>
        <v>0</v>
      </c>
      <c r="AD133" s="49" t="str">
        <f t="shared" si="29"/>
        <v/>
      </c>
      <c r="AE133" s="49" t="str">
        <f t="shared" si="30"/>
        <v/>
      </c>
      <c r="AF133" s="49" t="str">
        <f t="shared" si="31"/>
        <v/>
      </c>
      <c r="AG133" t="str">
        <f>IFERROR(MATCH(ROWS($AG$9:AG133),_EngineTrades!$AW$9:$AW$508,0)+8,"")</f>
        <v/>
      </c>
    </row>
    <row r="134" spans="1:33" ht="15" x14ac:dyDescent="0.25">
      <c r="A134" s="66" t="str">
        <f>IF($AG134="","",IFERROR(INDEX(_EngineTrades!$AU$9:$AU$508,MATCH($AG134,_EngineTrades!$AV$9:$AV$508,0)),""))</f>
        <v/>
      </c>
      <c r="B134" s="66" t="str">
        <f>IF($A134="","",INDEX(_EngineTrades!$B$9:$B$508,MATCH($AG134,_EngineTrades!$AV$9:$AV$508,0)))</f>
        <v/>
      </c>
      <c r="C134" s="66" t="str">
        <f>IF($A134="","",INDEX(_EngineTrades!$T$9:$T$508,MATCH($AG134,_EngineTrades!$AV$9:$AV$508,0)))</f>
        <v/>
      </c>
      <c r="D134" s="67" t="str">
        <f>IF($A134="","",INDEX(_EngineTrades!$C$9:$C$508,MATCH($AG134,_EngineTrades!$AV$9:$AV$508,0)))</f>
        <v/>
      </c>
      <c r="E134" s="68" t="str">
        <f>IF($A134="","",IF(IFERROR(LOOKUP(2,1/(_EngineTrades!$AU$9:$AU$508=$A134),_EngineTrades!$AR$9:$AR$508),FALSE),"Closed","Open"))</f>
        <v/>
      </c>
      <c r="F134" s="69" t="str">
        <f>IF($A134="","",INDEX(_EngineTrades!$E$9:$E$508,$AG134-8))</f>
        <v/>
      </c>
      <c r="G134" s="69" t="str">
        <f>IF(OR($A134="",$E134&lt;&gt;"Closed"),"",IFERROR(INDEX(_EngineTrades!$E$9:$E$508,SUMIFS(_EngineTrades!$AX$9:$AX$508,_EngineTrades!$AU$9:$AU$508,$A134)-8),""))</f>
        <v/>
      </c>
      <c r="H134" s="70" t="str">
        <f>IF($A134="","",ROUND(SUMIFS(_EngineTrades!$Y$9:$Y$508,_EngineTrades!$AU$9:$AU$508,$A134),4))</f>
        <v/>
      </c>
      <c r="I134" s="70" t="str">
        <f>IF($A134="","",ROUND(SUMIFS(_EngineTrades!$Z$9:$Z$508,_EngineTrades!$AU$9:$AU$508,$A134),4))</f>
        <v/>
      </c>
      <c r="J134" s="71" t="str">
        <f t="shared" si="24"/>
        <v/>
      </c>
      <c r="K134" s="70" t="str">
        <f>IF($A134="","",ROUND(SUMIFS(_EngineTrades!$AA$9:$AA$508,_EngineTrades!$AU$9:$AU$508,$A134),4))</f>
        <v/>
      </c>
      <c r="L134" s="70" t="str">
        <f>IF($A134="","",ROUND(SUMIFS(_EngineTrades!$AB$9:$AB$508,_EngineTrades!$AU$9:$AU$508,$A134),4))</f>
        <v/>
      </c>
      <c r="M134" s="70" t="str">
        <f>IF($A134="","",ROUND(SUMIFS(_EngineTrades!$AC$9:$AC$508,_EngineTrades!$AU$9:$AU$508,$A134),4))</f>
        <v/>
      </c>
      <c r="N134" s="70" t="str">
        <f>IF($A134="","",ROUND(SUMIFS(_EngineTrades!$AD$9:$AD$508,_EngineTrades!$AU$9:$AU$508,$A134),4))</f>
        <v/>
      </c>
      <c r="O134" s="71" t="str">
        <f t="shared" si="25"/>
        <v/>
      </c>
      <c r="P134" s="66">
        <f>IF(OR($A134="",$E134&lt;&gt;"Open"),0,IFERROR(LOOKUP(2,1/(_EngineTrades!$AU$9:$AU$508=$A134),_EngineTrades!$AM$9:$AM$508),0))</f>
        <v>0</v>
      </c>
      <c r="Q134" s="70" t="str">
        <f>IF(OR($A134="",$P134=0),"",ROUND(IFERROR(LOOKUP(2,1/(_EngineTrades!$AU$9:$AU$508=$A134),_EngineTrades!$AN$9:$AN$508),0)/$P134,4))</f>
        <v/>
      </c>
      <c r="R134" s="70">
        <f>IF(OR($A134="",$E134&lt;&gt;"Open"),0,IFERROR(LOOKUP(2,1/(_EngineTrades!$AU$9:$AU$508=$A134),_EngineTrades!$AO$9:$AO$508),0))</f>
        <v>0</v>
      </c>
      <c r="S134" s="70">
        <f>IF(OR($A134="",$E134&lt;&gt;"Open"),0,ROUND($R134+IFERROR(LOOKUP(2,1/(_EngineTrades!$AU$9:$AU$508=$A134),_EngineTrades!$AN$9:$AN$508),0),4))</f>
        <v>0</v>
      </c>
      <c r="T134" s="70" t="str">
        <f>IF($A134="","",ROUND(IFERROR(LOOKUP(2,1/(_EngineTrades!$AU$9:$AU$508=$A134),_EngineTrades!$AT$9:$AT$508),0),4))</f>
        <v/>
      </c>
      <c r="U134" s="70" t="str">
        <f t="shared" si="26"/>
        <v/>
      </c>
      <c r="V134" s="70" t="str">
        <f>IF(AND($A134&lt;&gt;"",$E134="Open",$P134+N(IFERROR(LOOKUP(2,1/(_EngineTrades!$AU$9:$AU$508=$A134),_EngineTrades!$AP$9:$AP$508),0))&gt;0),ROUND(($R134-$O134)/($P134+N(IFERROR(LOOKUP(2,1/(_EngineTrades!$AU$9:$AU$508=$A134),_EngineTrades!$AP$9:$AP$508),0))),4),"")</f>
        <v/>
      </c>
      <c r="W134" s="72" t="str">
        <f>IF($A134="","",MAX(1,IF($G134="",_EngineTrades!$E$3-$F134,$G134-$F134)))</f>
        <v/>
      </c>
      <c r="X134" s="73" t="str">
        <f t="shared" si="27"/>
        <v/>
      </c>
      <c r="Y134" s="73" t="str">
        <f t="shared" si="28"/>
        <v/>
      </c>
      <c r="Z134" s="44">
        <f>IF(Cycles!U134="",0,Cycles!U134)</f>
        <v>0</v>
      </c>
      <c r="AA134" s="44">
        <f>IF(Cycles!V134="",0,Cycles!V134)</f>
        <v>0</v>
      </c>
      <c r="AB134" s="44">
        <f>IF(Cycles!W134="",0,Cycles!W134)</f>
        <v>0</v>
      </c>
      <c r="AC134" s="44">
        <f>IF(Cycles!X134="",0,Cycles!X134)</f>
        <v>0</v>
      </c>
      <c r="AD134" s="70" t="str">
        <f t="shared" si="29"/>
        <v/>
      </c>
      <c r="AE134" s="70" t="str">
        <f t="shared" si="30"/>
        <v/>
      </c>
      <c r="AF134" s="70" t="str">
        <f t="shared" si="31"/>
        <v/>
      </c>
      <c r="AG134" t="str">
        <f>IFERROR(MATCH(ROWS($AG$9:AG134),_EngineTrades!$AW$9:$AW$508,0)+8,"")</f>
        <v/>
      </c>
    </row>
    <row r="135" spans="1:33" ht="15" x14ac:dyDescent="0.25">
      <c r="A135" s="61" t="str">
        <f>IF($AG135="","",IFERROR(INDEX(_EngineTrades!$AU$9:$AU$508,MATCH($AG135,_EngineTrades!$AV$9:$AV$508,0)),""))</f>
        <v/>
      </c>
      <c r="B135" s="61" t="str">
        <f>IF($A135="","",INDEX(_EngineTrades!$B$9:$B$508,MATCH($AG135,_EngineTrades!$AV$9:$AV$508,0)))</f>
        <v/>
      </c>
      <c r="C135" s="61" t="str">
        <f>IF($A135="","",INDEX(_EngineTrades!$T$9:$T$508,MATCH($AG135,_EngineTrades!$AV$9:$AV$508,0)))</f>
        <v/>
      </c>
      <c r="D135" s="47" t="str">
        <f>IF($A135="","",INDEX(_EngineTrades!$C$9:$C$508,MATCH($AG135,_EngineTrades!$AV$9:$AV$508,0)))</f>
        <v/>
      </c>
      <c r="E135" s="62" t="str">
        <f>IF($A135="","",IF(IFERROR(LOOKUP(2,1/(_EngineTrades!$AU$9:$AU$508=$A135),_EngineTrades!$AR$9:$AR$508),FALSE),"Closed","Open"))</f>
        <v/>
      </c>
      <c r="F135" s="63" t="str">
        <f>IF($A135="","",INDEX(_EngineTrades!$E$9:$E$508,$AG135-8))</f>
        <v/>
      </c>
      <c r="G135" s="63" t="str">
        <f>IF(OR($A135="",$E135&lt;&gt;"Closed"),"",IFERROR(INDEX(_EngineTrades!$E$9:$E$508,SUMIFS(_EngineTrades!$AX$9:$AX$508,_EngineTrades!$AU$9:$AU$508,$A135)-8),""))</f>
        <v/>
      </c>
      <c r="H135" s="49" t="str">
        <f>IF($A135="","",ROUND(SUMIFS(_EngineTrades!$Y$9:$Y$508,_EngineTrades!$AU$9:$AU$508,$A135),4))</f>
        <v/>
      </c>
      <c r="I135" s="49" t="str">
        <f>IF($A135="","",ROUND(SUMIFS(_EngineTrades!$Z$9:$Z$508,_EngineTrades!$AU$9:$AU$508,$A135),4))</f>
        <v/>
      </c>
      <c r="J135" s="45" t="str">
        <f t="shared" si="24"/>
        <v/>
      </c>
      <c r="K135" s="49" t="str">
        <f>IF($A135="","",ROUND(SUMIFS(_EngineTrades!$AA$9:$AA$508,_EngineTrades!$AU$9:$AU$508,$A135),4))</f>
        <v/>
      </c>
      <c r="L135" s="49" t="str">
        <f>IF($A135="","",ROUND(SUMIFS(_EngineTrades!$AB$9:$AB$508,_EngineTrades!$AU$9:$AU$508,$A135),4))</f>
        <v/>
      </c>
      <c r="M135" s="49" t="str">
        <f>IF($A135="","",ROUND(SUMIFS(_EngineTrades!$AC$9:$AC$508,_EngineTrades!$AU$9:$AU$508,$A135),4))</f>
        <v/>
      </c>
      <c r="N135" s="49" t="str">
        <f>IF($A135="","",ROUND(SUMIFS(_EngineTrades!$AD$9:$AD$508,_EngineTrades!$AU$9:$AU$508,$A135),4))</f>
        <v/>
      </c>
      <c r="O135" s="45" t="str">
        <f t="shared" si="25"/>
        <v/>
      </c>
      <c r="P135" s="61">
        <f>IF(OR($A135="",$E135&lt;&gt;"Open"),0,IFERROR(LOOKUP(2,1/(_EngineTrades!$AU$9:$AU$508=$A135),_EngineTrades!$AM$9:$AM$508),0))</f>
        <v>0</v>
      </c>
      <c r="Q135" s="49" t="str">
        <f>IF(OR($A135="",$P135=0),"",ROUND(IFERROR(LOOKUP(2,1/(_EngineTrades!$AU$9:$AU$508=$A135),_EngineTrades!$AN$9:$AN$508),0)/$P135,4))</f>
        <v/>
      </c>
      <c r="R135" s="49">
        <f>IF(OR($A135="",$E135&lt;&gt;"Open"),0,IFERROR(LOOKUP(2,1/(_EngineTrades!$AU$9:$AU$508=$A135),_EngineTrades!$AO$9:$AO$508),0))</f>
        <v>0</v>
      </c>
      <c r="S135" s="49">
        <f>IF(OR($A135="",$E135&lt;&gt;"Open"),0,ROUND($R135+IFERROR(LOOKUP(2,1/(_EngineTrades!$AU$9:$AU$508=$A135),_EngineTrades!$AN$9:$AN$508),0),4))</f>
        <v>0</v>
      </c>
      <c r="T135" s="49" t="str">
        <f>IF($A135="","",ROUND(IFERROR(LOOKUP(2,1/(_EngineTrades!$AU$9:$AU$508=$A135),_EngineTrades!$AT$9:$AT$508),0),4))</f>
        <v/>
      </c>
      <c r="U135" s="49" t="str">
        <f t="shared" si="26"/>
        <v/>
      </c>
      <c r="V135" s="49" t="str">
        <f>IF(AND($A135&lt;&gt;"",$E135="Open",$P135+N(IFERROR(LOOKUP(2,1/(_EngineTrades!$AU$9:$AU$508=$A135),_EngineTrades!$AP$9:$AP$508),0))&gt;0),ROUND(($R135-$O135)/($P135+N(IFERROR(LOOKUP(2,1/(_EngineTrades!$AU$9:$AU$508=$A135),_EngineTrades!$AP$9:$AP$508),0))),4),"")</f>
        <v/>
      </c>
      <c r="W135" s="64" t="str">
        <f>IF($A135="","",MAX(1,IF($G135="",_EngineTrades!$E$3-$F135,$G135-$F135)))</f>
        <v/>
      </c>
      <c r="X135" s="65" t="str">
        <f t="shared" si="27"/>
        <v/>
      </c>
      <c r="Y135" s="65" t="str">
        <f t="shared" si="28"/>
        <v/>
      </c>
      <c r="Z135" s="44">
        <f>IF(Cycles!U135="",0,Cycles!U135)</f>
        <v>0</v>
      </c>
      <c r="AA135" s="44">
        <f>IF(Cycles!V135="",0,Cycles!V135)</f>
        <v>0</v>
      </c>
      <c r="AB135" s="44">
        <f>IF(Cycles!W135="",0,Cycles!W135)</f>
        <v>0</v>
      </c>
      <c r="AC135" s="44">
        <f>IF(Cycles!X135="",0,Cycles!X135)</f>
        <v>0</v>
      </c>
      <c r="AD135" s="49" t="str">
        <f t="shared" si="29"/>
        <v/>
      </c>
      <c r="AE135" s="49" t="str">
        <f t="shared" si="30"/>
        <v/>
      </c>
      <c r="AF135" s="49" t="str">
        <f t="shared" si="31"/>
        <v/>
      </c>
      <c r="AG135" t="str">
        <f>IFERROR(MATCH(ROWS($AG$9:AG135),_EngineTrades!$AW$9:$AW$508,0)+8,"")</f>
        <v/>
      </c>
    </row>
    <row r="136" spans="1:33" ht="15" x14ac:dyDescent="0.25">
      <c r="A136" s="66" t="str">
        <f>IF($AG136="","",IFERROR(INDEX(_EngineTrades!$AU$9:$AU$508,MATCH($AG136,_EngineTrades!$AV$9:$AV$508,0)),""))</f>
        <v/>
      </c>
      <c r="B136" s="66" t="str">
        <f>IF($A136="","",INDEX(_EngineTrades!$B$9:$B$508,MATCH($AG136,_EngineTrades!$AV$9:$AV$508,0)))</f>
        <v/>
      </c>
      <c r="C136" s="66" t="str">
        <f>IF($A136="","",INDEX(_EngineTrades!$T$9:$T$508,MATCH($AG136,_EngineTrades!$AV$9:$AV$508,0)))</f>
        <v/>
      </c>
      <c r="D136" s="67" t="str">
        <f>IF($A136="","",INDEX(_EngineTrades!$C$9:$C$508,MATCH($AG136,_EngineTrades!$AV$9:$AV$508,0)))</f>
        <v/>
      </c>
      <c r="E136" s="68" t="str">
        <f>IF($A136="","",IF(IFERROR(LOOKUP(2,1/(_EngineTrades!$AU$9:$AU$508=$A136),_EngineTrades!$AR$9:$AR$508),FALSE),"Closed","Open"))</f>
        <v/>
      </c>
      <c r="F136" s="69" t="str">
        <f>IF($A136="","",INDEX(_EngineTrades!$E$9:$E$508,$AG136-8))</f>
        <v/>
      </c>
      <c r="G136" s="69" t="str">
        <f>IF(OR($A136="",$E136&lt;&gt;"Closed"),"",IFERROR(INDEX(_EngineTrades!$E$9:$E$508,SUMIFS(_EngineTrades!$AX$9:$AX$508,_EngineTrades!$AU$9:$AU$508,$A136)-8),""))</f>
        <v/>
      </c>
      <c r="H136" s="70" t="str">
        <f>IF($A136="","",ROUND(SUMIFS(_EngineTrades!$Y$9:$Y$508,_EngineTrades!$AU$9:$AU$508,$A136),4))</f>
        <v/>
      </c>
      <c r="I136" s="70" t="str">
        <f>IF($A136="","",ROUND(SUMIFS(_EngineTrades!$Z$9:$Z$508,_EngineTrades!$AU$9:$AU$508,$A136),4))</f>
        <v/>
      </c>
      <c r="J136" s="71" t="str">
        <f t="shared" si="24"/>
        <v/>
      </c>
      <c r="K136" s="70" t="str">
        <f>IF($A136="","",ROUND(SUMIFS(_EngineTrades!$AA$9:$AA$508,_EngineTrades!$AU$9:$AU$508,$A136),4))</f>
        <v/>
      </c>
      <c r="L136" s="70" t="str">
        <f>IF($A136="","",ROUND(SUMIFS(_EngineTrades!$AB$9:$AB$508,_EngineTrades!$AU$9:$AU$508,$A136),4))</f>
        <v/>
      </c>
      <c r="M136" s="70" t="str">
        <f>IF($A136="","",ROUND(SUMIFS(_EngineTrades!$AC$9:$AC$508,_EngineTrades!$AU$9:$AU$508,$A136),4))</f>
        <v/>
      </c>
      <c r="N136" s="70" t="str">
        <f>IF($A136="","",ROUND(SUMIFS(_EngineTrades!$AD$9:$AD$508,_EngineTrades!$AU$9:$AU$508,$A136),4))</f>
        <v/>
      </c>
      <c r="O136" s="71" t="str">
        <f t="shared" si="25"/>
        <v/>
      </c>
      <c r="P136" s="66">
        <f>IF(OR($A136="",$E136&lt;&gt;"Open"),0,IFERROR(LOOKUP(2,1/(_EngineTrades!$AU$9:$AU$508=$A136),_EngineTrades!$AM$9:$AM$508),0))</f>
        <v>0</v>
      </c>
      <c r="Q136" s="70" t="str">
        <f>IF(OR($A136="",$P136=0),"",ROUND(IFERROR(LOOKUP(2,1/(_EngineTrades!$AU$9:$AU$508=$A136),_EngineTrades!$AN$9:$AN$508),0)/$P136,4))</f>
        <v/>
      </c>
      <c r="R136" s="70">
        <f>IF(OR($A136="",$E136&lt;&gt;"Open"),0,IFERROR(LOOKUP(2,1/(_EngineTrades!$AU$9:$AU$508=$A136),_EngineTrades!$AO$9:$AO$508),0))</f>
        <v>0</v>
      </c>
      <c r="S136" s="70">
        <f>IF(OR($A136="",$E136&lt;&gt;"Open"),0,ROUND($R136+IFERROR(LOOKUP(2,1/(_EngineTrades!$AU$9:$AU$508=$A136),_EngineTrades!$AN$9:$AN$508),0),4))</f>
        <v>0</v>
      </c>
      <c r="T136" s="70" t="str">
        <f>IF($A136="","",ROUND(IFERROR(LOOKUP(2,1/(_EngineTrades!$AU$9:$AU$508=$A136),_EngineTrades!$AT$9:$AT$508),0),4))</f>
        <v/>
      </c>
      <c r="U136" s="70" t="str">
        <f t="shared" si="26"/>
        <v/>
      </c>
      <c r="V136" s="70" t="str">
        <f>IF(AND($A136&lt;&gt;"",$E136="Open",$P136+N(IFERROR(LOOKUP(2,1/(_EngineTrades!$AU$9:$AU$508=$A136),_EngineTrades!$AP$9:$AP$508),0))&gt;0),ROUND(($R136-$O136)/($P136+N(IFERROR(LOOKUP(2,1/(_EngineTrades!$AU$9:$AU$508=$A136),_EngineTrades!$AP$9:$AP$508),0))),4),"")</f>
        <v/>
      </c>
      <c r="W136" s="72" t="str">
        <f>IF($A136="","",MAX(1,IF($G136="",_EngineTrades!$E$3-$F136,$G136-$F136)))</f>
        <v/>
      </c>
      <c r="X136" s="73" t="str">
        <f t="shared" si="27"/>
        <v/>
      </c>
      <c r="Y136" s="73" t="str">
        <f t="shared" si="28"/>
        <v/>
      </c>
      <c r="Z136" s="44">
        <f>IF(Cycles!U136="",0,Cycles!U136)</f>
        <v>0</v>
      </c>
      <c r="AA136" s="44">
        <f>IF(Cycles!V136="",0,Cycles!V136)</f>
        <v>0</v>
      </c>
      <c r="AB136" s="44">
        <f>IF(Cycles!W136="",0,Cycles!W136)</f>
        <v>0</v>
      </c>
      <c r="AC136" s="44">
        <f>IF(Cycles!X136="",0,Cycles!X136)</f>
        <v>0</v>
      </c>
      <c r="AD136" s="70" t="str">
        <f t="shared" si="29"/>
        <v/>
      </c>
      <c r="AE136" s="70" t="str">
        <f t="shared" si="30"/>
        <v/>
      </c>
      <c r="AF136" s="70" t="str">
        <f t="shared" si="31"/>
        <v/>
      </c>
      <c r="AG136" t="str">
        <f>IFERROR(MATCH(ROWS($AG$9:AG136),_EngineTrades!$AW$9:$AW$508,0)+8,"")</f>
        <v/>
      </c>
    </row>
    <row r="137" spans="1:33" ht="15" x14ac:dyDescent="0.25">
      <c r="A137" s="61" t="str">
        <f>IF($AG137="","",IFERROR(INDEX(_EngineTrades!$AU$9:$AU$508,MATCH($AG137,_EngineTrades!$AV$9:$AV$508,0)),""))</f>
        <v/>
      </c>
      <c r="B137" s="61" t="str">
        <f>IF($A137="","",INDEX(_EngineTrades!$B$9:$B$508,MATCH($AG137,_EngineTrades!$AV$9:$AV$508,0)))</f>
        <v/>
      </c>
      <c r="C137" s="61" t="str">
        <f>IF($A137="","",INDEX(_EngineTrades!$T$9:$T$508,MATCH($AG137,_EngineTrades!$AV$9:$AV$508,0)))</f>
        <v/>
      </c>
      <c r="D137" s="47" t="str">
        <f>IF($A137="","",INDEX(_EngineTrades!$C$9:$C$508,MATCH($AG137,_EngineTrades!$AV$9:$AV$508,0)))</f>
        <v/>
      </c>
      <c r="E137" s="62" t="str">
        <f>IF($A137="","",IF(IFERROR(LOOKUP(2,1/(_EngineTrades!$AU$9:$AU$508=$A137),_EngineTrades!$AR$9:$AR$508),FALSE),"Closed","Open"))</f>
        <v/>
      </c>
      <c r="F137" s="63" t="str">
        <f>IF($A137="","",INDEX(_EngineTrades!$E$9:$E$508,$AG137-8))</f>
        <v/>
      </c>
      <c r="G137" s="63" t="str">
        <f>IF(OR($A137="",$E137&lt;&gt;"Closed"),"",IFERROR(INDEX(_EngineTrades!$E$9:$E$508,SUMIFS(_EngineTrades!$AX$9:$AX$508,_EngineTrades!$AU$9:$AU$508,$A137)-8),""))</f>
        <v/>
      </c>
      <c r="H137" s="49" t="str">
        <f>IF($A137="","",ROUND(SUMIFS(_EngineTrades!$Y$9:$Y$508,_EngineTrades!$AU$9:$AU$508,$A137),4))</f>
        <v/>
      </c>
      <c r="I137" s="49" t="str">
        <f>IF($A137="","",ROUND(SUMIFS(_EngineTrades!$Z$9:$Z$508,_EngineTrades!$AU$9:$AU$508,$A137),4))</f>
        <v/>
      </c>
      <c r="J137" s="45" t="str">
        <f t="shared" ref="J137:J168" si="32">IF($A137="","",$H137-$I137)</f>
        <v/>
      </c>
      <c r="K137" s="49" t="str">
        <f>IF($A137="","",ROUND(SUMIFS(_EngineTrades!$AA$9:$AA$508,_EngineTrades!$AU$9:$AU$508,$A137),4))</f>
        <v/>
      </c>
      <c r="L137" s="49" t="str">
        <f>IF($A137="","",ROUND(SUMIFS(_EngineTrades!$AB$9:$AB$508,_EngineTrades!$AU$9:$AU$508,$A137),4))</f>
        <v/>
      </c>
      <c r="M137" s="49" t="str">
        <f>IF($A137="","",ROUND(SUMIFS(_EngineTrades!$AC$9:$AC$508,_EngineTrades!$AU$9:$AU$508,$A137),4))</f>
        <v/>
      </c>
      <c r="N137" s="49" t="str">
        <f>IF($A137="","",ROUND(SUMIFS(_EngineTrades!$AD$9:$AD$508,_EngineTrades!$AU$9:$AU$508,$A137),4))</f>
        <v/>
      </c>
      <c r="O137" s="45" t="str">
        <f t="shared" ref="O137:O168" si="33">IF($A137="","",ROUND($J137+$K137-$L137-$M137+$N137,4))</f>
        <v/>
      </c>
      <c r="P137" s="61">
        <f>IF(OR($A137="",$E137&lt;&gt;"Open"),0,IFERROR(LOOKUP(2,1/(_EngineTrades!$AU$9:$AU$508=$A137),_EngineTrades!$AM$9:$AM$508),0))</f>
        <v>0</v>
      </c>
      <c r="Q137" s="49" t="str">
        <f>IF(OR($A137="",$P137=0),"",ROUND(IFERROR(LOOKUP(2,1/(_EngineTrades!$AU$9:$AU$508=$A137),_EngineTrades!$AN$9:$AN$508),0)/$P137,4))</f>
        <v/>
      </c>
      <c r="R137" s="49">
        <f>IF(OR($A137="",$E137&lt;&gt;"Open"),0,IFERROR(LOOKUP(2,1/(_EngineTrades!$AU$9:$AU$508=$A137),_EngineTrades!$AO$9:$AO$508),0))</f>
        <v>0</v>
      </c>
      <c r="S137" s="49">
        <f>IF(OR($A137="",$E137&lt;&gt;"Open"),0,ROUND($R137+IFERROR(LOOKUP(2,1/(_EngineTrades!$AU$9:$AU$508=$A137),_EngineTrades!$AN$9:$AN$508),0),4))</f>
        <v>0</v>
      </c>
      <c r="T137" s="49" t="str">
        <f>IF($A137="","",ROUND(IFERROR(LOOKUP(2,1/(_EngineTrades!$AU$9:$AU$508=$A137),_EngineTrades!$AT$9:$AT$508),0),4))</f>
        <v/>
      </c>
      <c r="U137" s="49" t="str">
        <f t="shared" ref="U137:U168" si="34">IF(AND($A137&lt;&gt;"",$E137="Open",$P137&gt;0),ROUND(-$O137/$P137,4),"")</f>
        <v/>
      </c>
      <c r="V137" s="49" t="str">
        <f>IF(AND($A137&lt;&gt;"",$E137="Open",$P137+N(IFERROR(LOOKUP(2,1/(_EngineTrades!$AU$9:$AU$508=$A137),_EngineTrades!$AP$9:$AP$508),0))&gt;0),ROUND(($R137-$O137)/($P137+N(IFERROR(LOOKUP(2,1/(_EngineTrades!$AU$9:$AU$508=$A137),_EngineTrades!$AP$9:$AP$508),0))),4),"")</f>
        <v/>
      </c>
      <c r="W137" s="64" t="str">
        <f>IF($A137="","",MAX(1,IF($G137="",_EngineTrades!$E$3-$F137,$G137-$F137)))</f>
        <v/>
      </c>
      <c r="X137" s="65" t="str">
        <f t="shared" ref="X137:X168" si="35">IF(OR($A137="",$T137=0),"",ROUND(IF($E137="Open",($J137+$K137-$L137)/$T137,$O137/$T137),6))</f>
        <v/>
      </c>
      <c r="Y137" s="65" t="str">
        <f t="shared" ref="Y137:Y168" si="36">IF(OR($A137="",$T137=0),"",ROUND(IF($E137="Open",($J137+$K137-$L137)/$T137,$O137/$T137)*365/$W137,6))</f>
        <v/>
      </c>
      <c r="Z137" s="44">
        <f>IF(Cycles!U137="",0,Cycles!U137)</f>
        <v>0</v>
      </c>
      <c r="AA137" s="44">
        <f>IF(Cycles!V137="",0,Cycles!V137)</f>
        <v>0</v>
      </c>
      <c r="AB137" s="44">
        <f>IF(Cycles!W137="",0,Cycles!W137)</f>
        <v>0</v>
      </c>
      <c r="AC137" s="44">
        <f>IF(Cycles!X137="",0,Cycles!X137)</f>
        <v>0</v>
      </c>
      <c r="AD137" s="49" t="str">
        <f t="shared" ref="AD137:AD168" si="37">IF(AND($A137&lt;&gt;"",$E137="Open",$P137&gt;0),ROUND($U137-IF($Z137&gt;=0,$Z137,0)+IF($AA137&gt;=0,$AA137,0)/$P137+IF(ISNUMBER($AB137),$AB137,0),4),"")</f>
        <v/>
      </c>
      <c r="AE137" s="49" t="str">
        <f t="shared" ref="AE137:AE168" si="38">IF($AD137="","",ROUND(MAX(0,IF($AC137&gt;0,ROUNDUP(ROUND($AD137/$AC137,9),0)*$AC137,$AD137)),4))</f>
        <v/>
      </c>
      <c r="AF137" s="49" t="str">
        <f t="shared" ref="AF137:AF168" si="39">IF($AE137="","",ROUND($P137*($AE137+IF($Z137&gt;=0,$Z137,0)-$U137)-IF($AA137&gt;=0,$AA137,0),4))</f>
        <v/>
      </c>
      <c r="AG137" t="str">
        <f>IFERROR(MATCH(ROWS($AG$9:AG137),_EngineTrades!$AW$9:$AW$508,0)+8,"")</f>
        <v/>
      </c>
    </row>
    <row r="138" spans="1:33" ht="15" x14ac:dyDescent="0.25">
      <c r="A138" s="66" t="str">
        <f>IF($AG138="","",IFERROR(INDEX(_EngineTrades!$AU$9:$AU$508,MATCH($AG138,_EngineTrades!$AV$9:$AV$508,0)),""))</f>
        <v/>
      </c>
      <c r="B138" s="66" t="str">
        <f>IF($A138="","",INDEX(_EngineTrades!$B$9:$B$508,MATCH($AG138,_EngineTrades!$AV$9:$AV$508,0)))</f>
        <v/>
      </c>
      <c r="C138" s="66" t="str">
        <f>IF($A138="","",INDEX(_EngineTrades!$T$9:$T$508,MATCH($AG138,_EngineTrades!$AV$9:$AV$508,0)))</f>
        <v/>
      </c>
      <c r="D138" s="67" t="str">
        <f>IF($A138="","",INDEX(_EngineTrades!$C$9:$C$508,MATCH($AG138,_EngineTrades!$AV$9:$AV$508,0)))</f>
        <v/>
      </c>
      <c r="E138" s="68" t="str">
        <f>IF($A138="","",IF(IFERROR(LOOKUP(2,1/(_EngineTrades!$AU$9:$AU$508=$A138),_EngineTrades!$AR$9:$AR$508),FALSE),"Closed","Open"))</f>
        <v/>
      </c>
      <c r="F138" s="69" t="str">
        <f>IF($A138="","",INDEX(_EngineTrades!$E$9:$E$508,$AG138-8))</f>
        <v/>
      </c>
      <c r="G138" s="69" t="str">
        <f>IF(OR($A138="",$E138&lt;&gt;"Closed"),"",IFERROR(INDEX(_EngineTrades!$E$9:$E$508,SUMIFS(_EngineTrades!$AX$9:$AX$508,_EngineTrades!$AU$9:$AU$508,$A138)-8),""))</f>
        <v/>
      </c>
      <c r="H138" s="70" t="str">
        <f>IF($A138="","",ROUND(SUMIFS(_EngineTrades!$Y$9:$Y$508,_EngineTrades!$AU$9:$AU$508,$A138),4))</f>
        <v/>
      </c>
      <c r="I138" s="70" t="str">
        <f>IF($A138="","",ROUND(SUMIFS(_EngineTrades!$Z$9:$Z$508,_EngineTrades!$AU$9:$AU$508,$A138),4))</f>
        <v/>
      </c>
      <c r="J138" s="71" t="str">
        <f t="shared" si="32"/>
        <v/>
      </c>
      <c r="K138" s="70" t="str">
        <f>IF($A138="","",ROUND(SUMIFS(_EngineTrades!$AA$9:$AA$508,_EngineTrades!$AU$9:$AU$508,$A138),4))</f>
        <v/>
      </c>
      <c r="L138" s="70" t="str">
        <f>IF($A138="","",ROUND(SUMIFS(_EngineTrades!$AB$9:$AB$508,_EngineTrades!$AU$9:$AU$508,$A138),4))</f>
        <v/>
      </c>
      <c r="M138" s="70" t="str">
        <f>IF($A138="","",ROUND(SUMIFS(_EngineTrades!$AC$9:$AC$508,_EngineTrades!$AU$9:$AU$508,$A138),4))</f>
        <v/>
      </c>
      <c r="N138" s="70" t="str">
        <f>IF($A138="","",ROUND(SUMIFS(_EngineTrades!$AD$9:$AD$508,_EngineTrades!$AU$9:$AU$508,$A138),4))</f>
        <v/>
      </c>
      <c r="O138" s="71" t="str">
        <f t="shared" si="33"/>
        <v/>
      </c>
      <c r="P138" s="66">
        <f>IF(OR($A138="",$E138&lt;&gt;"Open"),0,IFERROR(LOOKUP(2,1/(_EngineTrades!$AU$9:$AU$508=$A138),_EngineTrades!$AM$9:$AM$508),0))</f>
        <v>0</v>
      </c>
      <c r="Q138" s="70" t="str">
        <f>IF(OR($A138="",$P138=0),"",ROUND(IFERROR(LOOKUP(2,1/(_EngineTrades!$AU$9:$AU$508=$A138),_EngineTrades!$AN$9:$AN$508),0)/$P138,4))</f>
        <v/>
      </c>
      <c r="R138" s="70">
        <f>IF(OR($A138="",$E138&lt;&gt;"Open"),0,IFERROR(LOOKUP(2,1/(_EngineTrades!$AU$9:$AU$508=$A138),_EngineTrades!$AO$9:$AO$508),0))</f>
        <v>0</v>
      </c>
      <c r="S138" s="70">
        <f>IF(OR($A138="",$E138&lt;&gt;"Open"),0,ROUND($R138+IFERROR(LOOKUP(2,1/(_EngineTrades!$AU$9:$AU$508=$A138),_EngineTrades!$AN$9:$AN$508),0),4))</f>
        <v>0</v>
      </c>
      <c r="T138" s="70" t="str">
        <f>IF($A138="","",ROUND(IFERROR(LOOKUP(2,1/(_EngineTrades!$AU$9:$AU$508=$A138),_EngineTrades!$AT$9:$AT$508),0),4))</f>
        <v/>
      </c>
      <c r="U138" s="70" t="str">
        <f t="shared" si="34"/>
        <v/>
      </c>
      <c r="V138" s="70" t="str">
        <f>IF(AND($A138&lt;&gt;"",$E138="Open",$P138+N(IFERROR(LOOKUP(2,1/(_EngineTrades!$AU$9:$AU$508=$A138),_EngineTrades!$AP$9:$AP$508),0))&gt;0),ROUND(($R138-$O138)/($P138+N(IFERROR(LOOKUP(2,1/(_EngineTrades!$AU$9:$AU$508=$A138),_EngineTrades!$AP$9:$AP$508),0))),4),"")</f>
        <v/>
      </c>
      <c r="W138" s="72" t="str">
        <f>IF($A138="","",MAX(1,IF($G138="",_EngineTrades!$E$3-$F138,$G138-$F138)))</f>
        <v/>
      </c>
      <c r="X138" s="73" t="str">
        <f t="shared" si="35"/>
        <v/>
      </c>
      <c r="Y138" s="73" t="str">
        <f t="shared" si="36"/>
        <v/>
      </c>
      <c r="Z138" s="44">
        <f>IF(Cycles!U138="",0,Cycles!U138)</f>
        <v>0</v>
      </c>
      <c r="AA138" s="44">
        <f>IF(Cycles!V138="",0,Cycles!V138)</f>
        <v>0</v>
      </c>
      <c r="AB138" s="44">
        <f>IF(Cycles!W138="",0,Cycles!W138)</f>
        <v>0</v>
      </c>
      <c r="AC138" s="44">
        <f>IF(Cycles!X138="",0,Cycles!X138)</f>
        <v>0</v>
      </c>
      <c r="AD138" s="70" t="str">
        <f t="shared" si="37"/>
        <v/>
      </c>
      <c r="AE138" s="70" t="str">
        <f t="shared" si="38"/>
        <v/>
      </c>
      <c r="AF138" s="70" t="str">
        <f t="shared" si="39"/>
        <v/>
      </c>
      <c r="AG138" t="str">
        <f>IFERROR(MATCH(ROWS($AG$9:AG138),_EngineTrades!$AW$9:$AW$508,0)+8,"")</f>
        <v/>
      </c>
    </row>
    <row r="139" spans="1:33" ht="15" x14ac:dyDescent="0.25">
      <c r="A139" s="61" t="str">
        <f>IF($AG139="","",IFERROR(INDEX(_EngineTrades!$AU$9:$AU$508,MATCH($AG139,_EngineTrades!$AV$9:$AV$508,0)),""))</f>
        <v/>
      </c>
      <c r="B139" s="61" t="str">
        <f>IF($A139="","",INDEX(_EngineTrades!$B$9:$B$508,MATCH($AG139,_EngineTrades!$AV$9:$AV$508,0)))</f>
        <v/>
      </c>
      <c r="C139" s="61" t="str">
        <f>IF($A139="","",INDEX(_EngineTrades!$T$9:$T$508,MATCH($AG139,_EngineTrades!$AV$9:$AV$508,0)))</f>
        <v/>
      </c>
      <c r="D139" s="47" t="str">
        <f>IF($A139="","",INDEX(_EngineTrades!$C$9:$C$508,MATCH($AG139,_EngineTrades!$AV$9:$AV$508,0)))</f>
        <v/>
      </c>
      <c r="E139" s="62" t="str">
        <f>IF($A139="","",IF(IFERROR(LOOKUP(2,1/(_EngineTrades!$AU$9:$AU$508=$A139),_EngineTrades!$AR$9:$AR$508),FALSE),"Closed","Open"))</f>
        <v/>
      </c>
      <c r="F139" s="63" t="str">
        <f>IF($A139="","",INDEX(_EngineTrades!$E$9:$E$508,$AG139-8))</f>
        <v/>
      </c>
      <c r="G139" s="63" t="str">
        <f>IF(OR($A139="",$E139&lt;&gt;"Closed"),"",IFERROR(INDEX(_EngineTrades!$E$9:$E$508,SUMIFS(_EngineTrades!$AX$9:$AX$508,_EngineTrades!$AU$9:$AU$508,$A139)-8),""))</f>
        <v/>
      </c>
      <c r="H139" s="49" t="str">
        <f>IF($A139="","",ROUND(SUMIFS(_EngineTrades!$Y$9:$Y$508,_EngineTrades!$AU$9:$AU$508,$A139),4))</f>
        <v/>
      </c>
      <c r="I139" s="49" t="str">
        <f>IF($A139="","",ROUND(SUMIFS(_EngineTrades!$Z$9:$Z$508,_EngineTrades!$AU$9:$AU$508,$A139),4))</f>
        <v/>
      </c>
      <c r="J139" s="45" t="str">
        <f t="shared" si="32"/>
        <v/>
      </c>
      <c r="K139" s="49" t="str">
        <f>IF($A139="","",ROUND(SUMIFS(_EngineTrades!$AA$9:$AA$508,_EngineTrades!$AU$9:$AU$508,$A139),4))</f>
        <v/>
      </c>
      <c r="L139" s="49" t="str">
        <f>IF($A139="","",ROUND(SUMIFS(_EngineTrades!$AB$9:$AB$508,_EngineTrades!$AU$9:$AU$508,$A139),4))</f>
        <v/>
      </c>
      <c r="M139" s="49" t="str">
        <f>IF($A139="","",ROUND(SUMIFS(_EngineTrades!$AC$9:$AC$508,_EngineTrades!$AU$9:$AU$508,$A139),4))</f>
        <v/>
      </c>
      <c r="N139" s="49" t="str">
        <f>IF($A139="","",ROUND(SUMIFS(_EngineTrades!$AD$9:$AD$508,_EngineTrades!$AU$9:$AU$508,$A139),4))</f>
        <v/>
      </c>
      <c r="O139" s="45" t="str">
        <f t="shared" si="33"/>
        <v/>
      </c>
      <c r="P139" s="61">
        <f>IF(OR($A139="",$E139&lt;&gt;"Open"),0,IFERROR(LOOKUP(2,1/(_EngineTrades!$AU$9:$AU$508=$A139),_EngineTrades!$AM$9:$AM$508),0))</f>
        <v>0</v>
      </c>
      <c r="Q139" s="49" t="str">
        <f>IF(OR($A139="",$P139=0),"",ROUND(IFERROR(LOOKUP(2,1/(_EngineTrades!$AU$9:$AU$508=$A139),_EngineTrades!$AN$9:$AN$508),0)/$P139,4))</f>
        <v/>
      </c>
      <c r="R139" s="49">
        <f>IF(OR($A139="",$E139&lt;&gt;"Open"),0,IFERROR(LOOKUP(2,1/(_EngineTrades!$AU$9:$AU$508=$A139),_EngineTrades!$AO$9:$AO$508),0))</f>
        <v>0</v>
      </c>
      <c r="S139" s="49">
        <f>IF(OR($A139="",$E139&lt;&gt;"Open"),0,ROUND($R139+IFERROR(LOOKUP(2,1/(_EngineTrades!$AU$9:$AU$508=$A139),_EngineTrades!$AN$9:$AN$508),0),4))</f>
        <v>0</v>
      </c>
      <c r="T139" s="49" t="str">
        <f>IF($A139="","",ROUND(IFERROR(LOOKUP(2,1/(_EngineTrades!$AU$9:$AU$508=$A139),_EngineTrades!$AT$9:$AT$508),0),4))</f>
        <v/>
      </c>
      <c r="U139" s="49" t="str">
        <f t="shared" si="34"/>
        <v/>
      </c>
      <c r="V139" s="49" t="str">
        <f>IF(AND($A139&lt;&gt;"",$E139="Open",$P139+N(IFERROR(LOOKUP(2,1/(_EngineTrades!$AU$9:$AU$508=$A139),_EngineTrades!$AP$9:$AP$508),0))&gt;0),ROUND(($R139-$O139)/($P139+N(IFERROR(LOOKUP(2,1/(_EngineTrades!$AU$9:$AU$508=$A139),_EngineTrades!$AP$9:$AP$508),0))),4),"")</f>
        <v/>
      </c>
      <c r="W139" s="64" t="str">
        <f>IF($A139="","",MAX(1,IF($G139="",_EngineTrades!$E$3-$F139,$G139-$F139)))</f>
        <v/>
      </c>
      <c r="X139" s="65" t="str">
        <f t="shared" si="35"/>
        <v/>
      </c>
      <c r="Y139" s="65" t="str">
        <f t="shared" si="36"/>
        <v/>
      </c>
      <c r="Z139" s="44">
        <f>IF(Cycles!U139="",0,Cycles!U139)</f>
        <v>0</v>
      </c>
      <c r="AA139" s="44">
        <f>IF(Cycles!V139="",0,Cycles!V139)</f>
        <v>0</v>
      </c>
      <c r="AB139" s="44">
        <f>IF(Cycles!W139="",0,Cycles!W139)</f>
        <v>0</v>
      </c>
      <c r="AC139" s="44">
        <f>IF(Cycles!X139="",0,Cycles!X139)</f>
        <v>0</v>
      </c>
      <c r="AD139" s="49" t="str">
        <f t="shared" si="37"/>
        <v/>
      </c>
      <c r="AE139" s="49" t="str">
        <f t="shared" si="38"/>
        <v/>
      </c>
      <c r="AF139" s="49" t="str">
        <f t="shared" si="39"/>
        <v/>
      </c>
      <c r="AG139" t="str">
        <f>IFERROR(MATCH(ROWS($AG$9:AG139),_EngineTrades!$AW$9:$AW$508,0)+8,"")</f>
        <v/>
      </c>
    </row>
    <row r="140" spans="1:33" ht="15" x14ac:dyDescent="0.25">
      <c r="A140" s="66" t="str">
        <f>IF($AG140="","",IFERROR(INDEX(_EngineTrades!$AU$9:$AU$508,MATCH($AG140,_EngineTrades!$AV$9:$AV$508,0)),""))</f>
        <v/>
      </c>
      <c r="B140" s="66" t="str">
        <f>IF($A140="","",INDEX(_EngineTrades!$B$9:$B$508,MATCH($AG140,_EngineTrades!$AV$9:$AV$508,0)))</f>
        <v/>
      </c>
      <c r="C140" s="66" t="str">
        <f>IF($A140="","",INDEX(_EngineTrades!$T$9:$T$508,MATCH($AG140,_EngineTrades!$AV$9:$AV$508,0)))</f>
        <v/>
      </c>
      <c r="D140" s="67" t="str">
        <f>IF($A140="","",INDEX(_EngineTrades!$C$9:$C$508,MATCH($AG140,_EngineTrades!$AV$9:$AV$508,0)))</f>
        <v/>
      </c>
      <c r="E140" s="68" t="str">
        <f>IF($A140="","",IF(IFERROR(LOOKUP(2,1/(_EngineTrades!$AU$9:$AU$508=$A140),_EngineTrades!$AR$9:$AR$508),FALSE),"Closed","Open"))</f>
        <v/>
      </c>
      <c r="F140" s="69" t="str">
        <f>IF($A140="","",INDEX(_EngineTrades!$E$9:$E$508,$AG140-8))</f>
        <v/>
      </c>
      <c r="G140" s="69" t="str">
        <f>IF(OR($A140="",$E140&lt;&gt;"Closed"),"",IFERROR(INDEX(_EngineTrades!$E$9:$E$508,SUMIFS(_EngineTrades!$AX$9:$AX$508,_EngineTrades!$AU$9:$AU$508,$A140)-8),""))</f>
        <v/>
      </c>
      <c r="H140" s="70" t="str">
        <f>IF($A140="","",ROUND(SUMIFS(_EngineTrades!$Y$9:$Y$508,_EngineTrades!$AU$9:$AU$508,$A140),4))</f>
        <v/>
      </c>
      <c r="I140" s="70" t="str">
        <f>IF($A140="","",ROUND(SUMIFS(_EngineTrades!$Z$9:$Z$508,_EngineTrades!$AU$9:$AU$508,$A140),4))</f>
        <v/>
      </c>
      <c r="J140" s="71" t="str">
        <f t="shared" si="32"/>
        <v/>
      </c>
      <c r="K140" s="70" t="str">
        <f>IF($A140="","",ROUND(SUMIFS(_EngineTrades!$AA$9:$AA$508,_EngineTrades!$AU$9:$AU$508,$A140),4))</f>
        <v/>
      </c>
      <c r="L140" s="70" t="str">
        <f>IF($A140="","",ROUND(SUMIFS(_EngineTrades!$AB$9:$AB$508,_EngineTrades!$AU$9:$AU$508,$A140),4))</f>
        <v/>
      </c>
      <c r="M140" s="70" t="str">
        <f>IF($A140="","",ROUND(SUMIFS(_EngineTrades!$AC$9:$AC$508,_EngineTrades!$AU$9:$AU$508,$A140),4))</f>
        <v/>
      </c>
      <c r="N140" s="70" t="str">
        <f>IF($A140="","",ROUND(SUMIFS(_EngineTrades!$AD$9:$AD$508,_EngineTrades!$AU$9:$AU$508,$A140),4))</f>
        <v/>
      </c>
      <c r="O140" s="71" t="str">
        <f t="shared" si="33"/>
        <v/>
      </c>
      <c r="P140" s="66">
        <f>IF(OR($A140="",$E140&lt;&gt;"Open"),0,IFERROR(LOOKUP(2,1/(_EngineTrades!$AU$9:$AU$508=$A140),_EngineTrades!$AM$9:$AM$508),0))</f>
        <v>0</v>
      </c>
      <c r="Q140" s="70" t="str">
        <f>IF(OR($A140="",$P140=0),"",ROUND(IFERROR(LOOKUP(2,1/(_EngineTrades!$AU$9:$AU$508=$A140),_EngineTrades!$AN$9:$AN$508),0)/$P140,4))</f>
        <v/>
      </c>
      <c r="R140" s="70">
        <f>IF(OR($A140="",$E140&lt;&gt;"Open"),0,IFERROR(LOOKUP(2,1/(_EngineTrades!$AU$9:$AU$508=$A140),_EngineTrades!$AO$9:$AO$508),0))</f>
        <v>0</v>
      </c>
      <c r="S140" s="70">
        <f>IF(OR($A140="",$E140&lt;&gt;"Open"),0,ROUND($R140+IFERROR(LOOKUP(2,1/(_EngineTrades!$AU$9:$AU$508=$A140),_EngineTrades!$AN$9:$AN$508),0),4))</f>
        <v>0</v>
      </c>
      <c r="T140" s="70" t="str">
        <f>IF($A140="","",ROUND(IFERROR(LOOKUP(2,1/(_EngineTrades!$AU$9:$AU$508=$A140),_EngineTrades!$AT$9:$AT$508),0),4))</f>
        <v/>
      </c>
      <c r="U140" s="70" t="str">
        <f t="shared" si="34"/>
        <v/>
      </c>
      <c r="V140" s="70" t="str">
        <f>IF(AND($A140&lt;&gt;"",$E140="Open",$P140+N(IFERROR(LOOKUP(2,1/(_EngineTrades!$AU$9:$AU$508=$A140),_EngineTrades!$AP$9:$AP$508),0))&gt;0),ROUND(($R140-$O140)/($P140+N(IFERROR(LOOKUP(2,1/(_EngineTrades!$AU$9:$AU$508=$A140),_EngineTrades!$AP$9:$AP$508),0))),4),"")</f>
        <v/>
      </c>
      <c r="W140" s="72" t="str">
        <f>IF($A140="","",MAX(1,IF($G140="",_EngineTrades!$E$3-$F140,$G140-$F140)))</f>
        <v/>
      </c>
      <c r="X140" s="73" t="str">
        <f t="shared" si="35"/>
        <v/>
      </c>
      <c r="Y140" s="73" t="str">
        <f t="shared" si="36"/>
        <v/>
      </c>
      <c r="Z140" s="44">
        <f>IF(Cycles!U140="",0,Cycles!U140)</f>
        <v>0</v>
      </c>
      <c r="AA140" s="44">
        <f>IF(Cycles!V140="",0,Cycles!V140)</f>
        <v>0</v>
      </c>
      <c r="AB140" s="44">
        <f>IF(Cycles!W140="",0,Cycles!W140)</f>
        <v>0</v>
      </c>
      <c r="AC140" s="44">
        <f>IF(Cycles!X140="",0,Cycles!X140)</f>
        <v>0</v>
      </c>
      <c r="AD140" s="70" t="str">
        <f t="shared" si="37"/>
        <v/>
      </c>
      <c r="AE140" s="70" t="str">
        <f t="shared" si="38"/>
        <v/>
      </c>
      <c r="AF140" s="70" t="str">
        <f t="shared" si="39"/>
        <v/>
      </c>
      <c r="AG140" t="str">
        <f>IFERROR(MATCH(ROWS($AG$9:AG140),_EngineTrades!$AW$9:$AW$508,0)+8,"")</f>
        <v/>
      </c>
    </row>
    <row r="141" spans="1:33" ht="15" x14ac:dyDescent="0.25">
      <c r="A141" s="61" t="str">
        <f>IF($AG141="","",IFERROR(INDEX(_EngineTrades!$AU$9:$AU$508,MATCH($AG141,_EngineTrades!$AV$9:$AV$508,0)),""))</f>
        <v/>
      </c>
      <c r="B141" s="61" t="str">
        <f>IF($A141="","",INDEX(_EngineTrades!$B$9:$B$508,MATCH($AG141,_EngineTrades!$AV$9:$AV$508,0)))</f>
        <v/>
      </c>
      <c r="C141" s="61" t="str">
        <f>IF($A141="","",INDEX(_EngineTrades!$T$9:$T$508,MATCH($AG141,_EngineTrades!$AV$9:$AV$508,0)))</f>
        <v/>
      </c>
      <c r="D141" s="47" t="str">
        <f>IF($A141="","",INDEX(_EngineTrades!$C$9:$C$508,MATCH($AG141,_EngineTrades!$AV$9:$AV$508,0)))</f>
        <v/>
      </c>
      <c r="E141" s="62" t="str">
        <f>IF($A141="","",IF(IFERROR(LOOKUP(2,1/(_EngineTrades!$AU$9:$AU$508=$A141),_EngineTrades!$AR$9:$AR$508),FALSE),"Closed","Open"))</f>
        <v/>
      </c>
      <c r="F141" s="63" t="str">
        <f>IF($A141="","",INDEX(_EngineTrades!$E$9:$E$508,$AG141-8))</f>
        <v/>
      </c>
      <c r="G141" s="63" t="str">
        <f>IF(OR($A141="",$E141&lt;&gt;"Closed"),"",IFERROR(INDEX(_EngineTrades!$E$9:$E$508,SUMIFS(_EngineTrades!$AX$9:$AX$508,_EngineTrades!$AU$9:$AU$508,$A141)-8),""))</f>
        <v/>
      </c>
      <c r="H141" s="49" t="str">
        <f>IF($A141="","",ROUND(SUMIFS(_EngineTrades!$Y$9:$Y$508,_EngineTrades!$AU$9:$AU$508,$A141),4))</f>
        <v/>
      </c>
      <c r="I141" s="49" t="str">
        <f>IF($A141="","",ROUND(SUMIFS(_EngineTrades!$Z$9:$Z$508,_EngineTrades!$AU$9:$AU$508,$A141),4))</f>
        <v/>
      </c>
      <c r="J141" s="45" t="str">
        <f t="shared" si="32"/>
        <v/>
      </c>
      <c r="K141" s="49" t="str">
        <f>IF($A141="","",ROUND(SUMIFS(_EngineTrades!$AA$9:$AA$508,_EngineTrades!$AU$9:$AU$508,$A141),4))</f>
        <v/>
      </c>
      <c r="L141" s="49" t="str">
        <f>IF($A141="","",ROUND(SUMIFS(_EngineTrades!$AB$9:$AB$508,_EngineTrades!$AU$9:$AU$508,$A141),4))</f>
        <v/>
      </c>
      <c r="M141" s="49" t="str">
        <f>IF($A141="","",ROUND(SUMIFS(_EngineTrades!$AC$9:$AC$508,_EngineTrades!$AU$9:$AU$508,$A141),4))</f>
        <v/>
      </c>
      <c r="N141" s="49" t="str">
        <f>IF($A141="","",ROUND(SUMIFS(_EngineTrades!$AD$9:$AD$508,_EngineTrades!$AU$9:$AU$508,$A141),4))</f>
        <v/>
      </c>
      <c r="O141" s="45" t="str">
        <f t="shared" si="33"/>
        <v/>
      </c>
      <c r="P141" s="61">
        <f>IF(OR($A141="",$E141&lt;&gt;"Open"),0,IFERROR(LOOKUP(2,1/(_EngineTrades!$AU$9:$AU$508=$A141),_EngineTrades!$AM$9:$AM$508),0))</f>
        <v>0</v>
      </c>
      <c r="Q141" s="49" t="str">
        <f>IF(OR($A141="",$P141=0),"",ROUND(IFERROR(LOOKUP(2,1/(_EngineTrades!$AU$9:$AU$508=$A141),_EngineTrades!$AN$9:$AN$508),0)/$P141,4))</f>
        <v/>
      </c>
      <c r="R141" s="49">
        <f>IF(OR($A141="",$E141&lt;&gt;"Open"),0,IFERROR(LOOKUP(2,1/(_EngineTrades!$AU$9:$AU$508=$A141),_EngineTrades!$AO$9:$AO$508),0))</f>
        <v>0</v>
      </c>
      <c r="S141" s="49">
        <f>IF(OR($A141="",$E141&lt;&gt;"Open"),0,ROUND($R141+IFERROR(LOOKUP(2,1/(_EngineTrades!$AU$9:$AU$508=$A141),_EngineTrades!$AN$9:$AN$508),0),4))</f>
        <v>0</v>
      </c>
      <c r="T141" s="49" t="str">
        <f>IF($A141="","",ROUND(IFERROR(LOOKUP(2,1/(_EngineTrades!$AU$9:$AU$508=$A141),_EngineTrades!$AT$9:$AT$508),0),4))</f>
        <v/>
      </c>
      <c r="U141" s="49" t="str">
        <f t="shared" si="34"/>
        <v/>
      </c>
      <c r="V141" s="49" t="str">
        <f>IF(AND($A141&lt;&gt;"",$E141="Open",$P141+N(IFERROR(LOOKUP(2,1/(_EngineTrades!$AU$9:$AU$508=$A141),_EngineTrades!$AP$9:$AP$508),0))&gt;0),ROUND(($R141-$O141)/($P141+N(IFERROR(LOOKUP(2,1/(_EngineTrades!$AU$9:$AU$508=$A141),_EngineTrades!$AP$9:$AP$508),0))),4),"")</f>
        <v/>
      </c>
      <c r="W141" s="64" t="str">
        <f>IF($A141="","",MAX(1,IF($G141="",_EngineTrades!$E$3-$F141,$G141-$F141)))</f>
        <v/>
      </c>
      <c r="X141" s="65" t="str">
        <f t="shared" si="35"/>
        <v/>
      </c>
      <c r="Y141" s="65" t="str">
        <f t="shared" si="36"/>
        <v/>
      </c>
      <c r="Z141" s="44">
        <f>IF(Cycles!U141="",0,Cycles!U141)</f>
        <v>0</v>
      </c>
      <c r="AA141" s="44">
        <f>IF(Cycles!V141="",0,Cycles!V141)</f>
        <v>0</v>
      </c>
      <c r="AB141" s="44">
        <f>IF(Cycles!W141="",0,Cycles!W141)</f>
        <v>0</v>
      </c>
      <c r="AC141" s="44">
        <f>IF(Cycles!X141="",0,Cycles!X141)</f>
        <v>0</v>
      </c>
      <c r="AD141" s="49" t="str">
        <f t="shared" si="37"/>
        <v/>
      </c>
      <c r="AE141" s="49" t="str">
        <f t="shared" si="38"/>
        <v/>
      </c>
      <c r="AF141" s="49" t="str">
        <f t="shared" si="39"/>
        <v/>
      </c>
      <c r="AG141" t="str">
        <f>IFERROR(MATCH(ROWS($AG$9:AG141),_EngineTrades!$AW$9:$AW$508,0)+8,"")</f>
        <v/>
      </c>
    </row>
    <row r="142" spans="1:33" ht="15" x14ac:dyDescent="0.25">
      <c r="A142" s="66" t="str">
        <f>IF($AG142="","",IFERROR(INDEX(_EngineTrades!$AU$9:$AU$508,MATCH($AG142,_EngineTrades!$AV$9:$AV$508,0)),""))</f>
        <v/>
      </c>
      <c r="B142" s="66" t="str">
        <f>IF($A142="","",INDEX(_EngineTrades!$B$9:$B$508,MATCH($AG142,_EngineTrades!$AV$9:$AV$508,0)))</f>
        <v/>
      </c>
      <c r="C142" s="66" t="str">
        <f>IF($A142="","",INDEX(_EngineTrades!$T$9:$T$508,MATCH($AG142,_EngineTrades!$AV$9:$AV$508,0)))</f>
        <v/>
      </c>
      <c r="D142" s="67" t="str">
        <f>IF($A142="","",INDEX(_EngineTrades!$C$9:$C$508,MATCH($AG142,_EngineTrades!$AV$9:$AV$508,0)))</f>
        <v/>
      </c>
      <c r="E142" s="68" t="str">
        <f>IF($A142="","",IF(IFERROR(LOOKUP(2,1/(_EngineTrades!$AU$9:$AU$508=$A142),_EngineTrades!$AR$9:$AR$508),FALSE),"Closed","Open"))</f>
        <v/>
      </c>
      <c r="F142" s="69" t="str">
        <f>IF($A142="","",INDEX(_EngineTrades!$E$9:$E$508,$AG142-8))</f>
        <v/>
      </c>
      <c r="G142" s="69" t="str">
        <f>IF(OR($A142="",$E142&lt;&gt;"Closed"),"",IFERROR(INDEX(_EngineTrades!$E$9:$E$508,SUMIFS(_EngineTrades!$AX$9:$AX$508,_EngineTrades!$AU$9:$AU$508,$A142)-8),""))</f>
        <v/>
      </c>
      <c r="H142" s="70" t="str">
        <f>IF($A142="","",ROUND(SUMIFS(_EngineTrades!$Y$9:$Y$508,_EngineTrades!$AU$9:$AU$508,$A142),4))</f>
        <v/>
      </c>
      <c r="I142" s="70" t="str">
        <f>IF($A142="","",ROUND(SUMIFS(_EngineTrades!$Z$9:$Z$508,_EngineTrades!$AU$9:$AU$508,$A142),4))</f>
        <v/>
      </c>
      <c r="J142" s="71" t="str">
        <f t="shared" si="32"/>
        <v/>
      </c>
      <c r="K142" s="70" t="str">
        <f>IF($A142="","",ROUND(SUMIFS(_EngineTrades!$AA$9:$AA$508,_EngineTrades!$AU$9:$AU$508,$A142),4))</f>
        <v/>
      </c>
      <c r="L142" s="70" t="str">
        <f>IF($A142="","",ROUND(SUMIFS(_EngineTrades!$AB$9:$AB$508,_EngineTrades!$AU$9:$AU$508,$A142),4))</f>
        <v/>
      </c>
      <c r="M142" s="70" t="str">
        <f>IF($A142="","",ROUND(SUMIFS(_EngineTrades!$AC$9:$AC$508,_EngineTrades!$AU$9:$AU$508,$A142),4))</f>
        <v/>
      </c>
      <c r="N142" s="70" t="str">
        <f>IF($A142="","",ROUND(SUMIFS(_EngineTrades!$AD$9:$AD$508,_EngineTrades!$AU$9:$AU$508,$A142),4))</f>
        <v/>
      </c>
      <c r="O142" s="71" t="str">
        <f t="shared" si="33"/>
        <v/>
      </c>
      <c r="P142" s="66">
        <f>IF(OR($A142="",$E142&lt;&gt;"Open"),0,IFERROR(LOOKUP(2,1/(_EngineTrades!$AU$9:$AU$508=$A142),_EngineTrades!$AM$9:$AM$508),0))</f>
        <v>0</v>
      </c>
      <c r="Q142" s="70" t="str">
        <f>IF(OR($A142="",$P142=0),"",ROUND(IFERROR(LOOKUP(2,1/(_EngineTrades!$AU$9:$AU$508=$A142),_EngineTrades!$AN$9:$AN$508),0)/$P142,4))</f>
        <v/>
      </c>
      <c r="R142" s="70">
        <f>IF(OR($A142="",$E142&lt;&gt;"Open"),0,IFERROR(LOOKUP(2,1/(_EngineTrades!$AU$9:$AU$508=$A142),_EngineTrades!$AO$9:$AO$508),0))</f>
        <v>0</v>
      </c>
      <c r="S142" s="70">
        <f>IF(OR($A142="",$E142&lt;&gt;"Open"),0,ROUND($R142+IFERROR(LOOKUP(2,1/(_EngineTrades!$AU$9:$AU$508=$A142),_EngineTrades!$AN$9:$AN$508),0),4))</f>
        <v>0</v>
      </c>
      <c r="T142" s="70" t="str">
        <f>IF($A142="","",ROUND(IFERROR(LOOKUP(2,1/(_EngineTrades!$AU$9:$AU$508=$A142),_EngineTrades!$AT$9:$AT$508),0),4))</f>
        <v/>
      </c>
      <c r="U142" s="70" t="str">
        <f t="shared" si="34"/>
        <v/>
      </c>
      <c r="V142" s="70" t="str">
        <f>IF(AND($A142&lt;&gt;"",$E142="Open",$P142+N(IFERROR(LOOKUP(2,1/(_EngineTrades!$AU$9:$AU$508=$A142),_EngineTrades!$AP$9:$AP$508),0))&gt;0),ROUND(($R142-$O142)/($P142+N(IFERROR(LOOKUP(2,1/(_EngineTrades!$AU$9:$AU$508=$A142),_EngineTrades!$AP$9:$AP$508),0))),4),"")</f>
        <v/>
      </c>
      <c r="W142" s="72" t="str">
        <f>IF($A142="","",MAX(1,IF($G142="",_EngineTrades!$E$3-$F142,$G142-$F142)))</f>
        <v/>
      </c>
      <c r="X142" s="73" t="str">
        <f t="shared" si="35"/>
        <v/>
      </c>
      <c r="Y142" s="73" t="str">
        <f t="shared" si="36"/>
        <v/>
      </c>
      <c r="Z142" s="44">
        <f>IF(Cycles!U142="",0,Cycles!U142)</f>
        <v>0</v>
      </c>
      <c r="AA142" s="44">
        <f>IF(Cycles!V142="",0,Cycles!V142)</f>
        <v>0</v>
      </c>
      <c r="AB142" s="44">
        <f>IF(Cycles!W142="",0,Cycles!W142)</f>
        <v>0</v>
      </c>
      <c r="AC142" s="44">
        <f>IF(Cycles!X142="",0,Cycles!X142)</f>
        <v>0</v>
      </c>
      <c r="AD142" s="70" t="str">
        <f t="shared" si="37"/>
        <v/>
      </c>
      <c r="AE142" s="70" t="str">
        <f t="shared" si="38"/>
        <v/>
      </c>
      <c r="AF142" s="70" t="str">
        <f t="shared" si="39"/>
        <v/>
      </c>
      <c r="AG142" t="str">
        <f>IFERROR(MATCH(ROWS($AG$9:AG142),_EngineTrades!$AW$9:$AW$508,0)+8,"")</f>
        <v/>
      </c>
    </row>
    <row r="143" spans="1:33" ht="15" x14ac:dyDescent="0.25">
      <c r="A143" s="61" t="str">
        <f>IF($AG143="","",IFERROR(INDEX(_EngineTrades!$AU$9:$AU$508,MATCH($AG143,_EngineTrades!$AV$9:$AV$508,0)),""))</f>
        <v/>
      </c>
      <c r="B143" s="61" t="str">
        <f>IF($A143="","",INDEX(_EngineTrades!$B$9:$B$508,MATCH($AG143,_EngineTrades!$AV$9:$AV$508,0)))</f>
        <v/>
      </c>
      <c r="C143" s="61" t="str">
        <f>IF($A143="","",INDEX(_EngineTrades!$T$9:$T$508,MATCH($AG143,_EngineTrades!$AV$9:$AV$508,0)))</f>
        <v/>
      </c>
      <c r="D143" s="47" t="str">
        <f>IF($A143="","",INDEX(_EngineTrades!$C$9:$C$508,MATCH($AG143,_EngineTrades!$AV$9:$AV$508,0)))</f>
        <v/>
      </c>
      <c r="E143" s="62" t="str">
        <f>IF($A143="","",IF(IFERROR(LOOKUP(2,1/(_EngineTrades!$AU$9:$AU$508=$A143),_EngineTrades!$AR$9:$AR$508),FALSE),"Closed","Open"))</f>
        <v/>
      </c>
      <c r="F143" s="63" t="str">
        <f>IF($A143="","",INDEX(_EngineTrades!$E$9:$E$508,$AG143-8))</f>
        <v/>
      </c>
      <c r="G143" s="63" t="str">
        <f>IF(OR($A143="",$E143&lt;&gt;"Closed"),"",IFERROR(INDEX(_EngineTrades!$E$9:$E$508,SUMIFS(_EngineTrades!$AX$9:$AX$508,_EngineTrades!$AU$9:$AU$508,$A143)-8),""))</f>
        <v/>
      </c>
      <c r="H143" s="49" t="str">
        <f>IF($A143="","",ROUND(SUMIFS(_EngineTrades!$Y$9:$Y$508,_EngineTrades!$AU$9:$AU$508,$A143),4))</f>
        <v/>
      </c>
      <c r="I143" s="49" t="str">
        <f>IF($A143="","",ROUND(SUMIFS(_EngineTrades!$Z$9:$Z$508,_EngineTrades!$AU$9:$AU$508,$A143),4))</f>
        <v/>
      </c>
      <c r="J143" s="45" t="str">
        <f t="shared" si="32"/>
        <v/>
      </c>
      <c r="K143" s="49" t="str">
        <f>IF($A143="","",ROUND(SUMIFS(_EngineTrades!$AA$9:$AA$508,_EngineTrades!$AU$9:$AU$508,$A143),4))</f>
        <v/>
      </c>
      <c r="L143" s="49" t="str">
        <f>IF($A143="","",ROUND(SUMIFS(_EngineTrades!$AB$9:$AB$508,_EngineTrades!$AU$9:$AU$508,$A143),4))</f>
        <v/>
      </c>
      <c r="M143" s="49" t="str">
        <f>IF($A143="","",ROUND(SUMIFS(_EngineTrades!$AC$9:$AC$508,_EngineTrades!$AU$9:$AU$508,$A143),4))</f>
        <v/>
      </c>
      <c r="N143" s="49" t="str">
        <f>IF($A143="","",ROUND(SUMIFS(_EngineTrades!$AD$9:$AD$508,_EngineTrades!$AU$9:$AU$508,$A143),4))</f>
        <v/>
      </c>
      <c r="O143" s="45" t="str">
        <f t="shared" si="33"/>
        <v/>
      </c>
      <c r="P143" s="61">
        <f>IF(OR($A143="",$E143&lt;&gt;"Open"),0,IFERROR(LOOKUP(2,1/(_EngineTrades!$AU$9:$AU$508=$A143),_EngineTrades!$AM$9:$AM$508),0))</f>
        <v>0</v>
      </c>
      <c r="Q143" s="49" t="str">
        <f>IF(OR($A143="",$P143=0),"",ROUND(IFERROR(LOOKUP(2,1/(_EngineTrades!$AU$9:$AU$508=$A143),_EngineTrades!$AN$9:$AN$508),0)/$P143,4))</f>
        <v/>
      </c>
      <c r="R143" s="49">
        <f>IF(OR($A143="",$E143&lt;&gt;"Open"),0,IFERROR(LOOKUP(2,1/(_EngineTrades!$AU$9:$AU$508=$A143),_EngineTrades!$AO$9:$AO$508),0))</f>
        <v>0</v>
      </c>
      <c r="S143" s="49">
        <f>IF(OR($A143="",$E143&lt;&gt;"Open"),0,ROUND($R143+IFERROR(LOOKUP(2,1/(_EngineTrades!$AU$9:$AU$508=$A143),_EngineTrades!$AN$9:$AN$508),0),4))</f>
        <v>0</v>
      </c>
      <c r="T143" s="49" t="str">
        <f>IF($A143="","",ROUND(IFERROR(LOOKUP(2,1/(_EngineTrades!$AU$9:$AU$508=$A143),_EngineTrades!$AT$9:$AT$508),0),4))</f>
        <v/>
      </c>
      <c r="U143" s="49" t="str">
        <f t="shared" si="34"/>
        <v/>
      </c>
      <c r="V143" s="49" t="str">
        <f>IF(AND($A143&lt;&gt;"",$E143="Open",$P143+N(IFERROR(LOOKUP(2,1/(_EngineTrades!$AU$9:$AU$508=$A143),_EngineTrades!$AP$9:$AP$508),0))&gt;0),ROUND(($R143-$O143)/($P143+N(IFERROR(LOOKUP(2,1/(_EngineTrades!$AU$9:$AU$508=$A143),_EngineTrades!$AP$9:$AP$508),0))),4),"")</f>
        <v/>
      </c>
      <c r="W143" s="64" t="str">
        <f>IF($A143="","",MAX(1,IF($G143="",_EngineTrades!$E$3-$F143,$G143-$F143)))</f>
        <v/>
      </c>
      <c r="X143" s="65" t="str">
        <f t="shared" si="35"/>
        <v/>
      </c>
      <c r="Y143" s="65" t="str">
        <f t="shared" si="36"/>
        <v/>
      </c>
      <c r="Z143" s="44">
        <f>IF(Cycles!U143="",0,Cycles!U143)</f>
        <v>0</v>
      </c>
      <c r="AA143" s="44">
        <f>IF(Cycles!V143="",0,Cycles!V143)</f>
        <v>0</v>
      </c>
      <c r="AB143" s="44">
        <f>IF(Cycles!W143="",0,Cycles!W143)</f>
        <v>0</v>
      </c>
      <c r="AC143" s="44">
        <f>IF(Cycles!X143="",0,Cycles!X143)</f>
        <v>0</v>
      </c>
      <c r="AD143" s="49" t="str">
        <f t="shared" si="37"/>
        <v/>
      </c>
      <c r="AE143" s="49" t="str">
        <f t="shared" si="38"/>
        <v/>
      </c>
      <c r="AF143" s="49" t="str">
        <f t="shared" si="39"/>
        <v/>
      </c>
      <c r="AG143" t="str">
        <f>IFERROR(MATCH(ROWS($AG$9:AG143),_EngineTrades!$AW$9:$AW$508,0)+8,"")</f>
        <v/>
      </c>
    </row>
    <row r="144" spans="1:33" ht="15" x14ac:dyDescent="0.25">
      <c r="A144" s="66" t="str">
        <f>IF($AG144="","",IFERROR(INDEX(_EngineTrades!$AU$9:$AU$508,MATCH($AG144,_EngineTrades!$AV$9:$AV$508,0)),""))</f>
        <v/>
      </c>
      <c r="B144" s="66" t="str">
        <f>IF($A144="","",INDEX(_EngineTrades!$B$9:$B$508,MATCH($AG144,_EngineTrades!$AV$9:$AV$508,0)))</f>
        <v/>
      </c>
      <c r="C144" s="66" t="str">
        <f>IF($A144="","",INDEX(_EngineTrades!$T$9:$T$508,MATCH($AG144,_EngineTrades!$AV$9:$AV$508,0)))</f>
        <v/>
      </c>
      <c r="D144" s="67" t="str">
        <f>IF($A144="","",INDEX(_EngineTrades!$C$9:$C$508,MATCH($AG144,_EngineTrades!$AV$9:$AV$508,0)))</f>
        <v/>
      </c>
      <c r="E144" s="68" t="str">
        <f>IF($A144="","",IF(IFERROR(LOOKUP(2,1/(_EngineTrades!$AU$9:$AU$508=$A144),_EngineTrades!$AR$9:$AR$508),FALSE),"Closed","Open"))</f>
        <v/>
      </c>
      <c r="F144" s="69" t="str">
        <f>IF($A144="","",INDEX(_EngineTrades!$E$9:$E$508,$AG144-8))</f>
        <v/>
      </c>
      <c r="G144" s="69" t="str">
        <f>IF(OR($A144="",$E144&lt;&gt;"Closed"),"",IFERROR(INDEX(_EngineTrades!$E$9:$E$508,SUMIFS(_EngineTrades!$AX$9:$AX$508,_EngineTrades!$AU$9:$AU$508,$A144)-8),""))</f>
        <v/>
      </c>
      <c r="H144" s="70" t="str">
        <f>IF($A144="","",ROUND(SUMIFS(_EngineTrades!$Y$9:$Y$508,_EngineTrades!$AU$9:$AU$508,$A144),4))</f>
        <v/>
      </c>
      <c r="I144" s="70" t="str">
        <f>IF($A144="","",ROUND(SUMIFS(_EngineTrades!$Z$9:$Z$508,_EngineTrades!$AU$9:$AU$508,$A144),4))</f>
        <v/>
      </c>
      <c r="J144" s="71" t="str">
        <f t="shared" si="32"/>
        <v/>
      </c>
      <c r="K144" s="70" t="str">
        <f>IF($A144="","",ROUND(SUMIFS(_EngineTrades!$AA$9:$AA$508,_EngineTrades!$AU$9:$AU$508,$A144),4))</f>
        <v/>
      </c>
      <c r="L144" s="70" t="str">
        <f>IF($A144="","",ROUND(SUMIFS(_EngineTrades!$AB$9:$AB$508,_EngineTrades!$AU$9:$AU$508,$A144),4))</f>
        <v/>
      </c>
      <c r="M144" s="70" t="str">
        <f>IF($A144="","",ROUND(SUMIFS(_EngineTrades!$AC$9:$AC$508,_EngineTrades!$AU$9:$AU$508,$A144),4))</f>
        <v/>
      </c>
      <c r="N144" s="70" t="str">
        <f>IF($A144="","",ROUND(SUMIFS(_EngineTrades!$AD$9:$AD$508,_EngineTrades!$AU$9:$AU$508,$A144),4))</f>
        <v/>
      </c>
      <c r="O144" s="71" t="str">
        <f t="shared" si="33"/>
        <v/>
      </c>
      <c r="P144" s="66">
        <f>IF(OR($A144="",$E144&lt;&gt;"Open"),0,IFERROR(LOOKUP(2,1/(_EngineTrades!$AU$9:$AU$508=$A144),_EngineTrades!$AM$9:$AM$508),0))</f>
        <v>0</v>
      </c>
      <c r="Q144" s="70" t="str">
        <f>IF(OR($A144="",$P144=0),"",ROUND(IFERROR(LOOKUP(2,1/(_EngineTrades!$AU$9:$AU$508=$A144),_EngineTrades!$AN$9:$AN$508),0)/$P144,4))</f>
        <v/>
      </c>
      <c r="R144" s="70">
        <f>IF(OR($A144="",$E144&lt;&gt;"Open"),0,IFERROR(LOOKUP(2,1/(_EngineTrades!$AU$9:$AU$508=$A144),_EngineTrades!$AO$9:$AO$508),0))</f>
        <v>0</v>
      </c>
      <c r="S144" s="70">
        <f>IF(OR($A144="",$E144&lt;&gt;"Open"),0,ROUND($R144+IFERROR(LOOKUP(2,1/(_EngineTrades!$AU$9:$AU$508=$A144),_EngineTrades!$AN$9:$AN$508),0),4))</f>
        <v>0</v>
      </c>
      <c r="T144" s="70" t="str">
        <f>IF($A144="","",ROUND(IFERROR(LOOKUP(2,1/(_EngineTrades!$AU$9:$AU$508=$A144),_EngineTrades!$AT$9:$AT$508),0),4))</f>
        <v/>
      </c>
      <c r="U144" s="70" t="str">
        <f t="shared" si="34"/>
        <v/>
      </c>
      <c r="V144" s="70" t="str">
        <f>IF(AND($A144&lt;&gt;"",$E144="Open",$P144+N(IFERROR(LOOKUP(2,1/(_EngineTrades!$AU$9:$AU$508=$A144),_EngineTrades!$AP$9:$AP$508),0))&gt;0),ROUND(($R144-$O144)/($P144+N(IFERROR(LOOKUP(2,1/(_EngineTrades!$AU$9:$AU$508=$A144),_EngineTrades!$AP$9:$AP$508),0))),4),"")</f>
        <v/>
      </c>
      <c r="W144" s="72" t="str">
        <f>IF($A144="","",MAX(1,IF($G144="",_EngineTrades!$E$3-$F144,$G144-$F144)))</f>
        <v/>
      </c>
      <c r="X144" s="73" t="str">
        <f t="shared" si="35"/>
        <v/>
      </c>
      <c r="Y144" s="73" t="str">
        <f t="shared" si="36"/>
        <v/>
      </c>
      <c r="Z144" s="44">
        <f>IF(Cycles!U144="",0,Cycles!U144)</f>
        <v>0</v>
      </c>
      <c r="AA144" s="44">
        <f>IF(Cycles!V144="",0,Cycles!V144)</f>
        <v>0</v>
      </c>
      <c r="AB144" s="44">
        <f>IF(Cycles!W144="",0,Cycles!W144)</f>
        <v>0</v>
      </c>
      <c r="AC144" s="44">
        <f>IF(Cycles!X144="",0,Cycles!X144)</f>
        <v>0</v>
      </c>
      <c r="AD144" s="70" t="str">
        <f t="shared" si="37"/>
        <v/>
      </c>
      <c r="AE144" s="70" t="str">
        <f t="shared" si="38"/>
        <v/>
      </c>
      <c r="AF144" s="70" t="str">
        <f t="shared" si="39"/>
        <v/>
      </c>
      <c r="AG144" t="str">
        <f>IFERROR(MATCH(ROWS($AG$9:AG144),_EngineTrades!$AW$9:$AW$508,0)+8,"")</f>
        <v/>
      </c>
    </row>
    <row r="145" spans="1:33" ht="15" x14ac:dyDescent="0.25">
      <c r="A145" s="61" t="str">
        <f>IF($AG145="","",IFERROR(INDEX(_EngineTrades!$AU$9:$AU$508,MATCH($AG145,_EngineTrades!$AV$9:$AV$508,0)),""))</f>
        <v/>
      </c>
      <c r="B145" s="61" t="str">
        <f>IF($A145="","",INDEX(_EngineTrades!$B$9:$B$508,MATCH($AG145,_EngineTrades!$AV$9:$AV$508,0)))</f>
        <v/>
      </c>
      <c r="C145" s="61" t="str">
        <f>IF($A145="","",INDEX(_EngineTrades!$T$9:$T$508,MATCH($AG145,_EngineTrades!$AV$9:$AV$508,0)))</f>
        <v/>
      </c>
      <c r="D145" s="47" t="str">
        <f>IF($A145="","",INDEX(_EngineTrades!$C$9:$C$508,MATCH($AG145,_EngineTrades!$AV$9:$AV$508,0)))</f>
        <v/>
      </c>
      <c r="E145" s="62" t="str">
        <f>IF($A145="","",IF(IFERROR(LOOKUP(2,1/(_EngineTrades!$AU$9:$AU$508=$A145),_EngineTrades!$AR$9:$AR$508),FALSE),"Closed","Open"))</f>
        <v/>
      </c>
      <c r="F145" s="63" t="str">
        <f>IF($A145="","",INDEX(_EngineTrades!$E$9:$E$508,$AG145-8))</f>
        <v/>
      </c>
      <c r="G145" s="63" t="str">
        <f>IF(OR($A145="",$E145&lt;&gt;"Closed"),"",IFERROR(INDEX(_EngineTrades!$E$9:$E$508,SUMIFS(_EngineTrades!$AX$9:$AX$508,_EngineTrades!$AU$9:$AU$508,$A145)-8),""))</f>
        <v/>
      </c>
      <c r="H145" s="49" t="str">
        <f>IF($A145="","",ROUND(SUMIFS(_EngineTrades!$Y$9:$Y$508,_EngineTrades!$AU$9:$AU$508,$A145),4))</f>
        <v/>
      </c>
      <c r="I145" s="49" t="str">
        <f>IF($A145="","",ROUND(SUMIFS(_EngineTrades!$Z$9:$Z$508,_EngineTrades!$AU$9:$AU$508,$A145),4))</f>
        <v/>
      </c>
      <c r="J145" s="45" t="str">
        <f t="shared" si="32"/>
        <v/>
      </c>
      <c r="K145" s="49" t="str">
        <f>IF($A145="","",ROUND(SUMIFS(_EngineTrades!$AA$9:$AA$508,_EngineTrades!$AU$9:$AU$508,$A145),4))</f>
        <v/>
      </c>
      <c r="L145" s="49" t="str">
        <f>IF($A145="","",ROUND(SUMIFS(_EngineTrades!$AB$9:$AB$508,_EngineTrades!$AU$9:$AU$508,$A145),4))</f>
        <v/>
      </c>
      <c r="M145" s="49" t="str">
        <f>IF($A145="","",ROUND(SUMIFS(_EngineTrades!$AC$9:$AC$508,_EngineTrades!$AU$9:$AU$508,$A145),4))</f>
        <v/>
      </c>
      <c r="N145" s="49" t="str">
        <f>IF($A145="","",ROUND(SUMIFS(_EngineTrades!$AD$9:$AD$508,_EngineTrades!$AU$9:$AU$508,$A145),4))</f>
        <v/>
      </c>
      <c r="O145" s="45" t="str">
        <f t="shared" si="33"/>
        <v/>
      </c>
      <c r="P145" s="61">
        <f>IF(OR($A145="",$E145&lt;&gt;"Open"),0,IFERROR(LOOKUP(2,1/(_EngineTrades!$AU$9:$AU$508=$A145),_EngineTrades!$AM$9:$AM$508),0))</f>
        <v>0</v>
      </c>
      <c r="Q145" s="49" t="str">
        <f>IF(OR($A145="",$P145=0),"",ROUND(IFERROR(LOOKUP(2,1/(_EngineTrades!$AU$9:$AU$508=$A145),_EngineTrades!$AN$9:$AN$508),0)/$P145,4))</f>
        <v/>
      </c>
      <c r="R145" s="49">
        <f>IF(OR($A145="",$E145&lt;&gt;"Open"),0,IFERROR(LOOKUP(2,1/(_EngineTrades!$AU$9:$AU$508=$A145),_EngineTrades!$AO$9:$AO$508),0))</f>
        <v>0</v>
      </c>
      <c r="S145" s="49">
        <f>IF(OR($A145="",$E145&lt;&gt;"Open"),0,ROUND($R145+IFERROR(LOOKUP(2,1/(_EngineTrades!$AU$9:$AU$508=$A145),_EngineTrades!$AN$9:$AN$508),0),4))</f>
        <v>0</v>
      </c>
      <c r="T145" s="49" t="str">
        <f>IF($A145="","",ROUND(IFERROR(LOOKUP(2,1/(_EngineTrades!$AU$9:$AU$508=$A145),_EngineTrades!$AT$9:$AT$508),0),4))</f>
        <v/>
      </c>
      <c r="U145" s="49" t="str">
        <f t="shared" si="34"/>
        <v/>
      </c>
      <c r="V145" s="49" t="str">
        <f>IF(AND($A145&lt;&gt;"",$E145="Open",$P145+N(IFERROR(LOOKUP(2,1/(_EngineTrades!$AU$9:$AU$508=$A145),_EngineTrades!$AP$9:$AP$508),0))&gt;0),ROUND(($R145-$O145)/($P145+N(IFERROR(LOOKUP(2,1/(_EngineTrades!$AU$9:$AU$508=$A145),_EngineTrades!$AP$9:$AP$508),0))),4),"")</f>
        <v/>
      </c>
      <c r="W145" s="64" t="str">
        <f>IF($A145="","",MAX(1,IF($G145="",_EngineTrades!$E$3-$F145,$G145-$F145)))</f>
        <v/>
      </c>
      <c r="X145" s="65" t="str">
        <f t="shared" si="35"/>
        <v/>
      </c>
      <c r="Y145" s="65" t="str">
        <f t="shared" si="36"/>
        <v/>
      </c>
      <c r="Z145" s="44">
        <f>IF(Cycles!U145="",0,Cycles!U145)</f>
        <v>0</v>
      </c>
      <c r="AA145" s="44">
        <f>IF(Cycles!V145="",0,Cycles!V145)</f>
        <v>0</v>
      </c>
      <c r="AB145" s="44">
        <f>IF(Cycles!W145="",0,Cycles!W145)</f>
        <v>0</v>
      </c>
      <c r="AC145" s="44">
        <f>IF(Cycles!X145="",0,Cycles!X145)</f>
        <v>0</v>
      </c>
      <c r="AD145" s="49" t="str">
        <f t="shared" si="37"/>
        <v/>
      </c>
      <c r="AE145" s="49" t="str">
        <f t="shared" si="38"/>
        <v/>
      </c>
      <c r="AF145" s="49" t="str">
        <f t="shared" si="39"/>
        <v/>
      </c>
      <c r="AG145" t="str">
        <f>IFERROR(MATCH(ROWS($AG$9:AG145),_EngineTrades!$AW$9:$AW$508,0)+8,"")</f>
        <v/>
      </c>
    </row>
    <row r="146" spans="1:33" ht="15" x14ac:dyDescent="0.25">
      <c r="A146" s="66" t="str">
        <f>IF($AG146="","",IFERROR(INDEX(_EngineTrades!$AU$9:$AU$508,MATCH($AG146,_EngineTrades!$AV$9:$AV$508,0)),""))</f>
        <v/>
      </c>
      <c r="B146" s="66" t="str">
        <f>IF($A146="","",INDEX(_EngineTrades!$B$9:$B$508,MATCH($AG146,_EngineTrades!$AV$9:$AV$508,0)))</f>
        <v/>
      </c>
      <c r="C146" s="66" t="str">
        <f>IF($A146="","",INDEX(_EngineTrades!$T$9:$T$508,MATCH($AG146,_EngineTrades!$AV$9:$AV$508,0)))</f>
        <v/>
      </c>
      <c r="D146" s="67" t="str">
        <f>IF($A146="","",INDEX(_EngineTrades!$C$9:$C$508,MATCH($AG146,_EngineTrades!$AV$9:$AV$508,0)))</f>
        <v/>
      </c>
      <c r="E146" s="68" t="str">
        <f>IF($A146="","",IF(IFERROR(LOOKUP(2,1/(_EngineTrades!$AU$9:$AU$508=$A146),_EngineTrades!$AR$9:$AR$508),FALSE),"Closed","Open"))</f>
        <v/>
      </c>
      <c r="F146" s="69" t="str">
        <f>IF($A146="","",INDEX(_EngineTrades!$E$9:$E$508,$AG146-8))</f>
        <v/>
      </c>
      <c r="G146" s="69" t="str">
        <f>IF(OR($A146="",$E146&lt;&gt;"Closed"),"",IFERROR(INDEX(_EngineTrades!$E$9:$E$508,SUMIFS(_EngineTrades!$AX$9:$AX$508,_EngineTrades!$AU$9:$AU$508,$A146)-8),""))</f>
        <v/>
      </c>
      <c r="H146" s="70" t="str">
        <f>IF($A146="","",ROUND(SUMIFS(_EngineTrades!$Y$9:$Y$508,_EngineTrades!$AU$9:$AU$508,$A146),4))</f>
        <v/>
      </c>
      <c r="I146" s="70" t="str">
        <f>IF($A146="","",ROUND(SUMIFS(_EngineTrades!$Z$9:$Z$508,_EngineTrades!$AU$9:$AU$508,$A146),4))</f>
        <v/>
      </c>
      <c r="J146" s="71" t="str">
        <f t="shared" si="32"/>
        <v/>
      </c>
      <c r="K146" s="70" t="str">
        <f>IF($A146="","",ROUND(SUMIFS(_EngineTrades!$AA$9:$AA$508,_EngineTrades!$AU$9:$AU$508,$A146),4))</f>
        <v/>
      </c>
      <c r="L146" s="70" t="str">
        <f>IF($A146="","",ROUND(SUMIFS(_EngineTrades!$AB$9:$AB$508,_EngineTrades!$AU$9:$AU$508,$A146),4))</f>
        <v/>
      </c>
      <c r="M146" s="70" t="str">
        <f>IF($A146="","",ROUND(SUMIFS(_EngineTrades!$AC$9:$AC$508,_EngineTrades!$AU$9:$AU$508,$A146),4))</f>
        <v/>
      </c>
      <c r="N146" s="70" t="str">
        <f>IF($A146="","",ROUND(SUMIFS(_EngineTrades!$AD$9:$AD$508,_EngineTrades!$AU$9:$AU$508,$A146),4))</f>
        <v/>
      </c>
      <c r="O146" s="71" t="str">
        <f t="shared" si="33"/>
        <v/>
      </c>
      <c r="P146" s="66">
        <f>IF(OR($A146="",$E146&lt;&gt;"Open"),0,IFERROR(LOOKUP(2,1/(_EngineTrades!$AU$9:$AU$508=$A146),_EngineTrades!$AM$9:$AM$508),0))</f>
        <v>0</v>
      </c>
      <c r="Q146" s="70" t="str">
        <f>IF(OR($A146="",$P146=0),"",ROUND(IFERROR(LOOKUP(2,1/(_EngineTrades!$AU$9:$AU$508=$A146),_EngineTrades!$AN$9:$AN$508),0)/$P146,4))</f>
        <v/>
      </c>
      <c r="R146" s="70">
        <f>IF(OR($A146="",$E146&lt;&gt;"Open"),0,IFERROR(LOOKUP(2,1/(_EngineTrades!$AU$9:$AU$508=$A146),_EngineTrades!$AO$9:$AO$508),0))</f>
        <v>0</v>
      </c>
      <c r="S146" s="70">
        <f>IF(OR($A146="",$E146&lt;&gt;"Open"),0,ROUND($R146+IFERROR(LOOKUP(2,1/(_EngineTrades!$AU$9:$AU$508=$A146),_EngineTrades!$AN$9:$AN$508),0),4))</f>
        <v>0</v>
      </c>
      <c r="T146" s="70" t="str">
        <f>IF($A146="","",ROUND(IFERROR(LOOKUP(2,1/(_EngineTrades!$AU$9:$AU$508=$A146),_EngineTrades!$AT$9:$AT$508),0),4))</f>
        <v/>
      </c>
      <c r="U146" s="70" t="str">
        <f t="shared" si="34"/>
        <v/>
      </c>
      <c r="V146" s="70" t="str">
        <f>IF(AND($A146&lt;&gt;"",$E146="Open",$P146+N(IFERROR(LOOKUP(2,1/(_EngineTrades!$AU$9:$AU$508=$A146),_EngineTrades!$AP$9:$AP$508),0))&gt;0),ROUND(($R146-$O146)/($P146+N(IFERROR(LOOKUP(2,1/(_EngineTrades!$AU$9:$AU$508=$A146),_EngineTrades!$AP$9:$AP$508),0))),4),"")</f>
        <v/>
      </c>
      <c r="W146" s="72" t="str">
        <f>IF($A146="","",MAX(1,IF($G146="",_EngineTrades!$E$3-$F146,$G146-$F146)))</f>
        <v/>
      </c>
      <c r="X146" s="73" t="str">
        <f t="shared" si="35"/>
        <v/>
      </c>
      <c r="Y146" s="73" t="str">
        <f t="shared" si="36"/>
        <v/>
      </c>
      <c r="Z146" s="44">
        <f>IF(Cycles!U146="",0,Cycles!U146)</f>
        <v>0</v>
      </c>
      <c r="AA146" s="44">
        <f>IF(Cycles!V146="",0,Cycles!V146)</f>
        <v>0</v>
      </c>
      <c r="AB146" s="44">
        <f>IF(Cycles!W146="",0,Cycles!W146)</f>
        <v>0</v>
      </c>
      <c r="AC146" s="44">
        <f>IF(Cycles!X146="",0,Cycles!X146)</f>
        <v>0</v>
      </c>
      <c r="AD146" s="70" t="str">
        <f t="shared" si="37"/>
        <v/>
      </c>
      <c r="AE146" s="70" t="str">
        <f t="shared" si="38"/>
        <v/>
      </c>
      <c r="AF146" s="70" t="str">
        <f t="shared" si="39"/>
        <v/>
      </c>
      <c r="AG146" t="str">
        <f>IFERROR(MATCH(ROWS($AG$9:AG146),_EngineTrades!$AW$9:$AW$508,0)+8,"")</f>
        <v/>
      </c>
    </row>
    <row r="147" spans="1:33" ht="15" x14ac:dyDescent="0.25">
      <c r="A147" s="61" t="str">
        <f>IF($AG147="","",IFERROR(INDEX(_EngineTrades!$AU$9:$AU$508,MATCH($AG147,_EngineTrades!$AV$9:$AV$508,0)),""))</f>
        <v/>
      </c>
      <c r="B147" s="61" t="str">
        <f>IF($A147="","",INDEX(_EngineTrades!$B$9:$B$508,MATCH($AG147,_EngineTrades!$AV$9:$AV$508,0)))</f>
        <v/>
      </c>
      <c r="C147" s="61" t="str">
        <f>IF($A147="","",INDEX(_EngineTrades!$T$9:$T$508,MATCH($AG147,_EngineTrades!$AV$9:$AV$508,0)))</f>
        <v/>
      </c>
      <c r="D147" s="47" t="str">
        <f>IF($A147="","",INDEX(_EngineTrades!$C$9:$C$508,MATCH($AG147,_EngineTrades!$AV$9:$AV$508,0)))</f>
        <v/>
      </c>
      <c r="E147" s="62" t="str">
        <f>IF($A147="","",IF(IFERROR(LOOKUP(2,1/(_EngineTrades!$AU$9:$AU$508=$A147),_EngineTrades!$AR$9:$AR$508),FALSE),"Closed","Open"))</f>
        <v/>
      </c>
      <c r="F147" s="63" t="str">
        <f>IF($A147="","",INDEX(_EngineTrades!$E$9:$E$508,$AG147-8))</f>
        <v/>
      </c>
      <c r="G147" s="63" t="str">
        <f>IF(OR($A147="",$E147&lt;&gt;"Closed"),"",IFERROR(INDEX(_EngineTrades!$E$9:$E$508,SUMIFS(_EngineTrades!$AX$9:$AX$508,_EngineTrades!$AU$9:$AU$508,$A147)-8),""))</f>
        <v/>
      </c>
      <c r="H147" s="49" t="str">
        <f>IF($A147="","",ROUND(SUMIFS(_EngineTrades!$Y$9:$Y$508,_EngineTrades!$AU$9:$AU$508,$A147),4))</f>
        <v/>
      </c>
      <c r="I147" s="49" t="str">
        <f>IF($A147="","",ROUND(SUMIFS(_EngineTrades!$Z$9:$Z$508,_EngineTrades!$AU$9:$AU$508,$A147),4))</f>
        <v/>
      </c>
      <c r="J147" s="45" t="str">
        <f t="shared" si="32"/>
        <v/>
      </c>
      <c r="K147" s="49" t="str">
        <f>IF($A147="","",ROUND(SUMIFS(_EngineTrades!$AA$9:$AA$508,_EngineTrades!$AU$9:$AU$508,$A147),4))</f>
        <v/>
      </c>
      <c r="L147" s="49" t="str">
        <f>IF($A147="","",ROUND(SUMIFS(_EngineTrades!$AB$9:$AB$508,_EngineTrades!$AU$9:$AU$508,$A147),4))</f>
        <v/>
      </c>
      <c r="M147" s="49" t="str">
        <f>IF($A147="","",ROUND(SUMIFS(_EngineTrades!$AC$9:$AC$508,_EngineTrades!$AU$9:$AU$508,$A147),4))</f>
        <v/>
      </c>
      <c r="N147" s="49" t="str">
        <f>IF($A147="","",ROUND(SUMIFS(_EngineTrades!$AD$9:$AD$508,_EngineTrades!$AU$9:$AU$508,$A147),4))</f>
        <v/>
      </c>
      <c r="O147" s="45" t="str">
        <f t="shared" si="33"/>
        <v/>
      </c>
      <c r="P147" s="61">
        <f>IF(OR($A147="",$E147&lt;&gt;"Open"),0,IFERROR(LOOKUP(2,1/(_EngineTrades!$AU$9:$AU$508=$A147),_EngineTrades!$AM$9:$AM$508),0))</f>
        <v>0</v>
      </c>
      <c r="Q147" s="49" t="str">
        <f>IF(OR($A147="",$P147=0),"",ROUND(IFERROR(LOOKUP(2,1/(_EngineTrades!$AU$9:$AU$508=$A147),_EngineTrades!$AN$9:$AN$508),0)/$P147,4))</f>
        <v/>
      </c>
      <c r="R147" s="49">
        <f>IF(OR($A147="",$E147&lt;&gt;"Open"),0,IFERROR(LOOKUP(2,1/(_EngineTrades!$AU$9:$AU$508=$A147),_EngineTrades!$AO$9:$AO$508),0))</f>
        <v>0</v>
      </c>
      <c r="S147" s="49">
        <f>IF(OR($A147="",$E147&lt;&gt;"Open"),0,ROUND($R147+IFERROR(LOOKUP(2,1/(_EngineTrades!$AU$9:$AU$508=$A147),_EngineTrades!$AN$9:$AN$508),0),4))</f>
        <v>0</v>
      </c>
      <c r="T147" s="49" t="str">
        <f>IF($A147="","",ROUND(IFERROR(LOOKUP(2,1/(_EngineTrades!$AU$9:$AU$508=$A147),_EngineTrades!$AT$9:$AT$508),0),4))</f>
        <v/>
      </c>
      <c r="U147" s="49" t="str">
        <f t="shared" si="34"/>
        <v/>
      </c>
      <c r="V147" s="49" t="str">
        <f>IF(AND($A147&lt;&gt;"",$E147="Open",$P147+N(IFERROR(LOOKUP(2,1/(_EngineTrades!$AU$9:$AU$508=$A147),_EngineTrades!$AP$9:$AP$508),0))&gt;0),ROUND(($R147-$O147)/($P147+N(IFERROR(LOOKUP(2,1/(_EngineTrades!$AU$9:$AU$508=$A147),_EngineTrades!$AP$9:$AP$508),0))),4),"")</f>
        <v/>
      </c>
      <c r="W147" s="64" t="str">
        <f>IF($A147="","",MAX(1,IF($G147="",_EngineTrades!$E$3-$F147,$G147-$F147)))</f>
        <v/>
      </c>
      <c r="X147" s="65" t="str">
        <f t="shared" si="35"/>
        <v/>
      </c>
      <c r="Y147" s="65" t="str">
        <f t="shared" si="36"/>
        <v/>
      </c>
      <c r="Z147" s="44">
        <f>IF(Cycles!U147="",0,Cycles!U147)</f>
        <v>0</v>
      </c>
      <c r="AA147" s="44">
        <f>IF(Cycles!V147="",0,Cycles!V147)</f>
        <v>0</v>
      </c>
      <c r="AB147" s="44">
        <f>IF(Cycles!W147="",0,Cycles!W147)</f>
        <v>0</v>
      </c>
      <c r="AC147" s="44">
        <f>IF(Cycles!X147="",0,Cycles!X147)</f>
        <v>0</v>
      </c>
      <c r="AD147" s="49" t="str">
        <f t="shared" si="37"/>
        <v/>
      </c>
      <c r="AE147" s="49" t="str">
        <f t="shared" si="38"/>
        <v/>
      </c>
      <c r="AF147" s="49" t="str">
        <f t="shared" si="39"/>
        <v/>
      </c>
      <c r="AG147" t="str">
        <f>IFERROR(MATCH(ROWS($AG$9:AG147),_EngineTrades!$AW$9:$AW$508,0)+8,"")</f>
        <v/>
      </c>
    </row>
    <row r="148" spans="1:33" ht="15" x14ac:dyDescent="0.25">
      <c r="A148" s="66" t="str">
        <f>IF($AG148="","",IFERROR(INDEX(_EngineTrades!$AU$9:$AU$508,MATCH($AG148,_EngineTrades!$AV$9:$AV$508,0)),""))</f>
        <v/>
      </c>
      <c r="B148" s="66" t="str">
        <f>IF($A148="","",INDEX(_EngineTrades!$B$9:$B$508,MATCH($AG148,_EngineTrades!$AV$9:$AV$508,0)))</f>
        <v/>
      </c>
      <c r="C148" s="66" t="str">
        <f>IF($A148="","",INDEX(_EngineTrades!$T$9:$T$508,MATCH($AG148,_EngineTrades!$AV$9:$AV$508,0)))</f>
        <v/>
      </c>
      <c r="D148" s="67" t="str">
        <f>IF($A148="","",INDEX(_EngineTrades!$C$9:$C$508,MATCH($AG148,_EngineTrades!$AV$9:$AV$508,0)))</f>
        <v/>
      </c>
      <c r="E148" s="68" t="str">
        <f>IF($A148="","",IF(IFERROR(LOOKUP(2,1/(_EngineTrades!$AU$9:$AU$508=$A148),_EngineTrades!$AR$9:$AR$508),FALSE),"Closed","Open"))</f>
        <v/>
      </c>
      <c r="F148" s="69" t="str">
        <f>IF($A148="","",INDEX(_EngineTrades!$E$9:$E$508,$AG148-8))</f>
        <v/>
      </c>
      <c r="G148" s="69" t="str">
        <f>IF(OR($A148="",$E148&lt;&gt;"Closed"),"",IFERROR(INDEX(_EngineTrades!$E$9:$E$508,SUMIFS(_EngineTrades!$AX$9:$AX$508,_EngineTrades!$AU$9:$AU$508,$A148)-8),""))</f>
        <v/>
      </c>
      <c r="H148" s="70" t="str">
        <f>IF($A148="","",ROUND(SUMIFS(_EngineTrades!$Y$9:$Y$508,_EngineTrades!$AU$9:$AU$508,$A148),4))</f>
        <v/>
      </c>
      <c r="I148" s="70" t="str">
        <f>IF($A148="","",ROUND(SUMIFS(_EngineTrades!$Z$9:$Z$508,_EngineTrades!$AU$9:$AU$508,$A148),4))</f>
        <v/>
      </c>
      <c r="J148" s="71" t="str">
        <f t="shared" si="32"/>
        <v/>
      </c>
      <c r="K148" s="70" t="str">
        <f>IF($A148="","",ROUND(SUMIFS(_EngineTrades!$AA$9:$AA$508,_EngineTrades!$AU$9:$AU$508,$A148),4))</f>
        <v/>
      </c>
      <c r="L148" s="70" t="str">
        <f>IF($A148="","",ROUND(SUMIFS(_EngineTrades!$AB$9:$AB$508,_EngineTrades!$AU$9:$AU$508,$A148),4))</f>
        <v/>
      </c>
      <c r="M148" s="70" t="str">
        <f>IF($A148="","",ROUND(SUMIFS(_EngineTrades!$AC$9:$AC$508,_EngineTrades!$AU$9:$AU$508,$A148),4))</f>
        <v/>
      </c>
      <c r="N148" s="70" t="str">
        <f>IF($A148="","",ROUND(SUMIFS(_EngineTrades!$AD$9:$AD$508,_EngineTrades!$AU$9:$AU$508,$A148),4))</f>
        <v/>
      </c>
      <c r="O148" s="71" t="str">
        <f t="shared" si="33"/>
        <v/>
      </c>
      <c r="P148" s="66">
        <f>IF(OR($A148="",$E148&lt;&gt;"Open"),0,IFERROR(LOOKUP(2,1/(_EngineTrades!$AU$9:$AU$508=$A148),_EngineTrades!$AM$9:$AM$508),0))</f>
        <v>0</v>
      </c>
      <c r="Q148" s="70" t="str">
        <f>IF(OR($A148="",$P148=0),"",ROUND(IFERROR(LOOKUP(2,1/(_EngineTrades!$AU$9:$AU$508=$A148),_EngineTrades!$AN$9:$AN$508),0)/$P148,4))</f>
        <v/>
      </c>
      <c r="R148" s="70">
        <f>IF(OR($A148="",$E148&lt;&gt;"Open"),0,IFERROR(LOOKUP(2,1/(_EngineTrades!$AU$9:$AU$508=$A148),_EngineTrades!$AO$9:$AO$508),0))</f>
        <v>0</v>
      </c>
      <c r="S148" s="70">
        <f>IF(OR($A148="",$E148&lt;&gt;"Open"),0,ROUND($R148+IFERROR(LOOKUP(2,1/(_EngineTrades!$AU$9:$AU$508=$A148),_EngineTrades!$AN$9:$AN$508),0),4))</f>
        <v>0</v>
      </c>
      <c r="T148" s="70" t="str">
        <f>IF($A148="","",ROUND(IFERROR(LOOKUP(2,1/(_EngineTrades!$AU$9:$AU$508=$A148),_EngineTrades!$AT$9:$AT$508),0),4))</f>
        <v/>
      </c>
      <c r="U148" s="70" t="str">
        <f t="shared" si="34"/>
        <v/>
      </c>
      <c r="V148" s="70" t="str">
        <f>IF(AND($A148&lt;&gt;"",$E148="Open",$P148+N(IFERROR(LOOKUP(2,1/(_EngineTrades!$AU$9:$AU$508=$A148),_EngineTrades!$AP$9:$AP$508),0))&gt;0),ROUND(($R148-$O148)/($P148+N(IFERROR(LOOKUP(2,1/(_EngineTrades!$AU$9:$AU$508=$A148),_EngineTrades!$AP$9:$AP$508),0))),4),"")</f>
        <v/>
      </c>
      <c r="W148" s="72" t="str">
        <f>IF($A148="","",MAX(1,IF($G148="",_EngineTrades!$E$3-$F148,$G148-$F148)))</f>
        <v/>
      </c>
      <c r="X148" s="73" t="str">
        <f t="shared" si="35"/>
        <v/>
      </c>
      <c r="Y148" s="73" t="str">
        <f t="shared" si="36"/>
        <v/>
      </c>
      <c r="Z148" s="44">
        <f>IF(Cycles!U148="",0,Cycles!U148)</f>
        <v>0</v>
      </c>
      <c r="AA148" s="44">
        <f>IF(Cycles!V148="",0,Cycles!V148)</f>
        <v>0</v>
      </c>
      <c r="AB148" s="44">
        <f>IF(Cycles!W148="",0,Cycles!W148)</f>
        <v>0</v>
      </c>
      <c r="AC148" s="44">
        <f>IF(Cycles!X148="",0,Cycles!X148)</f>
        <v>0</v>
      </c>
      <c r="AD148" s="70" t="str">
        <f t="shared" si="37"/>
        <v/>
      </c>
      <c r="AE148" s="70" t="str">
        <f t="shared" si="38"/>
        <v/>
      </c>
      <c r="AF148" s="70" t="str">
        <f t="shared" si="39"/>
        <v/>
      </c>
      <c r="AG148" t="str">
        <f>IFERROR(MATCH(ROWS($AG$9:AG148),_EngineTrades!$AW$9:$AW$508,0)+8,"")</f>
        <v/>
      </c>
    </row>
    <row r="149" spans="1:33" ht="15" x14ac:dyDescent="0.25">
      <c r="A149" s="61" t="str">
        <f>IF($AG149="","",IFERROR(INDEX(_EngineTrades!$AU$9:$AU$508,MATCH($AG149,_EngineTrades!$AV$9:$AV$508,0)),""))</f>
        <v/>
      </c>
      <c r="B149" s="61" t="str">
        <f>IF($A149="","",INDEX(_EngineTrades!$B$9:$B$508,MATCH($AG149,_EngineTrades!$AV$9:$AV$508,0)))</f>
        <v/>
      </c>
      <c r="C149" s="61" t="str">
        <f>IF($A149="","",INDEX(_EngineTrades!$T$9:$T$508,MATCH($AG149,_EngineTrades!$AV$9:$AV$508,0)))</f>
        <v/>
      </c>
      <c r="D149" s="47" t="str">
        <f>IF($A149="","",INDEX(_EngineTrades!$C$9:$C$508,MATCH($AG149,_EngineTrades!$AV$9:$AV$508,0)))</f>
        <v/>
      </c>
      <c r="E149" s="62" t="str">
        <f>IF($A149="","",IF(IFERROR(LOOKUP(2,1/(_EngineTrades!$AU$9:$AU$508=$A149),_EngineTrades!$AR$9:$AR$508),FALSE),"Closed","Open"))</f>
        <v/>
      </c>
      <c r="F149" s="63" t="str">
        <f>IF($A149="","",INDEX(_EngineTrades!$E$9:$E$508,$AG149-8))</f>
        <v/>
      </c>
      <c r="G149" s="63" t="str">
        <f>IF(OR($A149="",$E149&lt;&gt;"Closed"),"",IFERROR(INDEX(_EngineTrades!$E$9:$E$508,SUMIFS(_EngineTrades!$AX$9:$AX$508,_EngineTrades!$AU$9:$AU$508,$A149)-8),""))</f>
        <v/>
      </c>
      <c r="H149" s="49" t="str">
        <f>IF($A149="","",ROUND(SUMIFS(_EngineTrades!$Y$9:$Y$508,_EngineTrades!$AU$9:$AU$508,$A149),4))</f>
        <v/>
      </c>
      <c r="I149" s="49" t="str">
        <f>IF($A149="","",ROUND(SUMIFS(_EngineTrades!$Z$9:$Z$508,_EngineTrades!$AU$9:$AU$508,$A149),4))</f>
        <v/>
      </c>
      <c r="J149" s="45" t="str">
        <f t="shared" si="32"/>
        <v/>
      </c>
      <c r="K149" s="49" t="str">
        <f>IF($A149="","",ROUND(SUMIFS(_EngineTrades!$AA$9:$AA$508,_EngineTrades!$AU$9:$AU$508,$A149),4))</f>
        <v/>
      </c>
      <c r="L149" s="49" t="str">
        <f>IF($A149="","",ROUND(SUMIFS(_EngineTrades!$AB$9:$AB$508,_EngineTrades!$AU$9:$AU$508,$A149),4))</f>
        <v/>
      </c>
      <c r="M149" s="49" t="str">
        <f>IF($A149="","",ROUND(SUMIFS(_EngineTrades!$AC$9:$AC$508,_EngineTrades!$AU$9:$AU$508,$A149),4))</f>
        <v/>
      </c>
      <c r="N149" s="49" t="str">
        <f>IF($A149="","",ROUND(SUMIFS(_EngineTrades!$AD$9:$AD$508,_EngineTrades!$AU$9:$AU$508,$A149),4))</f>
        <v/>
      </c>
      <c r="O149" s="45" t="str">
        <f t="shared" si="33"/>
        <v/>
      </c>
      <c r="P149" s="61">
        <f>IF(OR($A149="",$E149&lt;&gt;"Open"),0,IFERROR(LOOKUP(2,1/(_EngineTrades!$AU$9:$AU$508=$A149),_EngineTrades!$AM$9:$AM$508),0))</f>
        <v>0</v>
      </c>
      <c r="Q149" s="49" t="str">
        <f>IF(OR($A149="",$P149=0),"",ROUND(IFERROR(LOOKUP(2,1/(_EngineTrades!$AU$9:$AU$508=$A149),_EngineTrades!$AN$9:$AN$508),0)/$P149,4))</f>
        <v/>
      </c>
      <c r="R149" s="49">
        <f>IF(OR($A149="",$E149&lt;&gt;"Open"),0,IFERROR(LOOKUP(2,1/(_EngineTrades!$AU$9:$AU$508=$A149),_EngineTrades!$AO$9:$AO$508),0))</f>
        <v>0</v>
      </c>
      <c r="S149" s="49">
        <f>IF(OR($A149="",$E149&lt;&gt;"Open"),0,ROUND($R149+IFERROR(LOOKUP(2,1/(_EngineTrades!$AU$9:$AU$508=$A149),_EngineTrades!$AN$9:$AN$508),0),4))</f>
        <v>0</v>
      </c>
      <c r="T149" s="49" t="str">
        <f>IF($A149="","",ROUND(IFERROR(LOOKUP(2,1/(_EngineTrades!$AU$9:$AU$508=$A149),_EngineTrades!$AT$9:$AT$508),0),4))</f>
        <v/>
      </c>
      <c r="U149" s="49" t="str">
        <f t="shared" si="34"/>
        <v/>
      </c>
      <c r="V149" s="49" t="str">
        <f>IF(AND($A149&lt;&gt;"",$E149="Open",$P149+N(IFERROR(LOOKUP(2,1/(_EngineTrades!$AU$9:$AU$508=$A149),_EngineTrades!$AP$9:$AP$508),0))&gt;0),ROUND(($R149-$O149)/($P149+N(IFERROR(LOOKUP(2,1/(_EngineTrades!$AU$9:$AU$508=$A149),_EngineTrades!$AP$9:$AP$508),0))),4),"")</f>
        <v/>
      </c>
      <c r="W149" s="64" t="str">
        <f>IF($A149="","",MAX(1,IF($G149="",_EngineTrades!$E$3-$F149,$G149-$F149)))</f>
        <v/>
      </c>
      <c r="X149" s="65" t="str">
        <f t="shared" si="35"/>
        <v/>
      </c>
      <c r="Y149" s="65" t="str">
        <f t="shared" si="36"/>
        <v/>
      </c>
      <c r="Z149" s="44">
        <f>IF(Cycles!U149="",0,Cycles!U149)</f>
        <v>0</v>
      </c>
      <c r="AA149" s="44">
        <f>IF(Cycles!V149="",0,Cycles!V149)</f>
        <v>0</v>
      </c>
      <c r="AB149" s="44">
        <f>IF(Cycles!W149="",0,Cycles!W149)</f>
        <v>0</v>
      </c>
      <c r="AC149" s="44">
        <f>IF(Cycles!X149="",0,Cycles!X149)</f>
        <v>0</v>
      </c>
      <c r="AD149" s="49" t="str">
        <f t="shared" si="37"/>
        <v/>
      </c>
      <c r="AE149" s="49" t="str">
        <f t="shared" si="38"/>
        <v/>
      </c>
      <c r="AF149" s="49" t="str">
        <f t="shared" si="39"/>
        <v/>
      </c>
      <c r="AG149" t="str">
        <f>IFERROR(MATCH(ROWS($AG$9:AG149),_EngineTrades!$AW$9:$AW$508,0)+8,"")</f>
        <v/>
      </c>
    </row>
    <row r="150" spans="1:33" ht="15" x14ac:dyDescent="0.25">
      <c r="A150" s="66" t="str">
        <f>IF($AG150="","",IFERROR(INDEX(_EngineTrades!$AU$9:$AU$508,MATCH($AG150,_EngineTrades!$AV$9:$AV$508,0)),""))</f>
        <v/>
      </c>
      <c r="B150" s="66" t="str">
        <f>IF($A150="","",INDEX(_EngineTrades!$B$9:$B$508,MATCH($AG150,_EngineTrades!$AV$9:$AV$508,0)))</f>
        <v/>
      </c>
      <c r="C150" s="66" t="str">
        <f>IF($A150="","",INDEX(_EngineTrades!$T$9:$T$508,MATCH($AG150,_EngineTrades!$AV$9:$AV$508,0)))</f>
        <v/>
      </c>
      <c r="D150" s="67" t="str">
        <f>IF($A150="","",INDEX(_EngineTrades!$C$9:$C$508,MATCH($AG150,_EngineTrades!$AV$9:$AV$508,0)))</f>
        <v/>
      </c>
      <c r="E150" s="68" t="str">
        <f>IF($A150="","",IF(IFERROR(LOOKUP(2,1/(_EngineTrades!$AU$9:$AU$508=$A150),_EngineTrades!$AR$9:$AR$508),FALSE),"Closed","Open"))</f>
        <v/>
      </c>
      <c r="F150" s="69" t="str">
        <f>IF($A150="","",INDEX(_EngineTrades!$E$9:$E$508,$AG150-8))</f>
        <v/>
      </c>
      <c r="G150" s="69" t="str">
        <f>IF(OR($A150="",$E150&lt;&gt;"Closed"),"",IFERROR(INDEX(_EngineTrades!$E$9:$E$508,SUMIFS(_EngineTrades!$AX$9:$AX$508,_EngineTrades!$AU$9:$AU$508,$A150)-8),""))</f>
        <v/>
      </c>
      <c r="H150" s="70" t="str">
        <f>IF($A150="","",ROUND(SUMIFS(_EngineTrades!$Y$9:$Y$508,_EngineTrades!$AU$9:$AU$508,$A150),4))</f>
        <v/>
      </c>
      <c r="I150" s="70" t="str">
        <f>IF($A150="","",ROUND(SUMIFS(_EngineTrades!$Z$9:$Z$508,_EngineTrades!$AU$9:$AU$508,$A150),4))</f>
        <v/>
      </c>
      <c r="J150" s="71" t="str">
        <f t="shared" si="32"/>
        <v/>
      </c>
      <c r="K150" s="70" t="str">
        <f>IF($A150="","",ROUND(SUMIFS(_EngineTrades!$AA$9:$AA$508,_EngineTrades!$AU$9:$AU$508,$A150),4))</f>
        <v/>
      </c>
      <c r="L150" s="70" t="str">
        <f>IF($A150="","",ROUND(SUMIFS(_EngineTrades!$AB$9:$AB$508,_EngineTrades!$AU$9:$AU$508,$A150),4))</f>
        <v/>
      </c>
      <c r="M150" s="70" t="str">
        <f>IF($A150="","",ROUND(SUMIFS(_EngineTrades!$AC$9:$AC$508,_EngineTrades!$AU$9:$AU$508,$A150),4))</f>
        <v/>
      </c>
      <c r="N150" s="70" t="str">
        <f>IF($A150="","",ROUND(SUMIFS(_EngineTrades!$AD$9:$AD$508,_EngineTrades!$AU$9:$AU$508,$A150),4))</f>
        <v/>
      </c>
      <c r="O150" s="71" t="str">
        <f t="shared" si="33"/>
        <v/>
      </c>
      <c r="P150" s="66">
        <f>IF(OR($A150="",$E150&lt;&gt;"Open"),0,IFERROR(LOOKUP(2,1/(_EngineTrades!$AU$9:$AU$508=$A150),_EngineTrades!$AM$9:$AM$508),0))</f>
        <v>0</v>
      </c>
      <c r="Q150" s="70" t="str">
        <f>IF(OR($A150="",$P150=0),"",ROUND(IFERROR(LOOKUP(2,1/(_EngineTrades!$AU$9:$AU$508=$A150),_EngineTrades!$AN$9:$AN$508),0)/$P150,4))</f>
        <v/>
      </c>
      <c r="R150" s="70">
        <f>IF(OR($A150="",$E150&lt;&gt;"Open"),0,IFERROR(LOOKUP(2,1/(_EngineTrades!$AU$9:$AU$508=$A150),_EngineTrades!$AO$9:$AO$508),0))</f>
        <v>0</v>
      </c>
      <c r="S150" s="70">
        <f>IF(OR($A150="",$E150&lt;&gt;"Open"),0,ROUND($R150+IFERROR(LOOKUP(2,1/(_EngineTrades!$AU$9:$AU$508=$A150),_EngineTrades!$AN$9:$AN$508),0),4))</f>
        <v>0</v>
      </c>
      <c r="T150" s="70" t="str">
        <f>IF($A150="","",ROUND(IFERROR(LOOKUP(2,1/(_EngineTrades!$AU$9:$AU$508=$A150),_EngineTrades!$AT$9:$AT$508),0),4))</f>
        <v/>
      </c>
      <c r="U150" s="70" t="str">
        <f t="shared" si="34"/>
        <v/>
      </c>
      <c r="V150" s="70" t="str">
        <f>IF(AND($A150&lt;&gt;"",$E150="Open",$P150+N(IFERROR(LOOKUP(2,1/(_EngineTrades!$AU$9:$AU$508=$A150),_EngineTrades!$AP$9:$AP$508),0))&gt;0),ROUND(($R150-$O150)/($P150+N(IFERROR(LOOKUP(2,1/(_EngineTrades!$AU$9:$AU$508=$A150),_EngineTrades!$AP$9:$AP$508),0))),4),"")</f>
        <v/>
      </c>
      <c r="W150" s="72" t="str">
        <f>IF($A150="","",MAX(1,IF($G150="",_EngineTrades!$E$3-$F150,$G150-$F150)))</f>
        <v/>
      </c>
      <c r="X150" s="73" t="str">
        <f t="shared" si="35"/>
        <v/>
      </c>
      <c r="Y150" s="73" t="str">
        <f t="shared" si="36"/>
        <v/>
      </c>
      <c r="Z150" s="44">
        <f>IF(Cycles!U150="",0,Cycles!U150)</f>
        <v>0</v>
      </c>
      <c r="AA150" s="44">
        <f>IF(Cycles!V150="",0,Cycles!V150)</f>
        <v>0</v>
      </c>
      <c r="AB150" s="44">
        <f>IF(Cycles!W150="",0,Cycles!W150)</f>
        <v>0</v>
      </c>
      <c r="AC150" s="44">
        <f>IF(Cycles!X150="",0,Cycles!X150)</f>
        <v>0</v>
      </c>
      <c r="AD150" s="70" t="str">
        <f t="shared" si="37"/>
        <v/>
      </c>
      <c r="AE150" s="70" t="str">
        <f t="shared" si="38"/>
        <v/>
      </c>
      <c r="AF150" s="70" t="str">
        <f t="shared" si="39"/>
        <v/>
      </c>
      <c r="AG150" t="str">
        <f>IFERROR(MATCH(ROWS($AG$9:AG150),_EngineTrades!$AW$9:$AW$508,0)+8,"")</f>
        <v/>
      </c>
    </row>
    <row r="151" spans="1:33" ht="15" x14ac:dyDescent="0.25">
      <c r="A151" s="61" t="str">
        <f>IF($AG151="","",IFERROR(INDEX(_EngineTrades!$AU$9:$AU$508,MATCH($AG151,_EngineTrades!$AV$9:$AV$508,0)),""))</f>
        <v/>
      </c>
      <c r="B151" s="61" t="str">
        <f>IF($A151="","",INDEX(_EngineTrades!$B$9:$B$508,MATCH($AG151,_EngineTrades!$AV$9:$AV$508,0)))</f>
        <v/>
      </c>
      <c r="C151" s="61" t="str">
        <f>IF($A151="","",INDEX(_EngineTrades!$T$9:$T$508,MATCH($AG151,_EngineTrades!$AV$9:$AV$508,0)))</f>
        <v/>
      </c>
      <c r="D151" s="47" t="str">
        <f>IF($A151="","",INDEX(_EngineTrades!$C$9:$C$508,MATCH($AG151,_EngineTrades!$AV$9:$AV$508,0)))</f>
        <v/>
      </c>
      <c r="E151" s="62" t="str">
        <f>IF($A151="","",IF(IFERROR(LOOKUP(2,1/(_EngineTrades!$AU$9:$AU$508=$A151),_EngineTrades!$AR$9:$AR$508),FALSE),"Closed","Open"))</f>
        <v/>
      </c>
      <c r="F151" s="63" t="str">
        <f>IF($A151="","",INDEX(_EngineTrades!$E$9:$E$508,$AG151-8))</f>
        <v/>
      </c>
      <c r="G151" s="63" t="str">
        <f>IF(OR($A151="",$E151&lt;&gt;"Closed"),"",IFERROR(INDEX(_EngineTrades!$E$9:$E$508,SUMIFS(_EngineTrades!$AX$9:$AX$508,_EngineTrades!$AU$9:$AU$508,$A151)-8),""))</f>
        <v/>
      </c>
      <c r="H151" s="49" t="str">
        <f>IF($A151="","",ROUND(SUMIFS(_EngineTrades!$Y$9:$Y$508,_EngineTrades!$AU$9:$AU$508,$A151),4))</f>
        <v/>
      </c>
      <c r="I151" s="49" t="str">
        <f>IF($A151="","",ROUND(SUMIFS(_EngineTrades!$Z$9:$Z$508,_EngineTrades!$AU$9:$AU$508,$A151),4))</f>
        <v/>
      </c>
      <c r="J151" s="45" t="str">
        <f t="shared" si="32"/>
        <v/>
      </c>
      <c r="K151" s="49" t="str">
        <f>IF($A151="","",ROUND(SUMIFS(_EngineTrades!$AA$9:$AA$508,_EngineTrades!$AU$9:$AU$508,$A151),4))</f>
        <v/>
      </c>
      <c r="L151" s="49" t="str">
        <f>IF($A151="","",ROUND(SUMIFS(_EngineTrades!$AB$9:$AB$508,_EngineTrades!$AU$9:$AU$508,$A151),4))</f>
        <v/>
      </c>
      <c r="M151" s="49" t="str">
        <f>IF($A151="","",ROUND(SUMIFS(_EngineTrades!$AC$9:$AC$508,_EngineTrades!$AU$9:$AU$508,$A151),4))</f>
        <v/>
      </c>
      <c r="N151" s="49" t="str">
        <f>IF($A151="","",ROUND(SUMIFS(_EngineTrades!$AD$9:$AD$508,_EngineTrades!$AU$9:$AU$508,$A151),4))</f>
        <v/>
      </c>
      <c r="O151" s="45" t="str">
        <f t="shared" si="33"/>
        <v/>
      </c>
      <c r="P151" s="61">
        <f>IF(OR($A151="",$E151&lt;&gt;"Open"),0,IFERROR(LOOKUP(2,1/(_EngineTrades!$AU$9:$AU$508=$A151),_EngineTrades!$AM$9:$AM$508),0))</f>
        <v>0</v>
      </c>
      <c r="Q151" s="49" t="str">
        <f>IF(OR($A151="",$P151=0),"",ROUND(IFERROR(LOOKUP(2,1/(_EngineTrades!$AU$9:$AU$508=$A151),_EngineTrades!$AN$9:$AN$508),0)/$P151,4))</f>
        <v/>
      </c>
      <c r="R151" s="49">
        <f>IF(OR($A151="",$E151&lt;&gt;"Open"),0,IFERROR(LOOKUP(2,1/(_EngineTrades!$AU$9:$AU$508=$A151),_EngineTrades!$AO$9:$AO$508),0))</f>
        <v>0</v>
      </c>
      <c r="S151" s="49">
        <f>IF(OR($A151="",$E151&lt;&gt;"Open"),0,ROUND($R151+IFERROR(LOOKUP(2,1/(_EngineTrades!$AU$9:$AU$508=$A151),_EngineTrades!$AN$9:$AN$508),0),4))</f>
        <v>0</v>
      </c>
      <c r="T151" s="49" t="str">
        <f>IF($A151="","",ROUND(IFERROR(LOOKUP(2,1/(_EngineTrades!$AU$9:$AU$508=$A151),_EngineTrades!$AT$9:$AT$508),0),4))</f>
        <v/>
      </c>
      <c r="U151" s="49" t="str">
        <f t="shared" si="34"/>
        <v/>
      </c>
      <c r="V151" s="49" t="str">
        <f>IF(AND($A151&lt;&gt;"",$E151="Open",$P151+N(IFERROR(LOOKUP(2,1/(_EngineTrades!$AU$9:$AU$508=$A151),_EngineTrades!$AP$9:$AP$508),0))&gt;0),ROUND(($R151-$O151)/($P151+N(IFERROR(LOOKUP(2,1/(_EngineTrades!$AU$9:$AU$508=$A151),_EngineTrades!$AP$9:$AP$508),0))),4),"")</f>
        <v/>
      </c>
      <c r="W151" s="64" t="str">
        <f>IF($A151="","",MAX(1,IF($G151="",_EngineTrades!$E$3-$F151,$G151-$F151)))</f>
        <v/>
      </c>
      <c r="X151" s="65" t="str">
        <f t="shared" si="35"/>
        <v/>
      </c>
      <c r="Y151" s="65" t="str">
        <f t="shared" si="36"/>
        <v/>
      </c>
      <c r="Z151" s="44">
        <f>IF(Cycles!U151="",0,Cycles!U151)</f>
        <v>0</v>
      </c>
      <c r="AA151" s="44">
        <f>IF(Cycles!V151="",0,Cycles!V151)</f>
        <v>0</v>
      </c>
      <c r="AB151" s="44">
        <f>IF(Cycles!W151="",0,Cycles!W151)</f>
        <v>0</v>
      </c>
      <c r="AC151" s="44">
        <f>IF(Cycles!X151="",0,Cycles!X151)</f>
        <v>0</v>
      </c>
      <c r="AD151" s="49" t="str">
        <f t="shared" si="37"/>
        <v/>
      </c>
      <c r="AE151" s="49" t="str">
        <f t="shared" si="38"/>
        <v/>
      </c>
      <c r="AF151" s="49" t="str">
        <f t="shared" si="39"/>
        <v/>
      </c>
      <c r="AG151" t="str">
        <f>IFERROR(MATCH(ROWS($AG$9:AG151),_EngineTrades!$AW$9:$AW$508,0)+8,"")</f>
        <v/>
      </c>
    </row>
    <row r="152" spans="1:33" ht="15" x14ac:dyDescent="0.25">
      <c r="A152" s="66" t="str">
        <f>IF($AG152="","",IFERROR(INDEX(_EngineTrades!$AU$9:$AU$508,MATCH($AG152,_EngineTrades!$AV$9:$AV$508,0)),""))</f>
        <v/>
      </c>
      <c r="B152" s="66" t="str">
        <f>IF($A152="","",INDEX(_EngineTrades!$B$9:$B$508,MATCH($AG152,_EngineTrades!$AV$9:$AV$508,0)))</f>
        <v/>
      </c>
      <c r="C152" s="66" t="str">
        <f>IF($A152="","",INDEX(_EngineTrades!$T$9:$T$508,MATCH($AG152,_EngineTrades!$AV$9:$AV$508,0)))</f>
        <v/>
      </c>
      <c r="D152" s="67" t="str">
        <f>IF($A152="","",INDEX(_EngineTrades!$C$9:$C$508,MATCH($AG152,_EngineTrades!$AV$9:$AV$508,0)))</f>
        <v/>
      </c>
      <c r="E152" s="68" t="str">
        <f>IF($A152="","",IF(IFERROR(LOOKUP(2,1/(_EngineTrades!$AU$9:$AU$508=$A152),_EngineTrades!$AR$9:$AR$508),FALSE),"Closed","Open"))</f>
        <v/>
      </c>
      <c r="F152" s="69" t="str">
        <f>IF($A152="","",INDEX(_EngineTrades!$E$9:$E$508,$AG152-8))</f>
        <v/>
      </c>
      <c r="G152" s="69" t="str">
        <f>IF(OR($A152="",$E152&lt;&gt;"Closed"),"",IFERROR(INDEX(_EngineTrades!$E$9:$E$508,SUMIFS(_EngineTrades!$AX$9:$AX$508,_EngineTrades!$AU$9:$AU$508,$A152)-8),""))</f>
        <v/>
      </c>
      <c r="H152" s="70" t="str">
        <f>IF($A152="","",ROUND(SUMIFS(_EngineTrades!$Y$9:$Y$508,_EngineTrades!$AU$9:$AU$508,$A152),4))</f>
        <v/>
      </c>
      <c r="I152" s="70" t="str">
        <f>IF($A152="","",ROUND(SUMIFS(_EngineTrades!$Z$9:$Z$508,_EngineTrades!$AU$9:$AU$508,$A152),4))</f>
        <v/>
      </c>
      <c r="J152" s="71" t="str">
        <f t="shared" si="32"/>
        <v/>
      </c>
      <c r="K152" s="70" t="str">
        <f>IF($A152="","",ROUND(SUMIFS(_EngineTrades!$AA$9:$AA$508,_EngineTrades!$AU$9:$AU$508,$A152),4))</f>
        <v/>
      </c>
      <c r="L152" s="70" t="str">
        <f>IF($A152="","",ROUND(SUMIFS(_EngineTrades!$AB$9:$AB$508,_EngineTrades!$AU$9:$AU$508,$A152),4))</f>
        <v/>
      </c>
      <c r="M152" s="70" t="str">
        <f>IF($A152="","",ROUND(SUMIFS(_EngineTrades!$AC$9:$AC$508,_EngineTrades!$AU$9:$AU$508,$A152),4))</f>
        <v/>
      </c>
      <c r="N152" s="70" t="str">
        <f>IF($A152="","",ROUND(SUMIFS(_EngineTrades!$AD$9:$AD$508,_EngineTrades!$AU$9:$AU$508,$A152),4))</f>
        <v/>
      </c>
      <c r="O152" s="71" t="str">
        <f t="shared" si="33"/>
        <v/>
      </c>
      <c r="P152" s="66">
        <f>IF(OR($A152="",$E152&lt;&gt;"Open"),0,IFERROR(LOOKUP(2,1/(_EngineTrades!$AU$9:$AU$508=$A152),_EngineTrades!$AM$9:$AM$508),0))</f>
        <v>0</v>
      </c>
      <c r="Q152" s="70" t="str">
        <f>IF(OR($A152="",$P152=0),"",ROUND(IFERROR(LOOKUP(2,1/(_EngineTrades!$AU$9:$AU$508=$A152),_EngineTrades!$AN$9:$AN$508),0)/$P152,4))</f>
        <v/>
      </c>
      <c r="R152" s="70">
        <f>IF(OR($A152="",$E152&lt;&gt;"Open"),0,IFERROR(LOOKUP(2,1/(_EngineTrades!$AU$9:$AU$508=$A152),_EngineTrades!$AO$9:$AO$508),0))</f>
        <v>0</v>
      </c>
      <c r="S152" s="70">
        <f>IF(OR($A152="",$E152&lt;&gt;"Open"),0,ROUND($R152+IFERROR(LOOKUP(2,1/(_EngineTrades!$AU$9:$AU$508=$A152),_EngineTrades!$AN$9:$AN$508),0),4))</f>
        <v>0</v>
      </c>
      <c r="T152" s="70" t="str">
        <f>IF($A152="","",ROUND(IFERROR(LOOKUP(2,1/(_EngineTrades!$AU$9:$AU$508=$A152),_EngineTrades!$AT$9:$AT$508),0),4))</f>
        <v/>
      </c>
      <c r="U152" s="70" t="str">
        <f t="shared" si="34"/>
        <v/>
      </c>
      <c r="V152" s="70" t="str">
        <f>IF(AND($A152&lt;&gt;"",$E152="Open",$P152+N(IFERROR(LOOKUP(2,1/(_EngineTrades!$AU$9:$AU$508=$A152),_EngineTrades!$AP$9:$AP$508),0))&gt;0),ROUND(($R152-$O152)/($P152+N(IFERROR(LOOKUP(2,1/(_EngineTrades!$AU$9:$AU$508=$A152),_EngineTrades!$AP$9:$AP$508),0))),4),"")</f>
        <v/>
      </c>
      <c r="W152" s="72" t="str">
        <f>IF($A152="","",MAX(1,IF($G152="",_EngineTrades!$E$3-$F152,$G152-$F152)))</f>
        <v/>
      </c>
      <c r="X152" s="73" t="str">
        <f t="shared" si="35"/>
        <v/>
      </c>
      <c r="Y152" s="73" t="str">
        <f t="shared" si="36"/>
        <v/>
      </c>
      <c r="Z152" s="44">
        <f>IF(Cycles!U152="",0,Cycles!U152)</f>
        <v>0</v>
      </c>
      <c r="AA152" s="44">
        <f>IF(Cycles!V152="",0,Cycles!V152)</f>
        <v>0</v>
      </c>
      <c r="AB152" s="44">
        <f>IF(Cycles!W152="",0,Cycles!W152)</f>
        <v>0</v>
      </c>
      <c r="AC152" s="44">
        <f>IF(Cycles!X152="",0,Cycles!X152)</f>
        <v>0</v>
      </c>
      <c r="AD152" s="70" t="str">
        <f t="shared" si="37"/>
        <v/>
      </c>
      <c r="AE152" s="70" t="str">
        <f t="shared" si="38"/>
        <v/>
      </c>
      <c r="AF152" s="70" t="str">
        <f t="shared" si="39"/>
        <v/>
      </c>
      <c r="AG152" t="str">
        <f>IFERROR(MATCH(ROWS($AG$9:AG152),_EngineTrades!$AW$9:$AW$508,0)+8,"")</f>
        <v/>
      </c>
    </row>
    <row r="153" spans="1:33" ht="15" x14ac:dyDescent="0.25">
      <c r="A153" s="61" t="str">
        <f>IF($AG153="","",IFERROR(INDEX(_EngineTrades!$AU$9:$AU$508,MATCH($AG153,_EngineTrades!$AV$9:$AV$508,0)),""))</f>
        <v/>
      </c>
      <c r="B153" s="61" t="str">
        <f>IF($A153="","",INDEX(_EngineTrades!$B$9:$B$508,MATCH($AG153,_EngineTrades!$AV$9:$AV$508,0)))</f>
        <v/>
      </c>
      <c r="C153" s="61" t="str">
        <f>IF($A153="","",INDEX(_EngineTrades!$T$9:$T$508,MATCH($AG153,_EngineTrades!$AV$9:$AV$508,0)))</f>
        <v/>
      </c>
      <c r="D153" s="47" t="str">
        <f>IF($A153="","",INDEX(_EngineTrades!$C$9:$C$508,MATCH($AG153,_EngineTrades!$AV$9:$AV$508,0)))</f>
        <v/>
      </c>
      <c r="E153" s="62" t="str">
        <f>IF($A153="","",IF(IFERROR(LOOKUP(2,1/(_EngineTrades!$AU$9:$AU$508=$A153),_EngineTrades!$AR$9:$AR$508),FALSE),"Closed","Open"))</f>
        <v/>
      </c>
      <c r="F153" s="63" t="str">
        <f>IF($A153="","",INDEX(_EngineTrades!$E$9:$E$508,$AG153-8))</f>
        <v/>
      </c>
      <c r="G153" s="63" t="str">
        <f>IF(OR($A153="",$E153&lt;&gt;"Closed"),"",IFERROR(INDEX(_EngineTrades!$E$9:$E$508,SUMIFS(_EngineTrades!$AX$9:$AX$508,_EngineTrades!$AU$9:$AU$508,$A153)-8),""))</f>
        <v/>
      </c>
      <c r="H153" s="49" t="str">
        <f>IF($A153="","",ROUND(SUMIFS(_EngineTrades!$Y$9:$Y$508,_EngineTrades!$AU$9:$AU$508,$A153),4))</f>
        <v/>
      </c>
      <c r="I153" s="49" t="str">
        <f>IF($A153="","",ROUND(SUMIFS(_EngineTrades!$Z$9:$Z$508,_EngineTrades!$AU$9:$AU$508,$A153),4))</f>
        <v/>
      </c>
      <c r="J153" s="45" t="str">
        <f t="shared" si="32"/>
        <v/>
      </c>
      <c r="K153" s="49" t="str">
        <f>IF($A153="","",ROUND(SUMIFS(_EngineTrades!$AA$9:$AA$508,_EngineTrades!$AU$9:$AU$508,$A153),4))</f>
        <v/>
      </c>
      <c r="L153" s="49" t="str">
        <f>IF($A153="","",ROUND(SUMIFS(_EngineTrades!$AB$9:$AB$508,_EngineTrades!$AU$9:$AU$508,$A153),4))</f>
        <v/>
      </c>
      <c r="M153" s="49" t="str">
        <f>IF($A153="","",ROUND(SUMIFS(_EngineTrades!$AC$9:$AC$508,_EngineTrades!$AU$9:$AU$508,$A153),4))</f>
        <v/>
      </c>
      <c r="N153" s="49" t="str">
        <f>IF($A153="","",ROUND(SUMIFS(_EngineTrades!$AD$9:$AD$508,_EngineTrades!$AU$9:$AU$508,$A153),4))</f>
        <v/>
      </c>
      <c r="O153" s="45" t="str">
        <f t="shared" si="33"/>
        <v/>
      </c>
      <c r="P153" s="61">
        <f>IF(OR($A153="",$E153&lt;&gt;"Open"),0,IFERROR(LOOKUP(2,1/(_EngineTrades!$AU$9:$AU$508=$A153),_EngineTrades!$AM$9:$AM$508),0))</f>
        <v>0</v>
      </c>
      <c r="Q153" s="49" t="str">
        <f>IF(OR($A153="",$P153=0),"",ROUND(IFERROR(LOOKUP(2,1/(_EngineTrades!$AU$9:$AU$508=$A153),_EngineTrades!$AN$9:$AN$508),0)/$P153,4))</f>
        <v/>
      </c>
      <c r="R153" s="49">
        <f>IF(OR($A153="",$E153&lt;&gt;"Open"),0,IFERROR(LOOKUP(2,1/(_EngineTrades!$AU$9:$AU$508=$A153),_EngineTrades!$AO$9:$AO$508),0))</f>
        <v>0</v>
      </c>
      <c r="S153" s="49">
        <f>IF(OR($A153="",$E153&lt;&gt;"Open"),0,ROUND($R153+IFERROR(LOOKUP(2,1/(_EngineTrades!$AU$9:$AU$508=$A153),_EngineTrades!$AN$9:$AN$508),0),4))</f>
        <v>0</v>
      </c>
      <c r="T153" s="49" t="str">
        <f>IF($A153="","",ROUND(IFERROR(LOOKUP(2,1/(_EngineTrades!$AU$9:$AU$508=$A153),_EngineTrades!$AT$9:$AT$508),0),4))</f>
        <v/>
      </c>
      <c r="U153" s="49" t="str">
        <f t="shared" si="34"/>
        <v/>
      </c>
      <c r="V153" s="49" t="str">
        <f>IF(AND($A153&lt;&gt;"",$E153="Open",$P153+N(IFERROR(LOOKUP(2,1/(_EngineTrades!$AU$9:$AU$508=$A153),_EngineTrades!$AP$9:$AP$508),0))&gt;0),ROUND(($R153-$O153)/($P153+N(IFERROR(LOOKUP(2,1/(_EngineTrades!$AU$9:$AU$508=$A153),_EngineTrades!$AP$9:$AP$508),0))),4),"")</f>
        <v/>
      </c>
      <c r="W153" s="64" t="str">
        <f>IF($A153="","",MAX(1,IF($G153="",_EngineTrades!$E$3-$F153,$G153-$F153)))</f>
        <v/>
      </c>
      <c r="X153" s="65" t="str">
        <f t="shared" si="35"/>
        <v/>
      </c>
      <c r="Y153" s="65" t="str">
        <f t="shared" si="36"/>
        <v/>
      </c>
      <c r="Z153" s="44">
        <f>IF(Cycles!U153="",0,Cycles!U153)</f>
        <v>0</v>
      </c>
      <c r="AA153" s="44">
        <f>IF(Cycles!V153="",0,Cycles!V153)</f>
        <v>0</v>
      </c>
      <c r="AB153" s="44">
        <f>IF(Cycles!W153="",0,Cycles!W153)</f>
        <v>0</v>
      </c>
      <c r="AC153" s="44">
        <f>IF(Cycles!X153="",0,Cycles!X153)</f>
        <v>0</v>
      </c>
      <c r="AD153" s="49" t="str">
        <f t="shared" si="37"/>
        <v/>
      </c>
      <c r="AE153" s="49" t="str">
        <f t="shared" si="38"/>
        <v/>
      </c>
      <c r="AF153" s="49" t="str">
        <f t="shared" si="39"/>
        <v/>
      </c>
      <c r="AG153" t="str">
        <f>IFERROR(MATCH(ROWS($AG$9:AG153),_EngineTrades!$AW$9:$AW$508,0)+8,"")</f>
        <v/>
      </c>
    </row>
    <row r="154" spans="1:33" ht="15" x14ac:dyDescent="0.25">
      <c r="A154" s="66" t="str">
        <f>IF($AG154="","",IFERROR(INDEX(_EngineTrades!$AU$9:$AU$508,MATCH($AG154,_EngineTrades!$AV$9:$AV$508,0)),""))</f>
        <v/>
      </c>
      <c r="B154" s="66" t="str">
        <f>IF($A154="","",INDEX(_EngineTrades!$B$9:$B$508,MATCH($AG154,_EngineTrades!$AV$9:$AV$508,0)))</f>
        <v/>
      </c>
      <c r="C154" s="66" t="str">
        <f>IF($A154="","",INDEX(_EngineTrades!$T$9:$T$508,MATCH($AG154,_EngineTrades!$AV$9:$AV$508,0)))</f>
        <v/>
      </c>
      <c r="D154" s="67" t="str">
        <f>IF($A154="","",INDEX(_EngineTrades!$C$9:$C$508,MATCH($AG154,_EngineTrades!$AV$9:$AV$508,0)))</f>
        <v/>
      </c>
      <c r="E154" s="68" t="str">
        <f>IF($A154="","",IF(IFERROR(LOOKUP(2,1/(_EngineTrades!$AU$9:$AU$508=$A154),_EngineTrades!$AR$9:$AR$508),FALSE),"Closed","Open"))</f>
        <v/>
      </c>
      <c r="F154" s="69" t="str">
        <f>IF($A154="","",INDEX(_EngineTrades!$E$9:$E$508,$AG154-8))</f>
        <v/>
      </c>
      <c r="G154" s="69" t="str">
        <f>IF(OR($A154="",$E154&lt;&gt;"Closed"),"",IFERROR(INDEX(_EngineTrades!$E$9:$E$508,SUMIFS(_EngineTrades!$AX$9:$AX$508,_EngineTrades!$AU$9:$AU$508,$A154)-8),""))</f>
        <v/>
      </c>
      <c r="H154" s="70" t="str">
        <f>IF($A154="","",ROUND(SUMIFS(_EngineTrades!$Y$9:$Y$508,_EngineTrades!$AU$9:$AU$508,$A154),4))</f>
        <v/>
      </c>
      <c r="I154" s="70" t="str">
        <f>IF($A154="","",ROUND(SUMIFS(_EngineTrades!$Z$9:$Z$508,_EngineTrades!$AU$9:$AU$508,$A154),4))</f>
        <v/>
      </c>
      <c r="J154" s="71" t="str">
        <f t="shared" si="32"/>
        <v/>
      </c>
      <c r="K154" s="70" t="str">
        <f>IF($A154="","",ROUND(SUMIFS(_EngineTrades!$AA$9:$AA$508,_EngineTrades!$AU$9:$AU$508,$A154),4))</f>
        <v/>
      </c>
      <c r="L154" s="70" t="str">
        <f>IF($A154="","",ROUND(SUMIFS(_EngineTrades!$AB$9:$AB$508,_EngineTrades!$AU$9:$AU$508,$A154),4))</f>
        <v/>
      </c>
      <c r="M154" s="70" t="str">
        <f>IF($A154="","",ROUND(SUMIFS(_EngineTrades!$AC$9:$AC$508,_EngineTrades!$AU$9:$AU$508,$A154),4))</f>
        <v/>
      </c>
      <c r="N154" s="70" t="str">
        <f>IF($A154="","",ROUND(SUMIFS(_EngineTrades!$AD$9:$AD$508,_EngineTrades!$AU$9:$AU$508,$A154),4))</f>
        <v/>
      </c>
      <c r="O154" s="71" t="str">
        <f t="shared" si="33"/>
        <v/>
      </c>
      <c r="P154" s="66">
        <f>IF(OR($A154="",$E154&lt;&gt;"Open"),0,IFERROR(LOOKUP(2,1/(_EngineTrades!$AU$9:$AU$508=$A154),_EngineTrades!$AM$9:$AM$508),0))</f>
        <v>0</v>
      </c>
      <c r="Q154" s="70" t="str">
        <f>IF(OR($A154="",$P154=0),"",ROUND(IFERROR(LOOKUP(2,1/(_EngineTrades!$AU$9:$AU$508=$A154),_EngineTrades!$AN$9:$AN$508),0)/$P154,4))</f>
        <v/>
      </c>
      <c r="R154" s="70">
        <f>IF(OR($A154="",$E154&lt;&gt;"Open"),0,IFERROR(LOOKUP(2,1/(_EngineTrades!$AU$9:$AU$508=$A154),_EngineTrades!$AO$9:$AO$508),0))</f>
        <v>0</v>
      </c>
      <c r="S154" s="70">
        <f>IF(OR($A154="",$E154&lt;&gt;"Open"),0,ROUND($R154+IFERROR(LOOKUP(2,1/(_EngineTrades!$AU$9:$AU$508=$A154),_EngineTrades!$AN$9:$AN$508),0),4))</f>
        <v>0</v>
      </c>
      <c r="T154" s="70" t="str">
        <f>IF($A154="","",ROUND(IFERROR(LOOKUP(2,1/(_EngineTrades!$AU$9:$AU$508=$A154),_EngineTrades!$AT$9:$AT$508),0),4))</f>
        <v/>
      </c>
      <c r="U154" s="70" t="str">
        <f t="shared" si="34"/>
        <v/>
      </c>
      <c r="V154" s="70" t="str">
        <f>IF(AND($A154&lt;&gt;"",$E154="Open",$P154+N(IFERROR(LOOKUP(2,1/(_EngineTrades!$AU$9:$AU$508=$A154),_EngineTrades!$AP$9:$AP$508),0))&gt;0),ROUND(($R154-$O154)/($P154+N(IFERROR(LOOKUP(2,1/(_EngineTrades!$AU$9:$AU$508=$A154),_EngineTrades!$AP$9:$AP$508),0))),4),"")</f>
        <v/>
      </c>
      <c r="W154" s="72" t="str">
        <f>IF($A154="","",MAX(1,IF($G154="",_EngineTrades!$E$3-$F154,$G154-$F154)))</f>
        <v/>
      </c>
      <c r="X154" s="73" t="str">
        <f t="shared" si="35"/>
        <v/>
      </c>
      <c r="Y154" s="73" t="str">
        <f t="shared" si="36"/>
        <v/>
      </c>
      <c r="Z154" s="44">
        <f>IF(Cycles!U154="",0,Cycles!U154)</f>
        <v>0</v>
      </c>
      <c r="AA154" s="44">
        <f>IF(Cycles!V154="",0,Cycles!V154)</f>
        <v>0</v>
      </c>
      <c r="AB154" s="44">
        <f>IF(Cycles!W154="",0,Cycles!W154)</f>
        <v>0</v>
      </c>
      <c r="AC154" s="44">
        <f>IF(Cycles!X154="",0,Cycles!X154)</f>
        <v>0</v>
      </c>
      <c r="AD154" s="70" t="str">
        <f t="shared" si="37"/>
        <v/>
      </c>
      <c r="AE154" s="70" t="str">
        <f t="shared" si="38"/>
        <v/>
      </c>
      <c r="AF154" s="70" t="str">
        <f t="shared" si="39"/>
        <v/>
      </c>
      <c r="AG154" t="str">
        <f>IFERROR(MATCH(ROWS($AG$9:AG154),_EngineTrades!$AW$9:$AW$508,0)+8,"")</f>
        <v/>
      </c>
    </row>
    <row r="155" spans="1:33" ht="15" x14ac:dyDescent="0.25">
      <c r="A155" s="61" t="str">
        <f>IF($AG155="","",IFERROR(INDEX(_EngineTrades!$AU$9:$AU$508,MATCH($AG155,_EngineTrades!$AV$9:$AV$508,0)),""))</f>
        <v/>
      </c>
      <c r="B155" s="61" t="str">
        <f>IF($A155="","",INDEX(_EngineTrades!$B$9:$B$508,MATCH($AG155,_EngineTrades!$AV$9:$AV$508,0)))</f>
        <v/>
      </c>
      <c r="C155" s="61" t="str">
        <f>IF($A155="","",INDEX(_EngineTrades!$T$9:$T$508,MATCH($AG155,_EngineTrades!$AV$9:$AV$508,0)))</f>
        <v/>
      </c>
      <c r="D155" s="47" t="str">
        <f>IF($A155="","",INDEX(_EngineTrades!$C$9:$C$508,MATCH($AG155,_EngineTrades!$AV$9:$AV$508,0)))</f>
        <v/>
      </c>
      <c r="E155" s="62" t="str">
        <f>IF($A155="","",IF(IFERROR(LOOKUP(2,1/(_EngineTrades!$AU$9:$AU$508=$A155),_EngineTrades!$AR$9:$AR$508),FALSE),"Closed","Open"))</f>
        <v/>
      </c>
      <c r="F155" s="63" t="str">
        <f>IF($A155="","",INDEX(_EngineTrades!$E$9:$E$508,$AG155-8))</f>
        <v/>
      </c>
      <c r="G155" s="63" t="str">
        <f>IF(OR($A155="",$E155&lt;&gt;"Closed"),"",IFERROR(INDEX(_EngineTrades!$E$9:$E$508,SUMIFS(_EngineTrades!$AX$9:$AX$508,_EngineTrades!$AU$9:$AU$508,$A155)-8),""))</f>
        <v/>
      </c>
      <c r="H155" s="49" t="str">
        <f>IF($A155="","",ROUND(SUMIFS(_EngineTrades!$Y$9:$Y$508,_EngineTrades!$AU$9:$AU$508,$A155),4))</f>
        <v/>
      </c>
      <c r="I155" s="49" t="str">
        <f>IF($A155="","",ROUND(SUMIFS(_EngineTrades!$Z$9:$Z$508,_EngineTrades!$AU$9:$AU$508,$A155),4))</f>
        <v/>
      </c>
      <c r="J155" s="45" t="str">
        <f t="shared" si="32"/>
        <v/>
      </c>
      <c r="K155" s="49" t="str">
        <f>IF($A155="","",ROUND(SUMIFS(_EngineTrades!$AA$9:$AA$508,_EngineTrades!$AU$9:$AU$508,$A155),4))</f>
        <v/>
      </c>
      <c r="L155" s="49" t="str">
        <f>IF($A155="","",ROUND(SUMIFS(_EngineTrades!$AB$9:$AB$508,_EngineTrades!$AU$9:$AU$508,$A155),4))</f>
        <v/>
      </c>
      <c r="M155" s="49" t="str">
        <f>IF($A155="","",ROUND(SUMIFS(_EngineTrades!$AC$9:$AC$508,_EngineTrades!$AU$9:$AU$508,$A155),4))</f>
        <v/>
      </c>
      <c r="N155" s="49" t="str">
        <f>IF($A155="","",ROUND(SUMIFS(_EngineTrades!$AD$9:$AD$508,_EngineTrades!$AU$9:$AU$508,$A155),4))</f>
        <v/>
      </c>
      <c r="O155" s="45" t="str">
        <f t="shared" si="33"/>
        <v/>
      </c>
      <c r="P155" s="61">
        <f>IF(OR($A155="",$E155&lt;&gt;"Open"),0,IFERROR(LOOKUP(2,1/(_EngineTrades!$AU$9:$AU$508=$A155),_EngineTrades!$AM$9:$AM$508),0))</f>
        <v>0</v>
      </c>
      <c r="Q155" s="49" t="str">
        <f>IF(OR($A155="",$P155=0),"",ROUND(IFERROR(LOOKUP(2,1/(_EngineTrades!$AU$9:$AU$508=$A155),_EngineTrades!$AN$9:$AN$508),0)/$P155,4))</f>
        <v/>
      </c>
      <c r="R155" s="49">
        <f>IF(OR($A155="",$E155&lt;&gt;"Open"),0,IFERROR(LOOKUP(2,1/(_EngineTrades!$AU$9:$AU$508=$A155),_EngineTrades!$AO$9:$AO$508),0))</f>
        <v>0</v>
      </c>
      <c r="S155" s="49">
        <f>IF(OR($A155="",$E155&lt;&gt;"Open"),0,ROUND($R155+IFERROR(LOOKUP(2,1/(_EngineTrades!$AU$9:$AU$508=$A155),_EngineTrades!$AN$9:$AN$508),0),4))</f>
        <v>0</v>
      </c>
      <c r="T155" s="49" t="str">
        <f>IF($A155="","",ROUND(IFERROR(LOOKUP(2,1/(_EngineTrades!$AU$9:$AU$508=$A155),_EngineTrades!$AT$9:$AT$508),0),4))</f>
        <v/>
      </c>
      <c r="U155" s="49" t="str">
        <f t="shared" si="34"/>
        <v/>
      </c>
      <c r="V155" s="49" t="str">
        <f>IF(AND($A155&lt;&gt;"",$E155="Open",$P155+N(IFERROR(LOOKUP(2,1/(_EngineTrades!$AU$9:$AU$508=$A155),_EngineTrades!$AP$9:$AP$508),0))&gt;0),ROUND(($R155-$O155)/($P155+N(IFERROR(LOOKUP(2,1/(_EngineTrades!$AU$9:$AU$508=$A155),_EngineTrades!$AP$9:$AP$508),0))),4),"")</f>
        <v/>
      </c>
      <c r="W155" s="64" t="str">
        <f>IF($A155="","",MAX(1,IF($G155="",_EngineTrades!$E$3-$F155,$G155-$F155)))</f>
        <v/>
      </c>
      <c r="X155" s="65" t="str">
        <f t="shared" si="35"/>
        <v/>
      </c>
      <c r="Y155" s="65" t="str">
        <f t="shared" si="36"/>
        <v/>
      </c>
      <c r="Z155" s="44">
        <f>IF(Cycles!U155="",0,Cycles!U155)</f>
        <v>0</v>
      </c>
      <c r="AA155" s="44">
        <f>IF(Cycles!V155="",0,Cycles!V155)</f>
        <v>0</v>
      </c>
      <c r="AB155" s="44">
        <f>IF(Cycles!W155="",0,Cycles!W155)</f>
        <v>0</v>
      </c>
      <c r="AC155" s="44">
        <f>IF(Cycles!X155="",0,Cycles!X155)</f>
        <v>0</v>
      </c>
      <c r="AD155" s="49" t="str">
        <f t="shared" si="37"/>
        <v/>
      </c>
      <c r="AE155" s="49" t="str">
        <f t="shared" si="38"/>
        <v/>
      </c>
      <c r="AF155" s="49" t="str">
        <f t="shared" si="39"/>
        <v/>
      </c>
      <c r="AG155" t="str">
        <f>IFERROR(MATCH(ROWS($AG$9:AG155),_EngineTrades!$AW$9:$AW$508,0)+8,"")</f>
        <v/>
      </c>
    </row>
    <row r="156" spans="1:33" ht="15" x14ac:dyDescent="0.25">
      <c r="A156" s="66" t="str">
        <f>IF($AG156="","",IFERROR(INDEX(_EngineTrades!$AU$9:$AU$508,MATCH($AG156,_EngineTrades!$AV$9:$AV$508,0)),""))</f>
        <v/>
      </c>
      <c r="B156" s="66" t="str">
        <f>IF($A156="","",INDEX(_EngineTrades!$B$9:$B$508,MATCH($AG156,_EngineTrades!$AV$9:$AV$508,0)))</f>
        <v/>
      </c>
      <c r="C156" s="66" t="str">
        <f>IF($A156="","",INDEX(_EngineTrades!$T$9:$T$508,MATCH($AG156,_EngineTrades!$AV$9:$AV$508,0)))</f>
        <v/>
      </c>
      <c r="D156" s="67" t="str">
        <f>IF($A156="","",INDEX(_EngineTrades!$C$9:$C$508,MATCH($AG156,_EngineTrades!$AV$9:$AV$508,0)))</f>
        <v/>
      </c>
      <c r="E156" s="68" t="str">
        <f>IF($A156="","",IF(IFERROR(LOOKUP(2,1/(_EngineTrades!$AU$9:$AU$508=$A156),_EngineTrades!$AR$9:$AR$508),FALSE),"Closed","Open"))</f>
        <v/>
      </c>
      <c r="F156" s="69" t="str">
        <f>IF($A156="","",INDEX(_EngineTrades!$E$9:$E$508,$AG156-8))</f>
        <v/>
      </c>
      <c r="G156" s="69" t="str">
        <f>IF(OR($A156="",$E156&lt;&gt;"Closed"),"",IFERROR(INDEX(_EngineTrades!$E$9:$E$508,SUMIFS(_EngineTrades!$AX$9:$AX$508,_EngineTrades!$AU$9:$AU$508,$A156)-8),""))</f>
        <v/>
      </c>
      <c r="H156" s="70" t="str">
        <f>IF($A156="","",ROUND(SUMIFS(_EngineTrades!$Y$9:$Y$508,_EngineTrades!$AU$9:$AU$508,$A156),4))</f>
        <v/>
      </c>
      <c r="I156" s="70" t="str">
        <f>IF($A156="","",ROUND(SUMIFS(_EngineTrades!$Z$9:$Z$508,_EngineTrades!$AU$9:$AU$508,$A156),4))</f>
        <v/>
      </c>
      <c r="J156" s="71" t="str">
        <f t="shared" si="32"/>
        <v/>
      </c>
      <c r="K156" s="70" t="str">
        <f>IF($A156="","",ROUND(SUMIFS(_EngineTrades!$AA$9:$AA$508,_EngineTrades!$AU$9:$AU$508,$A156),4))</f>
        <v/>
      </c>
      <c r="L156" s="70" t="str">
        <f>IF($A156="","",ROUND(SUMIFS(_EngineTrades!$AB$9:$AB$508,_EngineTrades!$AU$9:$AU$508,$A156),4))</f>
        <v/>
      </c>
      <c r="M156" s="70" t="str">
        <f>IF($A156="","",ROUND(SUMIFS(_EngineTrades!$AC$9:$AC$508,_EngineTrades!$AU$9:$AU$508,$A156),4))</f>
        <v/>
      </c>
      <c r="N156" s="70" t="str">
        <f>IF($A156="","",ROUND(SUMIFS(_EngineTrades!$AD$9:$AD$508,_EngineTrades!$AU$9:$AU$508,$A156),4))</f>
        <v/>
      </c>
      <c r="O156" s="71" t="str">
        <f t="shared" si="33"/>
        <v/>
      </c>
      <c r="P156" s="66">
        <f>IF(OR($A156="",$E156&lt;&gt;"Open"),0,IFERROR(LOOKUP(2,1/(_EngineTrades!$AU$9:$AU$508=$A156),_EngineTrades!$AM$9:$AM$508),0))</f>
        <v>0</v>
      </c>
      <c r="Q156" s="70" t="str">
        <f>IF(OR($A156="",$P156=0),"",ROUND(IFERROR(LOOKUP(2,1/(_EngineTrades!$AU$9:$AU$508=$A156),_EngineTrades!$AN$9:$AN$508),0)/$P156,4))</f>
        <v/>
      </c>
      <c r="R156" s="70">
        <f>IF(OR($A156="",$E156&lt;&gt;"Open"),0,IFERROR(LOOKUP(2,1/(_EngineTrades!$AU$9:$AU$508=$A156),_EngineTrades!$AO$9:$AO$508),0))</f>
        <v>0</v>
      </c>
      <c r="S156" s="70">
        <f>IF(OR($A156="",$E156&lt;&gt;"Open"),0,ROUND($R156+IFERROR(LOOKUP(2,1/(_EngineTrades!$AU$9:$AU$508=$A156),_EngineTrades!$AN$9:$AN$508),0),4))</f>
        <v>0</v>
      </c>
      <c r="T156" s="70" t="str">
        <f>IF($A156="","",ROUND(IFERROR(LOOKUP(2,1/(_EngineTrades!$AU$9:$AU$508=$A156),_EngineTrades!$AT$9:$AT$508),0),4))</f>
        <v/>
      </c>
      <c r="U156" s="70" t="str">
        <f t="shared" si="34"/>
        <v/>
      </c>
      <c r="V156" s="70" t="str">
        <f>IF(AND($A156&lt;&gt;"",$E156="Open",$P156+N(IFERROR(LOOKUP(2,1/(_EngineTrades!$AU$9:$AU$508=$A156),_EngineTrades!$AP$9:$AP$508),0))&gt;0),ROUND(($R156-$O156)/($P156+N(IFERROR(LOOKUP(2,1/(_EngineTrades!$AU$9:$AU$508=$A156),_EngineTrades!$AP$9:$AP$508),0))),4),"")</f>
        <v/>
      </c>
      <c r="W156" s="72" t="str">
        <f>IF($A156="","",MAX(1,IF($G156="",_EngineTrades!$E$3-$F156,$G156-$F156)))</f>
        <v/>
      </c>
      <c r="X156" s="73" t="str">
        <f t="shared" si="35"/>
        <v/>
      </c>
      <c r="Y156" s="73" t="str">
        <f t="shared" si="36"/>
        <v/>
      </c>
      <c r="Z156" s="44">
        <f>IF(Cycles!U156="",0,Cycles!U156)</f>
        <v>0</v>
      </c>
      <c r="AA156" s="44">
        <f>IF(Cycles!V156="",0,Cycles!V156)</f>
        <v>0</v>
      </c>
      <c r="AB156" s="44">
        <f>IF(Cycles!W156="",0,Cycles!W156)</f>
        <v>0</v>
      </c>
      <c r="AC156" s="44">
        <f>IF(Cycles!X156="",0,Cycles!X156)</f>
        <v>0</v>
      </c>
      <c r="AD156" s="70" t="str">
        <f t="shared" si="37"/>
        <v/>
      </c>
      <c r="AE156" s="70" t="str">
        <f t="shared" si="38"/>
        <v/>
      </c>
      <c r="AF156" s="70" t="str">
        <f t="shared" si="39"/>
        <v/>
      </c>
      <c r="AG156" t="str">
        <f>IFERROR(MATCH(ROWS($AG$9:AG156),_EngineTrades!$AW$9:$AW$508,0)+8,"")</f>
        <v/>
      </c>
    </row>
    <row r="157" spans="1:33" ht="15" x14ac:dyDescent="0.25">
      <c r="A157" s="61" t="str">
        <f>IF($AG157="","",IFERROR(INDEX(_EngineTrades!$AU$9:$AU$508,MATCH($AG157,_EngineTrades!$AV$9:$AV$508,0)),""))</f>
        <v/>
      </c>
      <c r="B157" s="61" t="str">
        <f>IF($A157="","",INDEX(_EngineTrades!$B$9:$B$508,MATCH($AG157,_EngineTrades!$AV$9:$AV$508,0)))</f>
        <v/>
      </c>
      <c r="C157" s="61" t="str">
        <f>IF($A157="","",INDEX(_EngineTrades!$T$9:$T$508,MATCH($AG157,_EngineTrades!$AV$9:$AV$508,0)))</f>
        <v/>
      </c>
      <c r="D157" s="47" t="str">
        <f>IF($A157="","",INDEX(_EngineTrades!$C$9:$C$508,MATCH($AG157,_EngineTrades!$AV$9:$AV$508,0)))</f>
        <v/>
      </c>
      <c r="E157" s="62" t="str">
        <f>IF($A157="","",IF(IFERROR(LOOKUP(2,1/(_EngineTrades!$AU$9:$AU$508=$A157),_EngineTrades!$AR$9:$AR$508),FALSE),"Closed","Open"))</f>
        <v/>
      </c>
      <c r="F157" s="63" t="str">
        <f>IF($A157="","",INDEX(_EngineTrades!$E$9:$E$508,$AG157-8))</f>
        <v/>
      </c>
      <c r="G157" s="63" t="str">
        <f>IF(OR($A157="",$E157&lt;&gt;"Closed"),"",IFERROR(INDEX(_EngineTrades!$E$9:$E$508,SUMIFS(_EngineTrades!$AX$9:$AX$508,_EngineTrades!$AU$9:$AU$508,$A157)-8),""))</f>
        <v/>
      </c>
      <c r="H157" s="49" t="str">
        <f>IF($A157="","",ROUND(SUMIFS(_EngineTrades!$Y$9:$Y$508,_EngineTrades!$AU$9:$AU$508,$A157),4))</f>
        <v/>
      </c>
      <c r="I157" s="49" t="str">
        <f>IF($A157="","",ROUND(SUMIFS(_EngineTrades!$Z$9:$Z$508,_EngineTrades!$AU$9:$AU$508,$A157),4))</f>
        <v/>
      </c>
      <c r="J157" s="45" t="str">
        <f t="shared" si="32"/>
        <v/>
      </c>
      <c r="K157" s="49" t="str">
        <f>IF($A157="","",ROUND(SUMIFS(_EngineTrades!$AA$9:$AA$508,_EngineTrades!$AU$9:$AU$508,$A157),4))</f>
        <v/>
      </c>
      <c r="L157" s="49" t="str">
        <f>IF($A157="","",ROUND(SUMIFS(_EngineTrades!$AB$9:$AB$508,_EngineTrades!$AU$9:$AU$508,$A157),4))</f>
        <v/>
      </c>
      <c r="M157" s="49" t="str">
        <f>IF($A157="","",ROUND(SUMIFS(_EngineTrades!$AC$9:$AC$508,_EngineTrades!$AU$9:$AU$508,$A157),4))</f>
        <v/>
      </c>
      <c r="N157" s="49" t="str">
        <f>IF($A157="","",ROUND(SUMIFS(_EngineTrades!$AD$9:$AD$508,_EngineTrades!$AU$9:$AU$508,$A157),4))</f>
        <v/>
      </c>
      <c r="O157" s="45" t="str">
        <f t="shared" si="33"/>
        <v/>
      </c>
      <c r="P157" s="61">
        <f>IF(OR($A157="",$E157&lt;&gt;"Open"),0,IFERROR(LOOKUP(2,1/(_EngineTrades!$AU$9:$AU$508=$A157),_EngineTrades!$AM$9:$AM$508),0))</f>
        <v>0</v>
      </c>
      <c r="Q157" s="49" t="str">
        <f>IF(OR($A157="",$P157=0),"",ROUND(IFERROR(LOOKUP(2,1/(_EngineTrades!$AU$9:$AU$508=$A157),_EngineTrades!$AN$9:$AN$508),0)/$P157,4))</f>
        <v/>
      </c>
      <c r="R157" s="49">
        <f>IF(OR($A157="",$E157&lt;&gt;"Open"),0,IFERROR(LOOKUP(2,1/(_EngineTrades!$AU$9:$AU$508=$A157),_EngineTrades!$AO$9:$AO$508),0))</f>
        <v>0</v>
      </c>
      <c r="S157" s="49">
        <f>IF(OR($A157="",$E157&lt;&gt;"Open"),0,ROUND($R157+IFERROR(LOOKUP(2,1/(_EngineTrades!$AU$9:$AU$508=$A157),_EngineTrades!$AN$9:$AN$508),0),4))</f>
        <v>0</v>
      </c>
      <c r="T157" s="49" t="str">
        <f>IF($A157="","",ROUND(IFERROR(LOOKUP(2,1/(_EngineTrades!$AU$9:$AU$508=$A157),_EngineTrades!$AT$9:$AT$508),0),4))</f>
        <v/>
      </c>
      <c r="U157" s="49" t="str">
        <f t="shared" si="34"/>
        <v/>
      </c>
      <c r="V157" s="49" t="str">
        <f>IF(AND($A157&lt;&gt;"",$E157="Open",$P157+N(IFERROR(LOOKUP(2,1/(_EngineTrades!$AU$9:$AU$508=$A157),_EngineTrades!$AP$9:$AP$508),0))&gt;0),ROUND(($R157-$O157)/($P157+N(IFERROR(LOOKUP(2,1/(_EngineTrades!$AU$9:$AU$508=$A157),_EngineTrades!$AP$9:$AP$508),0))),4),"")</f>
        <v/>
      </c>
      <c r="W157" s="64" t="str">
        <f>IF($A157="","",MAX(1,IF($G157="",_EngineTrades!$E$3-$F157,$G157-$F157)))</f>
        <v/>
      </c>
      <c r="X157" s="65" t="str">
        <f t="shared" si="35"/>
        <v/>
      </c>
      <c r="Y157" s="65" t="str">
        <f t="shared" si="36"/>
        <v/>
      </c>
      <c r="Z157" s="44">
        <f>IF(Cycles!U157="",0,Cycles!U157)</f>
        <v>0</v>
      </c>
      <c r="AA157" s="44">
        <f>IF(Cycles!V157="",0,Cycles!V157)</f>
        <v>0</v>
      </c>
      <c r="AB157" s="44">
        <f>IF(Cycles!W157="",0,Cycles!W157)</f>
        <v>0</v>
      </c>
      <c r="AC157" s="44">
        <f>IF(Cycles!X157="",0,Cycles!X157)</f>
        <v>0</v>
      </c>
      <c r="AD157" s="49" t="str">
        <f t="shared" si="37"/>
        <v/>
      </c>
      <c r="AE157" s="49" t="str">
        <f t="shared" si="38"/>
        <v/>
      </c>
      <c r="AF157" s="49" t="str">
        <f t="shared" si="39"/>
        <v/>
      </c>
      <c r="AG157" t="str">
        <f>IFERROR(MATCH(ROWS($AG$9:AG157),_EngineTrades!$AW$9:$AW$508,0)+8,"")</f>
        <v/>
      </c>
    </row>
    <row r="158" spans="1:33" ht="15" x14ac:dyDescent="0.25">
      <c r="A158" s="66" t="str">
        <f>IF($AG158="","",IFERROR(INDEX(_EngineTrades!$AU$9:$AU$508,MATCH($AG158,_EngineTrades!$AV$9:$AV$508,0)),""))</f>
        <v/>
      </c>
      <c r="B158" s="66" t="str">
        <f>IF($A158="","",INDEX(_EngineTrades!$B$9:$B$508,MATCH($AG158,_EngineTrades!$AV$9:$AV$508,0)))</f>
        <v/>
      </c>
      <c r="C158" s="66" t="str">
        <f>IF($A158="","",INDEX(_EngineTrades!$T$9:$T$508,MATCH($AG158,_EngineTrades!$AV$9:$AV$508,0)))</f>
        <v/>
      </c>
      <c r="D158" s="67" t="str">
        <f>IF($A158="","",INDEX(_EngineTrades!$C$9:$C$508,MATCH($AG158,_EngineTrades!$AV$9:$AV$508,0)))</f>
        <v/>
      </c>
      <c r="E158" s="68" t="str">
        <f>IF($A158="","",IF(IFERROR(LOOKUP(2,1/(_EngineTrades!$AU$9:$AU$508=$A158),_EngineTrades!$AR$9:$AR$508),FALSE),"Closed","Open"))</f>
        <v/>
      </c>
      <c r="F158" s="69" t="str">
        <f>IF($A158="","",INDEX(_EngineTrades!$E$9:$E$508,$AG158-8))</f>
        <v/>
      </c>
      <c r="G158" s="69" t="str">
        <f>IF(OR($A158="",$E158&lt;&gt;"Closed"),"",IFERROR(INDEX(_EngineTrades!$E$9:$E$508,SUMIFS(_EngineTrades!$AX$9:$AX$508,_EngineTrades!$AU$9:$AU$508,$A158)-8),""))</f>
        <v/>
      </c>
      <c r="H158" s="70" t="str">
        <f>IF($A158="","",ROUND(SUMIFS(_EngineTrades!$Y$9:$Y$508,_EngineTrades!$AU$9:$AU$508,$A158),4))</f>
        <v/>
      </c>
      <c r="I158" s="70" t="str">
        <f>IF($A158="","",ROUND(SUMIFS(_EngineTrades!$Z$9:$Z$508,_EngineTrades!$AU$9:$AU$508,$A158),4))</f>
        <v/>
      </c>
      <c r="J158" s="71" t="str">
        <f t="shared" si="32"/>
        <v/>
      </c>
      <c r="K158" s="70" t="str">
        <f>IF($A158="","",ROUND(SUMIFS(_EngineTrades!$AA$9:$AA$508,_EngineTrades!$AU$9:$AU$508,$A158),4))</f>
        <v/>
      </c>
      <c r="L158" s="70" t="str">
        <f>IF($A158="","",ROUND(SUMIFS(_EngineTrades!$AB$9:$AB$508,_EngineTrades!$AU$9:$AU$508,$A158),4))</f>
        <v/>
      </c>
      <c r="M158" s="70" t="str">
        <f>IF($A158="","",ROUND(SUMIFS(_EngineTrades!$AC$9:$AC$508,_EngineTrades!$AU$9:$AU$508,$A158),4))</f>
        <v/>
      </c>
      <c r="N158" s="70" t="str">
        <f>IF($A158="","",ROUND(SUMIFS(_EngineTrades!$AD$9:$AD$508,_EngineTrades!$AU$9:$AU$508,$A158),4))</f>
        <v/>
      </c>
      <c r="O158" s="71" t="str">
        <f t="shared" si="33"/>
        <v/>
      </c>
      <c r="P158" s="66">
        <f>IF(OR($A158="",$E158&lt;&gt;"Open"),0,IFERROR(LOOKUP(2,1/(_EngineTrades!$AU$9:$AU$508=$A158),_EngineTrades!$AM$9:$AM$508),0))</f>
        <v>0</v>
      </c>
      <c r="Q158" s="70" t="str">
        <f>IF(OR($A158="",$P158=0),"",ROUND(IFERROR(LOOKUP(2,1/(_EngineTrades!$AU$9:$AU$508=$A158),_EngineTrades!$AN$9:$AN$508),0)/$P158,4))</f>
        <v/>
      </c>
      <c r="R158" s="70">
        <f>IF(OR($A158="",$E158&lt;&gt;"Open"),0,IFERROR(LOOKUP(2,1/(_EngineTrades!$AU$9:$AU$508=$A158),_EngineTrades!$AO$9:$AO$508),0))</f>
        <v>0</v>
      </c>
      <c r="S158" s="70">
        <f>IF(OR($A158="",$E158&lt;&gt;"Open"),0,ROUND($R158+IFERROR(LOOKUP(2,1/(_EngineTrades!$AU$9:$AU$508=$A158),_EngineTrades!$AN$9:$AN$508),0),4))</f>
        <v>0</v>
      </c>
      <c r="T158" s="70" t="str">
        <f>IF($A158="","",ROUND(IFERROR(LOOKUP(2,1/(_EngineTrades!$AU$9:$AU$508=$A158),_EngineTrades!$AT$9:$AT$508),0),4))</f>
        <v/>
      </c>
      <c r="U158" s="70" t="str">
        <f t="shared" si="34"/>
        <v/>
      </c>
      <c r="V158" s="70" t="str">
        <f>IF(AND($A158&lt;&gt;"",$E158="Open",$P158+N(IFERROR(LOOKUP(2,1/(_EngineTrades!$AU$9:$AU$508=$A158),_EngineTrades!$AP$9:$AP$508),0))&gt;0),ROUND(($R158-$O158)/($P158+N(IFERROR(LOOKUP(2,1/(_EngineTrades!$AU$9:$AU$508=$A158),_EngineTrades!$AP$9:$AP$508),0))),4),"")</f>
        <v/>
      </c>
      <c r="W158" s="72" t="str">
        <f>IF($A158="","",MAX(1,IF($G158="",_EngineTrades!$E$3-$F158,$G158-$F158)))</f>
        <v/>
      </c>
      <c r="X158" s="73" t="str">
        <f t="shared" si="35"/>
        <v/>
      </c>
      <c r="Y158" s="73" t="str">
        <f t="shared" si="36"/>
        <v/>
      </c>
      <c r="Z158" s="44">
        <f>IF(Cycles!U158="",0,Cycles!U158)</f>
        <v>0</v>
      </c>
      <c r="AA158" s="44">
        <f>IF(Cycles!V158="",0,Cycles!V158)</f>
        <v>0</v>
      </c>
      <c r="AB158" s="44">
        <f>IF(Cycles!W158="",0,Cycles!W158)</f>
        <v>0</v>
      </c>
      <c r="AC158" s="44">
        <f>IF(Cycles!X158="",0,Cycles!X158)</f>
        <v>0</v>
      </c>
      <c r="AD158" s="70" t="str">
        <f t="shared" si="37"/>
        <v/>
      </c>
      <c r="AE158" s="70" t="str">
        <f t="shared" si="38"/>
        <v/>
      </c>
      <c r="AF158" s="70" t="str">
        <f t="shared" si="39"/>
        <v/>
      </c>
      <c r="AG158" t="str">
        <f>IFERROR(MATCH(ROWS($AG$9:AG158),_EngineTrades!$AW$9:$AW$508,0)+8,"")</f>
        <v/>
      </c>
    </row>
    <row r="159" spans="1:33" ht="15" x14ac:dyDescent="0.25">
      <c r="A159" s="61" t="str">
        <f>IF($AG159="","",IFERROR(INDEX(_EngineTrades!$AU$9:$AU$508,MATCH($AG159,_EngineTrades!$AV$9:$AV$508,0)),""))</f>
        <v/>
      </c>
      <c r="B159" s="61" t="str">
        <f>IF($A159="","",INDEX(_EngineTrades!$B$9:$B$508,MATCH($AG159,_EngineTrades!$AV$9:$AV$508,0)))</f>
        <v/>
      </c>
      <c r="C159" s="61" t="str">
        <f>IF($A159="","",INDEX(_EngineTrades!$T$9:$T$508,MATCH($AG159,_EngineTrades!$AV$9:$AV$508,0)))</f>
        <v/>
      </c>
      <c r="D159" s="47" t="str">
        <f>IF($A159="","",INDEX(_EngineTrades!$C$9:$C$508,MATCH($AG159,_EngineTrades!$AV$9:$AV$508,0)))</f>
        <v/>
      </c>
      <c r="E159" s="62" t="str">
        <f>IF($A159="","",IF(IFERROR(LOOKUP(2,1/(_EngineTrades!$AU$9:$AU$508=$A159),_EngineTrades!$AR$9:$AR$508),FALSE),"Closed","Open"))</f>
        <v/>
      </c>
      <c r="F159" s="63" t="str">
        <f>IF($A159="","",INDEX(_EngineTrades!$E$9:$E$508,$AG159-8))</f>
        <v/>
      </c>
      <c r="G159" s="63" t="str">
        <f>IF(OR($A159="",$E159&lt;&gt;"Closed"),"",IFERROR(INDEX(_EngineTrades!$E$9:$E$508,SUMIFS(_EngineTrades!$AX$9:$AX$508,_EngineTrades!$AU$9:$AU$508,$A159)-8),""))</f>
        <v/>
      </c>
      <c r="H159" s="49" t="str">
        <f>IF($A159="","",ROUND(SUMIFS(_EngineTrades!$Y$9:$Y$508,_EngineTrades!$AU$9:$AU$508,$A159),4))</f>
        <v/>
      </c>
      <c r="I159" s="49" t="str">
        <f>IF($A159="","",ROUND(SUMIFS(_EngineTrades!$Z$9:$Z$508,_EngineTrades!$AU$9:$AU$508,$A159),4))</f>
        <v/>
      </c>
      <c r="J159" s="45" t="str">
        <f t="shared" si="32"/>
        <v/>
      </c>
      <c r="K159" s="49" t="str">
        <f>IF($A159="","",ROUND(SUMIFS(_EngineTrades!$AA$9:$AA$508,_EngineTrades!$AU$9:$AU$508,$A159),4))</f>
        <v/>
      </c>
      <c r="L159" s="49" t="str">
        <f>IF($A159="","",ROUND(SUMIFS(_EngineTrades!$AB$9:$AB$508,_EngineTrades!$AU$9:$AU$508,$A159),4))</f>
        <v/>
      </c>
      <c r="M159" s="49" t="str">
        <f>IF($A159="","",ROUND(SUMIFS(_EngineTrades!$AC$9:$AC$508,_EngineTrades!$AU$9:$AU$508,$A159),4))</f>
        <v/>
      </c>
      <c r="N159" s="49" t="str">
        <f>IF($A159="","",ROUND(SUMIFS(_EngineTrades!$AD$9:$AD$508,_EngineTrades!$AU$9:$AU$508,$A159),4))</f>
        <v/>
      </c>
      <c r="O159" s="45" t="str">
        <f t="shared" si="33"/>
        <v/>
      </c>
      <c r="P159" s="61">
        <f>IF(OR($A159="",$E159&lt;&gt;"Open"),0,IFERROR(LOOKUP(2,1/(_EngineTrades!$AU$9:$AU$508=$A159),_EngineTrades!$AM$9:$AM$508),0))</f>
        <v>0</v>
      </c>
      <c r="Q159" s="49" t="str">
        <f>IF(OR($A159="",$P159=0),"",ROUND(IFERROR(LOOKUP(2,1/(_EngineTrades!$AU$9:$AU$508=$A159),_EngineTrades!$AN$9:$AN$508),0)/$P159,4))</f>
        <v/>
      </c>
      <c r="R159" s="49">
        <f>IF(OR($A159="",$E159&lt;&gt;"Open"),0,IFERROR(LOOKUP(2,1/(_EngineTrades!$AU$9:$AU$508=$A159),_EngineTrades!$AO$9:$AO$508),0))</f>
        <v>0</v>
      </c>
      <c r="S159" s="49">
        <f>IF(OR($A159="",$E159&lt;&gt;"Open"),0,ROUND($R159+IFERROR(LOOKUP(2,1/(_EngineTrades!$AU$9:$AU$508=$A159),_EngineTrades!$AN$9:$AN$508),0),4))</f>
        <v>0</v>
      </c>
      <c r="T159" s="49" t="str">
        <f>IF($A159="","",ROUND(IFERROR(LOOKUP(2,1/(_EngineTrades!$AU$9:$AU$508=$A159),_EngineTrades!$AT$9:$AT$508),0),4))</f>
        <v/>
      </c>
      <c r="U159" s="49" t="str">
        <f t="shared" si="34"/>
        <v/>
      </c>
      <c r="V159" s="49" t="str">
        <f>IF(AND($A159&lt;&gt;"",$E159="Open",$P159+N(IFERROR(LOOKUP(2,1/(_EngineTrades!$AU$9:$AU$508=$A159),_EngineTrades!$AP$9:$AP$508),0))&gt;0),ROUND(($R159-$O159)/($P159+N(IFERROR(LOOKUP(2,1/(_EngineTrades!$AU$9:$AU$508=$A159),_EngineTrades!$AP$9:$AP$508),0))),4),"")</f>
        <v/>
      </c>
      <c r="W159" s="64" t="str">
        <f>IF($A159="","",MAX(1,IF($G159="",_EngineTrades!$E$3-$F159,$G159-$F159)))</f>
        <v/>
      </c>
      <c r="X159" s="65" t="str">
        <f t="shared" si="35"/>
        <v/>
      </c>
      <c r="Y159" s="65" t="str">
        <f t="shared" si="36"/>
        <v/>
      </c>
      <c r="Z159" s="44">
        <f>IF(Cycles!U159="",0,Cycles!U159)</f>
        <v>0</v>
      </c>
      <c r="AA159" s="44">
        <f>IF(Cycles!V159="",0,Cycles!V159)</f>
        <v>0</v>
      </c>
      <c r="AB159" s="44">
        <f>IF(Cycles!W159="",0,Cycles!W159)</f>
        <v>0</v>
      </c>
      <c r="AC159" s="44">
        <f>IF(Cycles!X159="",0,Cycles!X159)</f>
        <v>0</v>
      </c>
      <c r="AD159" s="49" t="str">
        <f t="shared" si="37"/>
        <v/>
      </c>
      <c r="AE159" s="49" t="str">
        <f t="shared" si="38"/>
        <v/>
      </c>
      <c r="AF159" s="49" t="str">
        <f t="shared" si="39"/>
        <v/>
      </c>
      <c r="AG159" t="str">
        <f>IFERROR(MATCH(ROWS($AG$9:AG159),_EngineTrades!$AW$9:$AW$508,0)+8,"")</f>
        <v/>
      </c>
    </row>
    <row r="160" spans="1:33" ht="15" x14ac:dyDescent="0.25">
      <c r="A160" s="66" t="str">
        <f>IF($AG160="","",IFERROR(INDEX(_EngineTrades!$AU$9:$AU$508,MATCH($AG160,_EngineTrades!$AV$9:$AV$508,0)),""))</f>
        <v/>
      </c>
      <c r="B160" s="66" t="str">
        <f>IF($A160="","",INDEX(_EngineTrades!$B$9:$B$508,MATCH($AG160,_EngineTrades!$AV$9:$AV$508,0)))</f>
        <v/>
      </c>
      <c r="C160" s="66" t="str">
        <f>IF($A160="","",INDEX(_EngineTrades!$T$9:$T$508,MATCH($AG160,_EngineTrades!$AV$9:$AV$508,0)))</f>
        <v/>
      </c>
      <c r="D160" s="67" t="str">
        <f>IF($A160="","",INDEX(_EngineTrades!$C$9:$C$508,MATCH($AG160,_EngineTrades!$AV$9:$AV$508,0)))</f>
        <v/>
      </c>
      <c r="E160" s="68" t="str">
        <f>IF($A160="","",IF(IFERROR(LOOKUP(2,1/(_EngineTrades!$AU$9:$AU$508=$A160),_EngineTrades!$AR$9:$AR$508),FALSE),"Closed","Open"))</f>
        <v/>
      </c>
      <c r="F160" s="69" t="str">
        <f>IF($A160="","",INDEX(_EngineTrades!$E$9:$E$508,$AG160-8))</f>
        <v/>
      </c>
      <c r="G160" s="69" t="str">
        <f>IF(OR($A160="",$E160&lt;&gt;"Closed"),"",IFERROR(INDEX(_EngineTrades!$E$9:$E$508,SUMIFS(_EngineTrades!$AX$9:$AX$508,_EngineTrades!$AU$9:$AU$508,$A160)-8),""))</f>
        <v/>
      </c>
      <c r="H160" s="70" t="str">
        <f>IF($A160="","",ROUND(SUMIFS(_EngineTrades!$Y$9:$Y$508,_EngineTrades!$AU$9:$AU$508,$A160),4))</f>
        <v/>
      </c>
      <c r="I160" s="70" t="str">
        <f>IF($A160="","",ROUND(SUMIFS(_EngineTrades!$Z$9:$Z$508,_EngineTrades!$AU$9:$AU$508,$A160),4))</f>
        <v/>
      </c>
      <c r="J160" s="71" t="str">
        <f t="shared" si="32"/>
        <v/>
      </c>
      <c r="K160" s="70" t="str">
        <f>IF($A160="","",ROUND(SUMIFS(_EngineTrades!$AA$9:$AA$508,_EngineTrades!$AU$9:$AU$508,$A160),4))</f>
        <v/>
      </c>
      <c r="L160" s="70" t="str">
        <f>IF($A160="","",ROUND(SUMIFS(_EngineTrades!$AB$9:$AB$508,_EngineTrades!$AU$9:$AU$508,$A160),4))</f>
        <v/>
      </c>
      <c r="M160" s="70" t="str">
        <f>IF($A160="","",ROUND(SUMIFS(_EngineTrades!$AC$9:$AC$508,_EngineTrades!$AU$9:$AU$508,$A160),4))</f>
        <v/>
      </c>
      <c r="N160" s="70" t="str">
        <f>IF($A160="","",ROUND(SUMIFS(_EngineTrades!$AD$9:$AD$508,_EngineTrades!$AU$9:$AU$508,$A160),4))</f>
        <v/>
      </c>
      <c r="O160" s="71" t="str">
        <f t="shared" si="33"/>
        <v/>
      </c>
      <c r="P160" s="66">
        <f>IF(OR($A160="",$E160&lt;&gt;"Open"),0,IFERROR(LOOKUP(2,1/(_EngineTrades!$AU$9:$AU$508=$A160),_EngineTrades!$AM$9:$AM$508),0))</f>
        <v>0</v>
      </c>
      <c r="Q160" s="70" t="str">
        <f>IF(OR($A160="",$P160=0),"",ROUND(IFERROR(LOOKUP(2,1/(_EngineTrades!$AU$9:$AU$508=$A160),_EngineTrades!$AN$9:$AN$508),0)/$P160,4))</f>
        <v/>
      </c>
      <c r="R160" s="70">
        <f>IF(OR($A160="",$E160&lt;&gt;"Open"),0,IFERROR(LOOKUP(2,1/(_EngineTrades!$AU$9:$AU$508=$A160),_EngineTrades!$AO$9:$AO$508),0))</f>
        <v>0</v>
      </c>
      <c r="S160" s="70">
        <f>IF(OR($A160="",$E160&lt;&gt;"Open"),0,ROUND($R160+IFERROR(LOOKUP(2,1/(_EngineTrades!$AU$9:$AU$508=$A160),_EngineTrades!$AN$9:$AN$508),0),4))</f>
        <v>0</v>
      </c>
      <c r="T160" s="70" t="str">
        <f>IF($A160="","",ROUND(IFERROR(LOOKUP(2,1/(_EngineTrades!$AU$9:$AU$508=$A160),_EngineTrades!$AT$9:$AT$508),0),4))</f>
        <v/>
      </c>
      <c r="U160" s="70" t="str">
        <f t="shared" si="34"/>
        <v/>
      </c>
      <c r="V160" s="70" t="str">
        <f>IF(AND($A160&lt;&gt;"",$E160="Open",$P160+N(IFERROR(LOOKUP(2,1/(_EngineTrades!$AU$9:$AU$508=$A160),_EngineTrades!$AP$9:$AP$508),0))&gt;0),ROUND(($R160-$O160)/($P160+N(IFERROR(LOOKUP(2,1/(_EngineTrades!$AU$9:$AU$508=$A160),_EngineTrades!$AP$9:$AP$508),0))),4),"")</f>
        <v/>
      </c>
      <c r="W160" s="72" t="str">
        <f>IF($A160="","",MAX(1,IF($G160="",_EngineTrades!$E$3-$F160,$G160-$F160)))</f>
        <v/>
      </c>
      <c r="X160" s="73" t="str">
        <f t="shared" si="35"/>
        <v/>
      </c>
      <c r="Y160" s="73" t="str">
        <f t="shared" si="36"/>
        <v/>
      </c>
      <c r="Z160" s="44">
        <f>IF(Cycles!U160="",0,Cycles!U160)</f>
        <v>0</v>
      </c>
      <c r="AA160" s="44">
        <f>IF(Cycles!V160="",0,Cycles!V160)</f>
        <v>0</v>
      </c>
      <c r="AB160" s="44">
        <f>IF(Cycles!W160="",0,Cycles!W160)</f>
        <v>0</v>
      </c>
      <c r="AC160" s="44">
        <f>IF(Cycles!X160="",0,Cycles!X160)</f>
        <v>0</v>
      </c>
      <c r="AD160" s="70" t="str">
        <f t="shared" si="37"/>
        <v/>
      </c>
      <c r="AE160" s="70" t="str">
        <f t="shared" si="38"/>
        <v/>
      </c>
      <c r="AF160" s="70" t="str">
        <f t="shared" si="39"/>
        <v/>
      </c>
      <c r="AG160" t="str">
        <f>IFERROR(MATCH(ROWS($AG$9:AG160),_EngineTrades!$AW$9:$AW$508,0)+8,"")</f>
        <v/>
      </c>
    </row>
    <row r="161" spans="1:33" ht="15" x14ac:dyDescent="0.25">
      <c r="A161" s="61" t="str">
        <f>IF($AG161="","",IFERROR(INDEX(_EngineTrades!$AU$9:$AU$508,MATCH($AG161,_EngineTrades!$AV$9:$AV$508,0)),""))</f>
        <v/>
      </c>
      <c r="B161" s="61" t="str">
        <f>IF($A161="","",INDEX(_EngineTrades!$B$9:$B$508,MATCH($AG161,_EngineTrades!$AV$9:$AV$508,0)))</f>
        <v/>
      </c>
      <c r="C161" s="61" t="str">
        <f>IF($A161="","",INDEX(_EngineTrades!$T$9:$T$508,MATCH($AG161,_EngineTrades!$AV$9:$AV$508,0)))</f>
        <v/>
      </c>
      <c r="D161" s="47" t="str">
        <f>IF($A161="","",INDEX(_EngineTrades!$C$9:$C$508,MATCH($AG161,_EngineTrades!$AV$9:$AV$508,0)))</f>
        <v/>
      </c>
      <c r="E161" s="62" t="str">
        <f>IF($A161="","",IF(IFERROR(LOOKUP(2,1/(_EngineTrades!$AU$9:$AU$508=$A161),_EngineTrades!$AR$9:$AR$508),FALSE),"Closed","Open"))</f>
        <v/>
      </c>
      <c r="F161" s="63" t="str">
        <f>IF($A161="","",INDEX(_EngineTrades!$E$9:$E$508,$AG161-8))</f>
        <v/>
      </c>
      <c r="G161" s="63" t="str">
        <f>IF(OR($A161="",$E161&lt;&gt;"Closed"),"",IFERROR(INDEX(_EngineTrades!$E$9:$E$508,SUMIFS(_EngineTrades!$AX$9:$AX$508,_EngineTrades!$AU$9:$AU$508,$A161)-8),""))</f>
        <v/>
      </c>
      <c r="H161" s="49" t="str">
        <f>IF($A161="","",ROUND(SUMIFS(_EngineTrades!$Y$9:$Y$508,_EngineTrades!$AU$9:$AU$508,$A161),4))</f>
        <v/>
      </c>
      <c r="I161" s="49" t="str">
        <f>IF($A161="","",ROUND(SUMIFS(_EngineTrades!$Z$9:$Z$508,_EngineTrades!$AU$9:$AU$508,$A161),4))</f>
        <v/>
      </c>
      <c r="J161" s="45" t="str">
        <f t="shared" si="32"/>
        <v/>
      </c>
      <c r="K161" s="49" t="str">
        <f>IF($A161="","",ROUND(SUMIFS(_EngineTrades!$AA$9:$AA$508,_EngineTrades!$AU$9:$AU$508,$A161),4))</f>
        <v/>
      </c>
      <c r="L161" s="49" t="str">
        <f>IF($A161="","",ROUND(SUMIFS(_EngineTrades!$AB$9:$AB$508,_EngineTrades!$AU$9:$AU$508,$A161),4))</f>
        <v/>
      </c>
      <c r="M161" s="49" t="str">
        <f>IF($A161="","",ROUND(SUMIFS(_EngineTrades!$AC$9:$AC$508,_EngineTrades!$AU$9:$AU$508,$A161),4))</f>
        <v/>
      </c>
      <c r="N161" s="49" t="str">
        <f>IF($A161="","",ROUND(SUMIFS(_EngineTrades!$AD$9:$AD$508,_EngineTrades!$AU$9:$AU$508,$A161),4))</f>
        <v/>
      </c>
      <c r="O161" s="45" t="str">
        <f t="shared" si="33"/>
        <v/>
      </c>
      <c r="P161" s="61">
        <f>IF(OR($A161="",$E161&lt;&gt;"Open"),0,IFERROR(LOOKUP(2,1/(_EngineTrades!$AU$9:$AU$508=$A161),_EngineTrades!$AM$9:$AM$508),0))</f>
        <v>0</v>
      </c>
      <c r="Q161" s="49" t="str">
        <f>IF(OR($A161="",$P161=0),"",ROUND(IFERROR(LOOKUP(2,1/(_EngineTrades!$AU$9:$AU$508=$A161),_EngineTrades!$AN$9:$AN$508),0)/$P161,4))</f>
        <v/>
      </c>
      <c r="R161" s="49">
        <f>IF(OR($A161="",$E161&lt;&gt;"Open"),0,IFERROR(LOOKUP(2,1/(_EngineTrades!$AU$9:$AU$508=$A161),_EngineTrades!$AO$9:$AO$508),0))</f>
        <v>0</v>
      </c>
      <c r="S161" s="49">
        <f>IF(OR($A161="",$E161&lt;&gt;"Open"),0,ROUND($R161+IFERROR(LOOKUP(2,1/(_EngineTrades!$AU$9:$AU$508=$A161),_EngineTrades!$AN$9:$AN$508),0),4))</f>
        <v>0</v>
      </c>
      <c r="T161" s="49" t="str">
        <f>IF($A161="","",ROUND(IFERROR(LOOKUP(2,1/(_EngineTrades!$AU$9:$AU$508=$A161),_EngineTrades!$AT$9:$AT$508),0),4))</f>
        <v/>
      </c>
      <c r="U161" s="49" t="str">
        <f t="shared" si="34"/>
        <v/>
      </c>
      <c r="V161" s="49" t="str">
        <f>IF(AND($A161&lt;&gt;"",$E161="Open",$P161+N(IFERROR(LOOKUP(2,1/(_EngineTrades!$AU$9:$AU$508=$A161),_EngineTrades!$AP$9:$AP$508),0))&gt;0),ROUND(($R161-$O161)/($P161+N(IFERROR(LOOKUP(2,1/(_EngineTrades!$AU$9:$AU$508=$A161),_EngineTrades!$AP$9:$AP$508),0))),4),"")</f>
        <v/>
      </c>
      <c r="W161" s="64" t="str">
        <f>IF($A161="","",MAX(1,IF($G161="",_EngineTrades!$E$3-$F161,$G161-$F161)))</f>
        <v/>
      </c>
      <c r="X161" s="65" t="str">
        <f t="shared" si="35"/>
        <v/>
      </c>
      <c r="Y161" s="65" t="str">
        <f t="shared" si="36"/>
        <v/>
      </c>
      <c r="Z161" s="44">
        <f>IF(Cycles!U161="",0,Cycles!U161)</f>
        <v>0</v>
      </c>
      <c r="AA161" s="44">
        <f>IF(Cycles!V161="",0,Cycles!V161)</f>
        <v>0</v>
      </c>
      <c r="AB161" s="44">
        <f>IF(Cycles!W161="",0,Cycles!W161)</f>
        <v>0</v>
      </c>
      <c r="AC161" s="44">
        <f>IF(Cycles!X161="",0,Cycles!X161)</f>
        <v>0</v>
      </c>
      <c r="AD161" s="49" t="str">
        <f t="shared" si="37"/>
        <v/>
      </c>
      <c r="AE161" s="49" t="str">
        <f t="shared" si="38"/>
        <v/>
      </c>
      <c r="AF161" s="49" t="str">
        <f t="shared" si="39"/>
        <v/>
      </c>
      <c r="AG161" t="str">
        <f>IFERROR(MATCH(ROWS($AG$9:AG161),_EngineTrades!$AW$9:$AW$508,0)+8,"")</f>
        <v/>
      </c>
    </row>
    <row r="162" spans="1:33" ht="15" x14ac:dyDescent="0.25">
      <c r="A162" s="66" t="str">
        <f>IF($AG162="","",IFERROR(INDEX(_EngineTrades!$AU$9:$AU$508,MATCH($AG162,_EngineTrades!$AV$9:$AV$508,0)),""))</f>
        <v/>
      </c>
      <c r="B162" s="66" t="str">
        <f>IF($A162="","",INDEX(_EngineTrades!$B$9:$B$508,MATCH($AG162,_EngineTrades!$AV$9:$AV$508,0)))</f>
        <v/>
      </c>
      <c r="C162" s="66" t="str">
        <f>IF($A162="","",INDEX(_EngineTrades!$T$9:$T$508,MATCH($AG162,_EngineTrades!$AV$9:$AV$508,0)))</f>
        <v/>
      </c>
      <c r="D162" s="67" t="str">
        <f>IF($A162="","",INDEX(_EngineTrades!$C$9:$C$508,MATCH($AG162,_EngineTrades!$AV$9:$AV$508,0)))</f>
        <v/>
      </c>
      <c r="E162" s="68" t="str">
        <f>IF($A162="","",IF(IFERROR(LOOKUP(2,1/(_EngineTrades!$AU$9:$AU$508=$A162),_EngineTrades!$AR$9:$AR$508),FALSE),"Closed","Open"))</f>
        <v/>
      </c>
      <c r="F162" s="69" t="str">
        <f>IF($A162="","",INDEX(_EngineTrades!$E$9:$E$508,$AG162-8))</f>
        <v/>
      </c>
      <c r="G162" s="69" t="str">
        <f>IF(OR($A162="",$E162&lt;&gt;"Closed"),"",IFERROR(INDEX(_EngineTrades!$E$9:$E$508,SUMIFS(_EngineTrades!$AX$9:$AX$508,_EngineTrades!$AU$9:$AU$508,$A162)-8),""))</f>
        <v/>
      </c>
      <c r="H162" s="70" t="str">
        <f>IF($A162="","",ROUND(SUMIFS(_EngineTrades!$Y$9:$Y$508,_EngineTrades!$AU$9:$AU$508,$A162),4))</f>
        <v/>
      </c>
      <c r="I162" s="70" t="str">
        <f>IF($A162="","",ROUND(SUMIFS(_EngineTrades!$Z$9:$Z$508,_EngineTrades!$AU$9:$AU$508,$A162),4))</f>
        <v/>
      </c>
      <c r="J162" s="71" t="str">
        <f t="shared" si="32"/>
        <v/>
      </c>
      <c r="K162" s="70" t="str">
        <f>IF($A162="","",ROUND(SUMIFS(_EngineTrades!$AA$9:$AA$508,_EngineTrades!$AU$9:$AU$508,$A162),4))</f>
        <v/>
      </c>
      <c r="L162" s="70" t="str">
        <f>IF($A162="","",ROUND(SUMIFS(_EngineTrades!$AB$9:$AB$508,_EngineTrades!$AU$9:$AU$508,$A162),4))</f>
        <v/>
      </c>
      <c r="M162" s="70" t="str">
        <f>IF($A162="","",ROUND(SUMIFS(_EngineTrades!$AC$9:$AC$508,_EngineTrades!$AU$9:$AU$508,$A162),4))</f>
        <v/>
      </c>
      <c r="N162" s="70" t="str">
        <f>IF($A162="","",ROUND(SUMIFS(_EngineTrades!$AD$9:$AD$508,_EngineTrades!$AU$9:$AU$508,$A162),4))</f>
        <v/>
      </c>
      <c r="O162" s="71" t="str">
        <f t="shared" si="33"/>
        <v/>
      </c>
      <c r="P162" s="66">
        <f>IF(OR($A162="",$E162&lt;&gt;"Open"),0,IFERROR(LOOKUP(2,1/(_EngineTrades!$AU$9:$AU$508=$A162),_EngineTrades!$AM$9:$AM$508),0))</f>
        <v>0</v>
      </c>
      <c r="Q162" s="70" t="str">
        <f>IF(OR($A162="",$P162=0),"",ROUND(IFERROR(LOOKUP(2,1/(_EngineTrades!$AU$9:$AU$508=$A162),_EngineTrades!$AN$9:$AN$508),0)/$P162,4))</f>
        <v/>
      </c>
      <c r="R162" s="70">
        <f>IF(OR($A162="",$E162&lt;&gt;"Open"),0,IFERROR(LOOKUP(2,1/(_EngineTrades!$AU$9:$AU$508=$A162),_EngineTrades!$AO$9:$AO$508),0))</f>
        <v>0</v>
      </c>
      <c r="S162" s="70">
        <f>IF(OR($A162="",$E162&lt;&gt;"Open"),0,ROUND($R162+IFERROR(LOOKUP(2,1/(_EngineTrades!$AU$9:$AU$508=$A162),_EngineTrades!$AN$9:$AN$508),0),4))</f>
        <v>0</v>
      </c>
      <c r="T162" s="70" t="str">
        <f>IF($A162="","",ROUND(IFERROR(LOOKUP(2,1/(_EngineTrades!$AU$9:$AU$508=$A162),_EngineTrades!$AT$9:$AT$508),0),4))</f>
        <v/>
      </c>
      <c r="U162" s="70" t="str">
        <f t="shared" si="34"/>
        <v/>
      </c>
      <c r="V162" s="70" t="str">
        <f>IF(AND($A162&lt;&gt;"",$E162="Open",$P162+N(IFERROR(LOOKUP(2,1/(_EngineTrades!$AU$9:$AU$508=$A162),_EngineTrades!$AP$9:$AP$508),0))&gt;0),ROUND(($R162-$O162)/($P162+N(IFERROR(LOOKUP(2,1/(_EngineTrades!$AU$9:$AU$508=$A162),_EngineTrades!$AP$9:$AP$508),0))),4),"")</f>
        <v/>
      </c>
      <c r="W162" s="72" t="str">
        <f>IF($A162="","",MAX(1,IF($G162="",_EngineTrades!$E$3-$F162,$G162-$F162)))</f>
        <v/>
      </c>
      <c r="X162" s="73" t="str">
        <f t="shared" si="35"/>
        <v/>
      </c>
      <c r="Y162" s="73" t="str">
        <f t="shared" si="36"/>
        <v/>
      </c>
      <c r="Z162" s="44">
        <f>IF(Cycles!U162="",0,Cycles!U162)</f>
        <v>0</v>
      </c>
      <c r="AA162" s="44">
        <f>IF(Cycles!V162="",0,Cycles!V162)</f>
        <v>0</v>
      </c>
      <c r="AB162" s="44">
        <f>IF(Cycles!W162="",0,Cycles!W162)</f>
        <v>0</v>
      </c>
      <c r="AC162" s="44">
        <f>IF(Cycles!X162="",0,Cycles!X162)</f>
        <v>0</v>
      </c>
      <c r="AD162" s="70" t="str">
        <f t="shared" si="37"/>
        <v/>
      </c>
      <c r="AE162" s="70" t="str">
        <f t="shared" si="38"/>
        <v/>
      </c>
      <c r="AF162" s="70" t="str">
        <f t="shared" si="39"/>
        <v/>
      </c>
      <c r="AG162" t="str">
        <f>IFERROR(MATCH(ROWS($AG$9:AG162),_EngineTrades!$AW$9:$AW$508,0)+8,"")</f>
        <v/>
      </c>
    </row>
    <row r="163" spans="1:33" ht="15" x14ac:dyDescent="0.25">
      <c r="A163" s="61" t="str">
        <f>IF($AG163="","",IFERROR(INDEX(_EngineTrades!$AU$9:$AU$508,MATCH($AG163,_EngineTrades!$AV$9:$AV$508,0)),""))</f>
        <v/>
      </c>
      <c r="B163" s="61" t="str">
        <f>IF($A163="","",INDEX(_EngineTrades!$B$9:$B$508,MATCH($AG163,_EngineTrades!$AV$9:$AV$508,0)))</f>
        <v/>
      </c>
      <c r="C163" s="61" t="str">
        <f>IF($A163="","",INDEX(_EngineTrades!$T$9:$T$508,MATCH($AG163,_EngineTrades!$AV$9:$AV$508,0)))</f>
        <v/>
      </c>
      <c r="D163" s="47" t="str">
        <f>IF($A163="","",INDEX(_EngineTrades!$C$9:$C$508,MATCH($AG163,_EngineTrades!$AV$9:$AV$508,0)))</f>
        <v/>
      </c>
      <c r="E163" s="62" t="str">
        <f>IF($A163="","",IF(IFERROR(LOOKUP(2,1/(_EngineTrades!$AU$9:$AU$508=$A163),_EngineTrades!$AR$9:$AR$508),FALSE),"Closed","Open"))</f>
        <v/>
      </c>
      <c r="F163" s="63" t="str">
        <f>IF($A163="","",INDEX(_EngineTrades!$E$9:$E$508,$AG163-8))</f>
        <v/>
      </c>
      <c r="G163" s="63" t="str">
        <f>IF(OR($A163="",$E163&lt;&gt;"Closed"),"",IFERROR(INDEX(_EngineTrades!$E$9:$E$508,SUMIFS(_EngineTrades!$AX$9:$AX$508,_EngineTrades!$AU$9:$AU$508,$A163)-8),""))</f>
        <v/>
      </c>
      <c r="H163" s="49" t="str">
        <f>IF($A163="","",ROUND(SUMIFS(_EngineTrades!$Y$9:$Y$508,_EngineTrades!$AU$9:$AU$508,$A163),4))</f>
        <v/>
      </c>
      <c r="I163" s="49" t="str">
        <f>IF($A163="","",ROUND(SUMIFS(_EngineTrades!$Z$9:$Z$508,_EngineTrades!$AU$9:$AU$508,$A163),4))</f>
        <v/>
      </c>
      <c r="J163" s="45" t="str">
        <f t="shared" si="32"/>
        <v/>
      </c>
      <c r="K163" s="49" t="str">
        <f>IF($A163="","",ROUND(SUMIFS(_EngineTrades!$AA$9:$AA$508,_EngineTrades!$AU$9:$AU$508,$A163),4))</f>
        <v/>
      </c>
      <c r="L163" s="49" t="str">
        <f>IF($A163="","",ROUND(SUMIFS(_EngineTrades!$AB$9:$AB$508,_EngineTrades!$AU$9:$AU$508,$A163),4))</f>
        <v/>
      </c>
      <c r="M163" s="49" t="str">
        <f>IF($A163="","",ROUND(SUMIFS(_EngineTrades!$AC$9:$AC$508,_EngineTrades!$AU$9:$AU$508,$A163),4))</f>
        <v/>
      </c>
      <c r="N163" s="49" t="str">
        <f>IF($A163="","",ROUND(SUMIFS(_EngineTrades!$AD$9:$AD$508,_EngineTrades!$AU$9:$AU$508,$A163),4))</f>
        <v/>
      </c>
      <c r="O163" s="45" t="str">
        <f t="shared" si="33"/>
        <v/>
      </c>
      <c r="P163" s="61">
        <f>IF(OR($A163="",$E163&lt;&gt;"Open"),0,IFERROR(LOOKUP(2,1/(_EngineTrades!$AU$9:$AU$508=$A163),_EngineTrades!$AM$9:$AM$508),0))</f>
        <v>0</v>
      </c>
      <c r="Q163" s="49" t="str">
        <f>IF(OR($A163="",$P163=0),"",ROUND(IFERROR(LOOKUP(2,1/(_EngineTrades!$AU$9:$AU$508=$A163),_EngineTrades!$AN$9:$AN$508),0)/$P163,4))</f>
        <v/>
      </c>
      <c r="R163" s="49">
        <f>IF(OR($A163="",$E163&lt;&gt;"Open"),0,IFERROR(LOOKUP(2,1/(_EngineTrades!$AU$9:$AU$508=$A163),_EngineTrades!$AO$9:$AO$508),0))</f>
        <v>0</v>
      </c>
      <c r="S163" s="49">
        <f>IF(OR($A163="",$E163&lt;&gt;"Open"),0,ROUND($R163+IFERROR(LOOKUP(2,1/(_EngineTrades!$AU$9:$AU$508=$A163),_EngineTrades!$AN$9:$AN$508),0),4))</f>
        <v>0</v>
      </c>
      <c r="T163" s="49" t="str">
        <f>IF($A163="","",ROUND(IFERROR(LOOKUP(2,1/(_EngineTrades!$AU$9:$AU$508=$A163),_EngineTrades!$AT$9:$AT$508),0),4))</f>
        <v/>
      </c>
      <c r="U163" s="49" t="str">
        <f t="shared" si="34"/>
        <v/>
      </c>
      <c r="V163" s="49" t="str">
        <f>IF(AND($A163&lt;&gt;"",$E163="Open",$P163+N(IFERROR(LOOKUP(2,1/(_EngineTrades!$AU$9:$AU$508=$A163),_EngineTrades!$AP$9:$AP$508),0))&gt;0),ROUND(($R163-$O163)/($P163+N(IFERROR(LOOKUP(2,1/(_EngineTrades!$AU$9:$AU$508=$A163),_EngineTrades!$AP$9:$AP$508),0))),4),"")</f>
        <v/>
      </c>
      <c r="W163" s="64" t="str">
        <f>IF($A163="","",MAX(1,IF($G163="",_EngineTrades!$E$3-$F163,$G163-$F163)))</f>
        <v/>
      </c>
      <c r="X163" s="65" t="str">
        <f t="shared" si="35"/>
        <v/>
      </c>
      <c r="Y163" s="65" t="str">
        <f t="shared" si="36"/>
        <v/>
      </c>
      <c r="Z163" s="44">
        <f>IF(Cycles!U163="",0,Cycles!U163)</f>
        <v>0</v>
      </c>
      <c r="AA163" s="44">
        <f>IF(Cycles!V163="",0,Cycles!V163)</f>
        <v>0</v>
      </c>
      <c r="AB163" s="44">
        <f>IF(Cycles!W163="",0,Cycles!W163)</f>
        <v>0</v>
      </c>
      <c r="AC163" s="44">
        <f>IF(Cycles!X163="",0,Cycles!X163)</f>
        <v>0</v>
      </c>
      <c r="AD163" s="49" t="str">
        <f t="shared" si="37"/>
        <v/>
      </c>
      <c r="AE163" s="49" t="str">
        <f t="shared" si="38"/>
        <v/>
      </c>
      <c r="AF163" s="49" t="str">
        <f t="shared" si="39"/>
        <v/>
      </c>
      <c r="AG163" t="str">
        <f>IFERROR(MATCH(ROWS($AG$9:AG163),_EngineTrades!$AW$9:$AW$508,0)+8,"")</f>
        <v/>
      </c>
    </row>
    <row r="164" spans="1:33" ht="15" x14ac:dyDescent="0.25">
      <c r="A164" s="66" t="str">
        <f>IF($AG164="","",IFERROR(INDEX(_EngineTrades!$AU$9:$AU$508,MATCH($AG164,_EngineTrades!$AV$9:$AV$508,0)),""))</f>
        <v/>
      </c>
      <c r="B164" s="66" t="str">
        <f>IF($A164="","",INDEX(_EngineTrades!$B$9:$B$508,MATCH($AG164,_EngineTrades!$AV$9:$AV$508,0)))</f>
        <v/>
      </c>
      <c r="C164" s="66" t="str">
        <f>IF($A164="","",INDEX(_EngineTrades!$T$9:$T$508,MATCH($AG164,_EngineTrades!$AV$9:$AV$508,0)))</f>
        <v/>
      </c>
      <c r="D164" s="67" t="str">
        <f>IF($A164="","",INDEX(_EngineTrades!$C$9:$C$508,MATCH($AG164,_EngineTrades!$AV$9:$AV$508,0)))</f>
        <v/>
      </c>
      <c r="E164" s="68" t="str">
        <f>IF($A164="","",IF(IFERROR(LOOKUP(2,1/(_EngineTrades!$AU$9:$AU$508=$A164),_EngineTrades!$AR$9:$AR$508),FALSE),"Closed","Open"))</f>
        <v/>
      </c>
      <c r="F164" s="69" t="str">
        <f>IF($A164="","",INDEX(_EngineTrades!$E$9:$E$508,$AG164-8))</f>
        <v/>
      </c>
      <c r="G164" s="69" t="str">
        <f>IF(OR($A164="",$E164&lt;&gt;"Closed"),"",IFERROR(INDEX(_EngineTrades!$E$9:$E$508,SUMIFS(_EngineTrades!$AX$9:$AX$508,_EngineTrades!$AU$9:$AU$508,$A164)-8),""))</f>
        <v/>
      </c>
      <c r="H164" s="70" t="str">
        <f>IF($A164="","",ROUND(SUMIFS(_EngineTrades!$Y$9:$Y$508,_EngineTrades!$AU$9:$AU$508,$A164),4))</f>
        <v/>
      </c>
      <c r="I164" s="70" t="str">
        <f>IF($A164="","",ROUND(SUMIFS(_EngineTrades!$Z$9:$Z$508,_EngineTrades!$AU$9:$AU$508,$A164),4))</f>
        <v/>
      </c>
      <c r="J164" s="71" t="str">
        <f t="shared" si="32"/>
        <v/>
      </c>
      <c r="K164" s="70" t="str">
        <f>IF($A164="","",ROUND(SUMIFS(_EngineTrades!$AA$9:$AA$508,_EngineTrades!$AU$9:$AU$508,$A164),4))</f>
        <v/>
      </c>
      <c r="L164" s="70" t="str">
        <f>IF($A164="","",ROUND(SUMIFS(_EngineTrades!$AB$9:$AB$508,_EngineTrades!$AU$9:$AU$508,$A164),4))</f>
        <v/>
      </c>
      <c r="M164" s="70" t="str">
        <f>IF($A164="","",ROUND(SUMIFS(_EngineTrades!$AC$9:$AC$508,_EngineTrades!$AU$9:$AU$508,$A164),4))</f>
        <v/>
      </c>
      <c r="N164" s="70" t="str">
        <f>IF($A164="","",ROUND(SUMIFS(_EngineTrades!$AD$9:$AD$508,_EngineTrades!$AU$9:$AU$508,$A164),4))</f>
        <v/>
      </c>
      <c r="O164" s="71" t="str">
        <f t="shared" si="33"/>
        <v/>
      </c>
      <c r="P164" s="66">
        <f>IF(OR($A164="",$E164&lt;&gt;"Open"),0,IFERROR(LOOKUP(2,1/(_EngineTrades!$AU$9:$AU$508=$A164),_EngineTrades!$AM$9:$AM$508),0))</f>
        <v>0</v>
      </c>
      <c r="Q164" s="70" t="str">
        <f>IF(OR($A164="",$P164=0),"",ROUND(IFERROR(LOOKUP(2,1/(_EngineTrades!$AU$9:$AU$508=$A164),_EngineTrades!$AN$9:$AN$508),0)/$P164,4))</f>
        <v/>
      </c>
      <c r="R164" s="70">
        <f>IF(OR($A164="",$E164&lt;&gt;"Open"),0,IFERROR(LOOKUP(2,1/(_EngineTrades!$AU$9:$AU$508=$A164),_EngineTrades!$AO$9:$AO$508),0))</f>
        <v>0</v>
      </c>
      <c r="S164" s="70">
        <f>IF(OR($A164="",$E164&lt;&gt;"Open"),0,ROUND($R164+IFERROR(LOOKUP(2,1/(_EngineTrades!$AU$9:$AU$508=$A164),_EngineTrades!$AN$9:$AN$508),0),4))</f>
        <v>0</v>
      </c>
      <c r="T164" s="70" t="str">
        <f>IF($A164="","",ROUND(IFERROR(LOOKUP(2,1/(_EngineTrades!$AU$9:$AU$508=$A164),_EngineTrades!$AT$9:$AT$508),0),4))</f>
        <v/>
      </c>
      <c r="U164" s="70" t="str">
        <f t="shared" si="34"/>
        <v/>
      </c>
      <c r="V164" s="70" t="str">
        <f>IF(AND($A164&lt;&gt;"",$E164="Open",$P164+N(IFERROR(LOOKUP(2,1/(_EngineTrades!$AU$9:$AU$508=$A164),_EngineTrades!$AP$9:$AP$508),0))&gt;0),ROUND(($R164-$O164)/($P164+N(IFERROR(LOOKUP(2,1/(_EngineTrades!$AU$9:$AU$508=$A164),_EngineTrades!$AP$9:$AP$508),0))),4),"")</f>
        <v/>
      </c>
      <c r="W164" s="72" t="str">
        <f>IF($A164="","",MAX(1,IF($G164="",_EngineTrades!$E$3-$F164,$G164-$F164)))</f>
        <v/>
      </c>
      <c r="X164" s="73" t="str">
        <f t="shared" si="35"/>
        <v/>
      </c>
      <c r="Y164" s="73" t="str">
        <f t="shared" si="36"/>
        <v/>
      </c>
      <c r="Z164" s="44">
        <f>IF(Cycles!U164="",0,Cycles!U164)</f>
        <v>0</v>
      </c>
      <c r="AA164" s="44">
        <f>IF(Cycles!V164="",0,Cycles!V164)</f>
        <v>0</v>
      </c>
      <c r="AB164" s="44">
        <f>IF(Cycles!W164="",0,Cycles!W164)</f>
        <v>0</v>
      </c>
      <c r="AC164" s="44">
        <f>IF(Cycles!X164="",0,Cycles!X164)</f>
        <v>0</v>
      </c>
      <c r="AD164" s="70" t="str">
        <f t="shared" si="37"/>
        <v/>
      </c>
      <c r="AE164" s="70" t="str">
        <f t="shared" si="38"/>
        <v/>
      </c>
      <c r="AF164" s="70" t="str">
        <f t="shared" si="39"/>
        <v/>
      </c>
      <c r="AG164" t="str">
        <f>IFERROR(MATCH(ROWS($AG$9:AG164),_EngineTrades!$AW$9:$AW$508,0)+8,"")</f>
        <v/>
      </c>
    </row>
    <row r="165" spans="1:33" ht="15" x14ac:dyDescent="0.25">
      <c r="A165" s="61" t="str">
        <f>IF($AG165="","",IFERROR(INDEX(_EngineTrades!$AU$9:$AU$508,MATCH($AG165,_EngineTrades!$AV$9:$AV$508,0)),""))</f>
        <v/>
      </c>
      <c r="B165" s="61" t="str">
        <f>IF($A165="","",INDEX(_EngineTrades!$B$9:$B$508,MATCH($AG165,_EngineTrades!$AV$9:$AV$508,0)))</f>
        <v/>
      </c>
      <c r="C165" s="61" t="str">
        <f>IF($A165="","",INDEX(_EngineTrades!$T$9:$T$508,MATCH($AG165,_EngineTrades!$AV$9:$AV$508,0)))</f>
        <v/>
      </c>
      <c r="D165" s="47" t="str">
        <f>IF($A165="","",INDEX(_EngineTrades!$C$9:$C$508,MATCH($AG165,_EngineTrades!$AV$9:$AV$508,0)))</f>
        <v/>
      </c>
      <c r="E165" s="62" t="str">
        <f>IF($A165="","",IF(IFERROR(LOOKUP(2,1/(_EngineTrades!$AU$9:$AU$508=$A165),_EngineTrades!$AR$9:$AR$508),FALSE),"Closed","Open"))</f>
        <v/>
      </c>
      <c r="F165" s="63" t="str">
        <f>IF($A165="","",INDEX(_EngineTrades!$E$9:$E$508,$AG165-8))</f>
        <v/>
      </c>
      <c r="G165" s="63" t="str">
        <f>IF(OR($A165="",$E165&lt;&gt;"Closed"),"",IFERROR(INDEX(_EngineTrades!$E$9:$E$508,SUMIFS(_EngineTrades!$AX$9:$AX$508,_EngineTrades!$AU$9:$AU$508,$A165)-8),""))</f>
        <v/>
      </c>
      <c r="H165" s="49" t="str">
        <f>IF($A165="","",ROUND(SUMIFS(_EngineTrades!$Y$9:$Y$508,_EngineTrades!$AU$9:$AU$508,$A165),4))</f>
        <v/>
      </c>
      <c r="I165" s="49" t="str">
        <f>IF($A165="","",ROUND(SUMIFS(_EngineTrades!$Z$9:$Z$508,_EngineTrades!$AU$9:$AU$508,$A165),4))</f>
        <v/>
      </c>
      <c r="J165" s="45" t="str">
        <f t="shared" si="32"/>
        <v/>
      </c>
      <c r="K165" s="49" t="str">
        <f>IF($A165="","",ROUND(SUMIFS(_EngineTrades!$AA$9:$AA$508,_EngineTrades!$AU$9:$AU$508,$A165),4))</f>
        <v/>
      </c>
      <c r="L165" s="49" t="str">
        <f>IF($A165="","",ROUND(SUMIFS(_EngineTrades!$AB$9:$AB$508,_EngineTrades!$AU$9:$AU$508,$A165),4))</f>
        <v/>
      </c>
      <c r="M165" s="49" t="str">
        <f>IF($A165="","",ROUND(SUMIFS(_EngineTrades!$AC$9:$AC$508,_EngineTrades!$AU$9:$AU$508,$A165),4))</f>
        <v/>
      </c>
      <c r="N165" s="49" t="str">
        <f>IF($A165="","",ROUND(SUMIFS(_EngineTrades!$AD$9:$AD$508,_EngineTrades!$AU$9:$AU$508,$A165),4))</f>
        <v/>
      </c>
      <c r="O165" s="45" t="str">
        <f t="shared" si="33"/>
        <v/>
      </c>
      <c r="P165" s="61">
        <f>IF(OR($A165="",$E165&lt;&gt;"Open"),0,IFERROR(LOOKUP(2,1/(_EngineTrades!$AU$9:$AU$508=$A165),_EngineTrades!$AM$9:$AM$508),0))</f>
        <v>0</v>
      </c>
      <c r="Q165" s="49" t="str">
        <f>IF(OR($A165="",$P165=0),"",ROUND(IFERROR(LOOKUP(2,1/(_EngineTrades!$AU$9:$AU$508=$A165),_EngineTrades!$AN$9:$AN$508),0)/$P165,4))</f>
        <v/>
      </c>
      <c r="R165" s="49">
        <f>IF(OR($A165="",$E165&lt;&gt;"Open"),0,IFERROR(LOOKUP(2,1/(_EngineTrades!$AU$9:$AU$508=$A165),_EngineTrades!$AO$9:$AO$508),0))</f>
        <v>0</v>
      </c>
      <c r="S165" s="49">
        <f>IF(OR($A165="",$E165&lt;&gt;"Open"),0,ROUND($R165+IFERROR(LOOKUP(2,1/(_EngineTrades!$AU$9:$AU$508=$A165),_EngineTrades!$AN$9:$AN$508),0),4))</f>
        <v>0</v>
      </c>
      <c r="T165" s="49" t="str">
        <f>IF($A165="","",ROUND(IFERROR(LOOKUP(2,1/(_EngineTrades!$AU$9:$AU$508=$A165),_EngineTrades!$AT$9:$AT$508),0),4))</f>
        <v/>
      </c>
      <c r="U165" s="49" t="str">
        <f t="shared" si="34"/>
        <v/>
      </c>
      <c r="V165" s="49" t="str">
        <f>IF(AND($A165&lt;&gt;"",$E165="Open",$P165+N(IFERROR(LOOKUP(2,1/(_EngineTrades!$AU$9:$AU$508=$A165),_EngineTrades!$AP$9:$AP$508),0))&gt;0),ROUND(($R165-$O165)/($P165+N(IFERROR(LOOKUP(2,1/(_EngineTrades!$AU$9:$AU$508=$A165),_EngineTrades!$AP$9:$AP$508),0))),4),"")</f>
        <v/>
      </c>
      <c r="W165" s="64" t="str">
        <f>IF($A165="","",MAX(1,IF($G165="",_EngineTrades!$E$3-$F165,$G165-$F165)))</f>
        <v/>
      </c>
      <c r="X165" s="65" t="str">
        <f t="shared" si="35"/>
        <v/>
      </c>
      <c r="Y165" s="65" t="str">
        <f t="shared" si="36"/>
        <v/>
      </c>
      <c r="Z165" s="44">
        <f>IF(Cycles!U165="",0,Cycles!U165)</f>
        <v>0</v>
      </c>
      <c r="AA165" s="44">
        <f>IF(Cycles!V165="",0,Cycles!V165)</f>
        <v>0</v>
      </c>
      <c r="AB165" s="44">
        <f>IF(Cycles!W165="",0,Cycles!W165)</f>
        <v>0</v>
      </c>
      <c r="AC165" s="44">
        <f>IF(Cycles!X165="",0,Cycles!X165)</f>
        <v>0</v>
      </c>
      <c r="AD165" s="49" t="str">
        <f t="shared" si="37"/>
        <v/>
      </c>
      <c r="AE165" s="49" t="str">
        <f t="shared" si="38"/>
        <v/>
      </c>
      <c r="AF165" s="49" t="str">
        <f t="shared" si="39"/>
        <v/>
      </c>
      <c r="AG165" t="str">
        <f>IFERROR(MATCH(ROWS($AG$9:AG165),_EngineTrades!$AW$9:$AW$508,0)+8,"")</f>
        <v/>
      </c>
    </row>
    <row r="166" spans="1:33" ht="15" x14ac:dyDescent="0.25">
      <c r="A166" s="66" t="str">
        <f>IF($AG166="","",IFERROR(INDEX(_EngineTrades!$AU$9:$AU$508,MATCH($AG166,_EngineTrades!$AV$9:$AV$508,0)),""))</f>
        <v/>
      </c>
      <c r="B166" s="66" t="str">
        <f>IF($A166="","",INDEX(_EngineTrades!$B$9:$B$508,MATCH($AG166,_EngineTrades!$AV$9:$AV$508,0)))</f>
        <v/>
      </c>
      <c r="C166" s="66" t="str">
        <f>IF($A166="","",INDEX(_EngineTrades!$T$9:$T$508,MATCH($AG166,_EngineTrades!$AV$9:$AV$508,0)))</f>
        <v/>
      </c>
      <c r="D166" s="67" t="str">
        <f>IF($A166="","",INDEX(_EngineTrades!$C$9:$C$508,MATCH($AG166,_EngineTrades!$AV$9:$AV$508,0)))</f>
        <v/>
      </c>
      <c r="E166" s="68" t="str">
        <f>IF($A166="","",IF(IFERROR(LOOKUP(2,1/(_EngineTrades!$AU$9:$AU$508=$A166),_EngineTrades!$AR$9:$AR$508),FALSE),"Closed","Open"))</f>
        <v/>
      </c>
      <c r="F166" s="69" t="str">
        <f>IF($A166="","",INDEX(_EngineTrades!$E$9:$E$508,$AG166-8))</f>
        <v/>
      </c>
      <c r="G166" s="69" t="str">
        <f>IF(OR($A166="",$E166&lt;&gt;"Closed"),"",IFERROR(INDEX(_EngineTrades!$E$9:$E$508,SUMIFS(_EngineTrades!$AX$9:$AX$508,_EngineTrades!$AU$9:$AU$508,$A166)-8),""))</f>
        <v/>
      </c>
      <c r="H166" s="70" t="str">
        <f>IF($A166="","",ROUND(SUMIFS(_EngineTrades!$Y$9:$Y$508,_EngineTrades!$AU$9:$AU$508,$A166),4))</f>
        <v/>
      </c>
      <c r="I166" s="70" t="str">
        <f>IF($A166="","",ROUND(SUMIFS(_EngineTrades!$Z$9:$Z$508,_EngineTrades!$AU$9:$AU$508,$A166),4))</f>
        <v/>
      </c>
      <c r="J166" s="71" t="str">
        <f t="shared" si="32"/>
        <v/>
      </c>
      <c r="K166" s="70" t="str">
        <f>IF($A166="","",ROUND(SUMIFS(_EngineTrades!$AA$9:$AA$508,_EngineTrades!$AU$9:$AU$508,$A166),4))</f>
        <v/>
      </c>
      <c r="L166" s="70" t="str">
        <f>IF($A166="","",ROUND(SUMIFS(_EngineTrades!$AB$9:$AB$508,_EngineTrades!$AU$9:$AU$508,$A166),4))</f>
        <v/>
      </c>
      <c r="M166" s="70" t="str">
        <f>IF($A166="","",ROUND(SUMIFS(_EngineTrades!$AC$9:$AC$508,_EngineTrades!$AU$9:$AU$508,$A166),4))</f>
        <v/>
      </c>
      <c r="N166" s="70" t="str">
        <f>IF($A166="","",ROUND(SUMIFS(_EngineTrades!$AD$9:$AD$508,_EngineTrades!$AU$9:$AU$508,$A166),4))</f>
        <v/>
      </c>
      <c r="O166" s="71" t="str">
        <f t="shared" si="33"/>
        <v/>
      </c>
      <c r="P166" s="66">
        <f>IF(OR($A166="",$E166&lt;&gt;"Open"),0,IFERROR(LOOKUP(2,1/(_EngineTrades!$AU$9:$AU$508=$A166),_EngineTrades!$AM$9:$AM$508),0))</f>
        <v>0</v>
      </c>
      <c r="Q166" s="70" t="str">
        <f>IF(OR($A166="",$P166=0),"",ROUND(IFERROR(LOOKUP(2,1/(_EngineTrades!$AU$9:$AU$508=$A166),_EngineTrades!$AN$9:$AN$508),0)/$P166,4))</f>
        <v/>
      </c>
      <c r="R166" s="70">
        <f>IF(OR($A166="",$E166&lt;&gt;"Open"),0,IFERROR(LOOKUP(2,1/(_EngineTrades!$AU$9:$AU$508=$A166),_EngineTrades!$AO$9:$AO$508),0))</f>
        <v>0</v>
      </c>
      <c r="S166" s="70">
        <f>IF(OR($A166="",$E166&lt;&gt;"Open"),0,ROUND($R166+IFERROR(LOOKUP(2,1/(_EngineTrades!$AU$9:$AU$508=$A166),_EngineTrades!$AN$9:$AN$508),0),4))</f>
        <v>0</v>
      </c>
      <c r="T166" s="70" t="str">
        <f>IF($A166="","",ROUND(IFERROR(LOOKUP(2,1/(_EngineTrades!$AU$9:$AU$508=$A166),_EngineTrades!$AT$9:$AT$508),0),4))</f>
        <v/>
      </c>
      <c r="U166" s="70" t="str">
        <f t="shared" si="34"/>
        <v/>
      </c>
      <c r="V166" s="70" t="str">
        <f>IF(AND($A166&lt;&gt;"",$E166="Open",$P166+N(IFERROR(LOOKUP(2,1/(_EngineTrades!$AU$9:$AU$508=$A166),_EngineTrades!$AP$9:$AP$508),0))&gt;0),ROUND(($R166-$O166)/($P166+N(IFERROR(LOOKUP(2,1/(_EngineTrades!$AU$9:$AU$508=$A166),_EngineTrades!$AP$9:$AP$508),0))),4),"")</f>
        <v/>
      </c>
      <c r="W166" s="72" t="str">
        <f>IF($A166="","",MAX(1,IF($G166="",_EngineTrades!$E$3-$F166,$G166-$F166)))</f>
        <v/>
      </c>
      <c r="X166" s="73" t="str">
        <f t="shared" si="35"/>
        <v/>
      </c>
      <c r="Y166" s="73" t="str">
        <f t="shared" si="36"/>
        <v/>
      </c>
      <c r="Z166" s="44">
        <f>IF(Cycles!U166="",0,Cycles!U166)</f>
        <v>0</v>
      </c>
      <c r="AA166" s="44">
        <f>IF(Cycles!V166="",0,Cycles!V166)</f>
        <v>0</v>
      </c>
      <c r="AB166" s="44">
        <f>IF(Cycles!W166="",0,Cycles!W166)</f>
        <v>0</v>
      </c>
      <c r="AC166" s="44">
        <f>IF(Cycles!X166="",0,Cycles!X166)</f>
        <v>0</v>
      </c>
      <c r="AD166" s="70" t="str">
        <f t="shared" si="37"/>
        <v/>
      </c>
      <c r="AE166" s="70" t="str">
        <f t="shared" si="38"/>
        <v/>
      </c>
      <c r="AF166" s="70" t="str">
        <f t="shared" si="39"/>
        <v/>
      </c>
      <c r="AG166" t="str">
        <f>IFERROR(MATCH(ROWS($AG$9:AG166),_EngineTrades!$AW$9:$AW$508,0)+8,"")</f>
        <v/>
      </c>
    </row>
    <row r="167" spans="1:33" ht="15" x14ac:dyDescent="0.25">
      <c r="A167" s="61" t="str">
        <f>IF($AG167="","",IFERROR(INDEX(_EngineTrades!$AU$9:$AU$508,MATCH($AG167,_EngineTrades!$AV$9:$AV$508,0)),""))</f>
        <v/>
      </c>
      <c r="B167" s="61" t="str">
        <f>IF($A167="","",INDEX(_EngineTrades!$B$9:$B$508,MATCH($AG167,_EngineTrades!$AV$9:$AV$508,0)))</f>
        <v/>
      </c>
      <c r="C167" s="61" t="str">
        <f>IF($A167="","",INDEX(_EngineTrades!$T$9:$T$508,MATCH($AG167,_EngineTrades!$AV$9:$AV$508,0)))</f>
        <v/>
      </c>
      <c r="D167" s="47" t="str">
        <f>IF($A167="","",INDEX(_EngineTrades!$C$9:$C$508,MATCH($AG167,_EngineTrades!$AV$9:$AV$508,0)))</f>
        <v/>
      </c>
      <c r="E167" s="62" t="str">
        <f>IF($A167="","",IF(IFERROR(LOOKUP(2,1/(_EngineTrades!$AU$9:$AU$508=$A167),_EngineTrades!$AR$9:$AR$508),FALSE),"Closed","Open"))</f>
        <v/>
      </c>
      <c r="F167" s="63" t="str">
        <f>IF($A167="","",INDEX(_EngineTrades!$E$9:$E$508,$AG167-8))</f>
        <v/>
      </c>
      <c r="G167" s="63" t="str">
        <f>IF(OR($A167="",$E167&lt;&gt;"Closed"),"",IFERROR(INDEX(_EngineTrades!$E$9:$E$508,SUMIFS(_EngineTrades!$AX$9:$AX$508,_EngineTrades!$AU$9:$AU$508,$A167)-8),""))</f>
        <v/>
      </c>
      <c r="H167" s="49" t="str">
        <f>IF($A167="","",ROUND(SUMIFS(_EngineTrades!$Y$9:$Y$508,_EngineTrades!$AU$9:$AU$508,$A167),4))</f>
        <v/>
      </c>
      <c r="I167" s="49" t="str">
        <f>IF($A167="","",ROUND(SUMIFS(_EngineTrades!$Z$9:$Z$508,_EngineTrades!$AU$9:$AU$508,$A167),4))</f>
        <v/>
      </c>
      <c r="J167" s="45" t="str">
        <f t="shared" si="32"/>
        <v/>
      </c>
      <c r="K167" s="49" t="str">
        <f>IF($A167="","",ROUND(SUMIFS(_EngineTrades!$AA$9:$AA$508,_EngineTrades!$AU$9:$AU$508,$A167),4))</f>
        <v/>
      </c>
      <c r="L167" s="49" t="str">
        <f>IF($A167="","",ROUND(SUMIFS(_EngineTrades!$AB$9:$AB$508,_EngineTrades!$AU$9:$AU$508,$A167),4))</f>
        <v/>
      </c>
      <c r="M167" s="49" t="str">
        <f>IF($A167="","",ROUND(SUMIFS(_EngineTrades!$AC$9:$AC$508,_EngineTrades!$AU$9:$AU$508,$A167),4))</f>
        <v/>
      </c>
      <c r="N167" s="49" t="str">
        <f>IF($A167="","",ROUND(SUMIFS(_EngineTrades!$AD$9:$AD$508,_EngineTrades!$AU$9:$AU$508,$A167),4))</f>
        <v/>
      </c>
      <c r="O167" s="45" t="str">
        <f t="shared" si="33"/>
        <v/>
      </c>
      <c r="P167" s="61">
        <f>IF(OR($A167="",$E167&lt;&gt;"Open"),0,IFERROR(LOOKUP(2,1/(_EngineTrades!$AU$9:$AU$508=$A167),_EngineTrades!$AM$9:$AM$508),0))</f>
        <v>0</v>
      </c>
      <c r="Q167" s="49" t="str">
        <f>IF(OR($A167="",$P167=0),"",ROUND(IFERROR(LOOKUP(2,1/(_EngineTrades!$AU$9:$AU$508=$A167),_EngineTrades!$AN$9:$AN$508),0)/$P167,4))</f>
        <v/>
      </c>
      <c r="R167" s="49">
        <f>IF(OR($A167="",$E167&lt;&gt;"Open"),0,IFERROR(LOOKUP(2,1/(_EngineTrades!$AU$9:$AU$508=$A167),_EngineTrades!$AO$9:$AO$508),0))</f>
        <v>0</v>
      </c>
      <c r="S167" s="49">
        <f>IF(OR($A167="",$E167&lt;&gt;"Open"),0,ROUND($R167+IFERROR(LOOKUP(2,1/(_EngineTrades!$AU$9:$AU$508=$A167),_EngineTrades!$AN$9:$AN$508),0),4))</f>
        <v>0</v>
      </c>
      <c r="T167" s="49" t="str">
        <f>IF($A167="","",ROUND(IFERROR(LOOKUP(2,1/(_EngineTrades!$AU$9:$AU$508=$A167),_EngineTrades!$AT$9:$AT$508),0),4))</f>
        <v/>
      </c>
      <c r="U167" s="49" t="str">
        <f t="shared" si="34"/>
        <v/>
      </c>
      <c r="V167" s="49" t="str">
        <f>IF(AND($A167&lt;&gt;"",$E167="Open",$P167+N(IFERROR(LOOKUP(2,1/(_EngineTrades!$AU$9:$AU$508=$A167),_EngineTrades!$AP$9:$AP$508),0))&gt;0),ROUND(($R167-$O167)/($P167+N(IFERROR(LOOKUP(2,1/(_EngineTrades!$AU$9:$AU$508=$A167),_EngineTrades!$AP$9:$AP$508),0))),4),"")</f>
        <v/>
      </c>
      <c r="W167" s="64" t="str">
        <f>IF($A167="","",MAX(1,IF($G167="",_EngineTrades!$E$3-$F167,$G167-$F167)))</f>
        <v/>
      </c>
      <c r="X167" s="65" t="str">
        <f t="shared" si="35"/>
        <v/>
      </c>
      <c r="Y167" s="65" t="str">
        <f t="shared" si="36"/>
        <v/>
      </c>
      <c r="Z167" s="44">
        <f>IF(Cycles!U167="",0,Cycles!U167)</f>
        <v>0</v>
      </c>
      <c r="AA167" s="44">
        <f>IF(Cycles!V167="",0,Cycles!V167)</f>
        <v>0</v>
      </c>
      <c r="AB167" s="44">
        <f>IF(Cycles!W167="",0,Cycles!W167)</f>
        <v>0</v>
      </c>
      <c r="AC167" s="44">
        <f>IF(Cycles!X167="",0,Cycles!X167)</f>
        <v>0</v>
      </c>
      <c r="AD167" s="49" t="str">
        <f t="shared" si="37"/>
        <v/>
      </c>
      <c r="AE167" s="49" t="str">
        <f t="shared" si="38"/>
        <v/>
      </c>
      <c r="AF167" s="49" t="str">
        <f t="shared" si="39"/>
        <v/>
      </c>
      <c r="AG167" t="str">
        <f>IFERROR(MATCH(ROWS($AG$9:AG167),_EngineTrades!$AW$9:$AW$508,0)+8,"")</f>
        <v/>
      </c>
    </row>
    <row r="168" spans="1:33" ht="15" x14ac:dyDescent="0.25">
      <c r="A168" s="66" t="str">
        <f>IF($AG168="","",IFERROR(INDEX(_EngineTrades!$AU$9:$AU$508,MATCH($AG168,_EngineTrades!$AV$9:$AV$508,0)),""))</f>
        <v/>
      </c>
      <c r="B168" s="66" t="str">
        <f>IF($A168="","",INDEX(_EngineTrades!$B$9:$B$508,MATCH($AG168,_EngineTrades!$AV$9:$AV$508,0)))</f>
        <v/>
      </c>
      <c r="C168" s="66" t="str">
        <f>IF($A168="","",INDEX(_EngineTrades!$T$9:$T$508,MATCH($AG168,_EngineTrades!$AV$9:$AV$508,0)))</f>
        <v/>
      </c>
      <c r="D168" s="67" t="str">
        <f>IF($A168="","",INDEX(_EngineTrades!$C$9:$C$508,MATCH($AG168,_EngineTrades!$AV$9:$AV$508,0)))</f>
        <v/>
      </c>
      <c r="E168" s="68" t="str">
        <f>IF($A168="","",IF(IFERROR(LOOKUP(2,1/(_EngineTrades!$AU$9:$AU$508=$A168),_EngineTrades!$AR$9:$AR$508),FALSE),"Closed","Open"))</f>
        <v/>
      </c>
      <c r="F168" s="69" t="str">
        <f>IF($A168="","",INDEX(_EngineTrades!$E$9:$E$508,$AG168-8))</f>
        <v/>
      </c>
      <c r="G168" s="69" t="str">
        <f>IF(OR($A168="",$E168&lt;&gt;"Closed"),"",IFERROR(INDEX(_EngineTrades!$E$9:$E$508,SUMIFS(_EngineTrades!$AX$9:$AX$508,_EngineTrades!$AU$9:$AU$508,$A168)-8),""))</f>
        <v/>
      </c>
      <c r="H168" s="70" t="str">
        <f>IF($A168="","",ROUND(SUMIFS(_EngineTrades!$Y$9:$Y$508,_EngineTrades!$AU$9:$AU$508,$A168),4))</f>
        <v/>
      </c>
      <c r="I168" s="70" t="str">
        <f>IF($A168="","",ROUND(SUMIFS(_EngineTrades!$Z$9:$Z$508,_EngineTrades!$AU$9:$AU$508,$A168),4))</f>
        <v/>
      </c>
      <c r="J168" s="71" t="str">
        <f t="shared" si="32"/>
        <v/>
      </c>
      <c r="K168" s="70" t="str">
        <f>IF($A168="","",ROUND(SUMIFS(_EngineTrades!$AA$9:$AA$508,_EngineTrades!$AU$9:$AU$508,$A168),4))</f>
        <v/>
      </c>
      <c r="L168" s="70" t="str">
        <f>IF($A168="","",ROUND(SUMIFS(_EngineTrades!$AB$9:$AB$508,_EngineTrades!$AU$9:$AU$508,$A168),4))</f>
        <v/>
      </c>
      <c r="M168" s="70" t="str">
        <f>IF($A168="","",ROUND(SUMIFS(_EngineTrades!$AC$9:$AC$508,_EngineTrades!$AU$9:$AU$508,$A168),4))</f>
        <v/>
      </c>
      <c r="N168" s="70" t="str">
        <f>IF($A168="","",ROUND(SUMIFS(_EngineTrades!$AD$9:$AD$508,_EngineTrades!$AU$9:$AU$508,$A168),4))</f>
        <v/>
      </c>
      <c r="O168" s="71" t="str">
        <f t="shared" si="33"/>
        <v/>
      </c>
      <c r="P168" s="66">
        <f>IF(OR($A168="",$E168&lt;&gt;"Open"),0,IFERROR(LOOKUP(2,1/(_EngineTrades!$AU$9:$AU$508=$A168),_EngineTrades!$AM$9:$AM$508),0))</f>
        <v>0</v>
      </c>
      <c r="Q168" s="70" t="str">
        <f>IF(OR($A168="",$P168=0),"",ROUND(IFERROR(LOOKUP(2,1/(_EngineTrades!$AU$9:$AU$508=$A168),_EngineTrades!$AN$9:$AN$508),0)/$P168,4))</f>
        <v/>
      </c>
      <c r="R168" s="70">
        <f>IF(OR($A168="",$E168&lt;&gt;"Open"),0,IFERROR(LOOKUP(2,1/(_EngineTrades!$AU$9:$AU$508=$A168),_EngineTrades!$AO$9:$AO$508),0))</f>
        <v>0</v>
      </c>
      <c r="S168" s="70">
        <f>IF(OR($A168="",$E168&lt;&gt;"Open"),0,ROUND($R168+IFERROR(LOOKUP(2,1/(_EngineTrades!$AU$9:$AU$508=$A168),_EngineTrades!$AN$9:$AN$508),0),4))</f>
        <v>0</v>
      </c>
      <c r="T168" s="70" t="str">
        <f>IF($A168="","",ROUND(IFERROR(LOOKUP(2,1/(_EngineTrades!$AU$9:$AU$508=$A168),_EngineTrades!$AT$9:$AT$508),0),4))</f>
        <v/>
      </c>
      <c r="U168" s="70" t="str">
        <f t="shared" si="34"/>
        <v/>
      </c>
      <c r="V168" s="70" t="str">
        <f>IF(AND($A168&lt;&gt;"",$E168="Open",$P168+N(IFERROR(LOOKUP(2,1/(_EngineTrades!$AU$9:$AU$508=$A168),_EngineTrades!$AP$9:$AP$508),0))&gt;0),ROUND(($R168-$O168)/($P168+N(IFERROR(LOOKUP(2,1/(_EngineTrades!$AU$9:$AU$508=$A168),_EngineTrades!$AP$9:$AP$508),0))),4),"")</f>
        <v/>
      </c>
      <c r="W168" s="72" t="str">
        <f>IF($A168="","",MAX(1,IF($G168="",_EngineTrades!$E$3-$F168,$G168-$F168)))</f>
        <v/>
      </c>
      <c r="X168" s="73" t="str">
        <f t="shared" si="35"/>
        <v/>
      </c>
      <c r="Y168" s="73" t="str">
        <f t="shared" si="36"/>
        <v/>
      </c>
      <c r="Z168" s="44">
        <f>IF(Cycles!U168="",0,Cycles!U168)</f>
        <v>0</v>
      </c>
      <c r="AA168" s="44">
        <f>IF(Cycles!V168="",0,Cycles!V168)</f>
        <v>0</v>
      </c>
      <c r="AB168" s="44">
        <f>IF(Cycles!W168="",0,Cycles!W168)</f>
        <v>0</v>
      </c>
      <c r="AC168" s="44">
        <f>IF(Cycles!X168="",0,Cycles!X168)</f>
        <v>0</v>
      </c>
      <c r="AD168" s="70" t="str">
        <f t="shared" si="37"/>
        <v/>
      </c>
      <c r="AE168" s="70" t="str">
        <f t="shared" si="38"/>
        <v/>
      </c>
      <c r="AF168" s="70" t="str">
        <f t="shared" si="39"/>
        <v/>
      </c>
      <c r="AG168" t="str">
        <f>IFERROR(MATCH(ROWS($AG$9:AG168),_EngineTrades!$AW$9:$AW$508,0)+8,"")</f>
        <v/>
      </c>
    </row>
    <row r="169" spans="1:33" ht="15" x14ac:dyDescent="0.25">
      <c r="A169" s="61" t="str">
        <f>IF($AG169="","",IFERROR(INDEX(_EngineTrades!$AU$9:$AU$508,MATCH($AG169,_EngineTrades!$AV$9:$AV$508,0)),""))</f>
        <v/>
      </c>
      <c r="B169" s="61" t="str">
        <f>IF($A169="","",INDEX(_EngineTrades!$B$9:$B$508,MATCH($AG169,_EngineTrades!$AV$9:$AV$508,0)))</f>
        <v/>
      </c>
      <c r="C169" s="61" t="str">
        <f>IF($A169="","",INDEX(_EngineTrades!$T$9:$T$508,MATCH($AG169,_EngineTrades!$AV$9:$AV$508,0)))</f>
        <v/>
      </c>
      <c r="D169" s="47" t="str">
        <f>IF($A169="","",INDEX(_EngineTrades!$C$9:$C$508,MATCH($AG169,_EngineTrades!$AV$9:$AV$508,0)))</f>
        <v/>
      </c>
      <c r="E169" s="62" t="str">
        <f>IF($A169="","",IF(IFERROR(LOOKUP(2,1/(_EngineTrades!$AU$9:$AU$508=$A169),_EngineTrades!$AR$9:$AR$508),FALSE),"Closed","Open"))</f>
        <v/>
      </c>
      <c r="F169" s="63" t="str">
        <f>IF($A169="","",INDEX(_EngineTrades!$E$9:$E$508,$AG169-8))</f>
        <v/>
      </c>
      <c r="G169" s="63" t="str">
        <f>IF(OR($A169="",$E169&lt;&gt;"Closed"),"",IFERROR(INDEX(_EngineTrades!$E$9:$E$508,SUMIFS(_EngineTrades!$AX$9:$AX$508,_EngineTrades!$AU$9:$AU$508,$A169)-8),""))</f>
        <v/>
      </c>
      <c r="H169" s="49" t="str">
        <f>IF($A169="","",ROUND(SUMIFS(_EngineTrades!$Y$9:$Y$508,_EngineTrades!$AU$9:$AU$508,$A169),4))</f>
        <v/>
      </c>
      <c r="I169" s="49" t="str">
        <f>IF($A169="","",ROUND(SUMIFS(_EngineTrades!$Z$9:$Z$508,_EngineTrades!$AU$9:$AU$508,$A169),4))</f>
        <v/>
      </c>
      <c r="J169" s="45" t="str">
        <f t="shared" ref="J169:J200" si="40">IF($A169="","",$H169-$I169)</f>
        <v/>
      </c>
      <c r="K169" s="49" t="str">
        <f>IF($A169="","",ROUND(SUMIFS(_EngineTrades!$AA$9:$AA$508,_EngineTrades!$AU$9:$AU$508,$A169),4))</f>
        <v/>
      </c>
      <c r="L169" s="49" t="str">
        <f>IF($A169="","",ROUND(SUMIFS(_EngineTrades!$AB$9:$AB$508,_EngineTrades!$AU$9:$AU$508,$A169),4))</f>
        <v/>
      </c>
      <c r="M169" s="49" t="str">
        <f>IF($A169="","",ROUND(SUMIFS(_EngineTrades!$AC$9:$AC$508,_EngineTrades!$AU$9:$AU$508,$A169),4))</f>
        <v/>
      </c>
      <c r="N169" s="49" t="str">
        <f>IF($A169="","",ROUND(SUMIFS(_EngineTrades!$AD$9:$AD$508,_EngineTrades!$AU$9:$AU$508,$A169),4))</f>
        <v/>
      </c>
      <c r="O169" s="45" t="str">
        <f t="shared" ref="O169:O200" si="41">IF($A169="","",ROUND($J169+$K169-$L169-$M169+$N169,4))</f>
        <v/>
      </c>
      <c r="P169" s="61">
        <f>IF(OR($A169="",$E169&lt;&gt;"Open"),0,IFERROR(LOOKUP(2,1/(_EngineTrades!$AU$9:$AU$508=$A169),_EngineTrades!$AM$9:$AM$508),0))</f>
        <v>0</v>
      </c>
      <c r="Q169" s="49" t="str">
        <f>IF(OR($A169="",$P169=0),"",ROUND(IFERROR(LOOKUP(2,1/(_EngineTrades!$AU$9:$AU$508=$A169),_EngineTrades!$AN$9:$AN$508),0)/$P169,4))</f>
        <v/>
      </c>
      <c r="R169" s="49">
        <f>IF(OR($A169="",$E169&lt;&gt;"Open"),0,IFERROR(LOOKUP(2,1/(_EngineTrades!$AU$9:$AU$508=$A169),_EngineTrades!$AO$9:$AO$508),0))</f>
        <v>0</v>
      </c>
      <c r="S169" s="49">
        <f>IF(OR($A169="",$E169&lt;&gt;"Open"),0,ROUND($R169+IFERROR(LOOKUP(2,1/(_EngineTrades!$AU$9:$AU$508=$A169),_EngineTrades!$AN$9:$AN$508),0),4))</f>
        <v>0</v>
      </c>
      <c r="T169" s="49" t="str">
        <f>IF($A169="","",ROUND(IFERROR(LOOKUP(2,1/(_EngineTrades!$AU$9:$AU$508=$A169),_EngineTrades!$AT$9:$AT$508),0),4))</f>
        <v/>
      </c>
      <c r="U169" s="49" t="str">
        <f t="shared" ref="U169:U200" si="42">IF(AND($A169&lt;&gt;"",$E169="Open",$P169&gt;0),ROUND(-$O169/$P169,4),"")</f>
        <v/>
      </c>
      <c r="V169" s="49" t="str">
        <f>IF(AND($A169&lt;&gt;"",$E169="Open",$P169+N(IFERROR(LOOKUP(2,1/(_EngineTrades!$AU$9:$AU$508=$A169),_EngineTrades!$AP$9:$AP$508),0))&gt;0),ROUND(($R169-$O169)/($P169+N(IFERROR(LOOKUP(2,1/(_EngineTrades!$AU$9:$AU$508=$A169),_EngineTrades!$AP$9:$AP$508),0))),4),"")</f>
        <v/>
      </c>
      <c r="W169" s="64" t="str">
        <f>IF($A169="","",MAX(1,IF($G169="",_EngineTrades!$E$3-$F169,$G169-$F169)))</f>
        <v/>
      </c>
      <c r="X169" s="65" t="str">
        <f t="shared" ref="X169:X200" si="43">IF(OR($A169="",$T169=0),"",ROUND(IF($E169="Open",($J169+$K169-$L169)/$T169,$O169/$T169),6))</f>
        <v/>
      </c>
      <c r="Y169" s="65" t="str">
        <f t="shared" ref="Y169:Y200" si="44">IF(OR($A169="",$T169=0),"",ROUND(IF($E169="Open",($J169+$K169-$L169)/$T169,$O169/$T169)*365/$W169,6))</f>
        <v/>
      </c>
      <c r="Z169" s="44">
        <f>IF(Cycles!U169="",0,Cycles!U169)</f>
        <v>0</v>
      </c>
      <c r="AA169" s="44">
        <f>IF(Cycles!V169="",0,Cycles!V169)</f>
        <v>0</v>
      </c>
      <c r="AB169" s="44">
        <f>IF(Cycles!W169="",0,Cycles!W169)</f>
        <v>0</v>
      </c>
      <c r="AC169" s="44">
        <f>IF(Cycles!X169="",0,Cycles!X169)</f>
        <v>0</v>
      </c>
      <c r="AD169" s="49" t="str">
        <f t="shared" ref="AD169:AD200" si="45">IF(AND($A169&lt;&gt;"",$E169="Open",$P169&gt;0),ROUND($U169-IF($Z169&gt;=0,$Z169,0)+IF($AA169&gt;=0,$AA169,0)/$P169+IF(ISNUMBER($AB169),$AB169,0),4),"")</f>
        <v/>
      </c>
      <c r="AE169" s="49" t="str">
        <f t="shared" ref="AE169:AE200" si="46">IF($AD169="","",ROUND(MAX(0,IF($AC169&gt;0,ROUNDUP(ROUND($AD169/$AC169,9),0)*$AC169,$AD169)),4))</f>
        <v/>
      </c>
      <c r="AF169" s="49" t="str">
        <f t="shared" ref="AF169:AF200" si="47">IF($AE169="","",ROUND($P169*($AE169+IF($Z169&gt;=0,$Z169,0)-$U169)-IF($AA169&gt;=0,$AA169,0),4))</f>
        <v/>
      </c>
      <c r="AG169" t="str">
        <f>IFERROR(MATCH(ROWS($AG$9:AG169),_EngineTrades!$AW$9:$AW$508,0)+8,"")</f>
        <v/>
      </c>
    </row>
    <row r="170" spans="1:33" ht="15" x14ac:dyDescent="0.25">
      <c r="A170" s="66" t="str">
        <f>IF($AG170="","",IFERROR(INDEX(_EngineTrades!$AU$9:$AU$508,MATCH($AG170,_EngineTrades!$AV$9:$AV$508,0)),""))</f>
        <v/>
      </c>
      <c r="B170" s="66" t="str">
        <f>IF($A170="","",INDEX(_EngineTrades!$B$9:$B$508,MATCH($AG170,_EngineTrades!$AV$9:$AV$508,0)))</f>
        <v/>
      </c>
      <c r="C170" s="66" t="str">
        <f>IF($A170="","",INDEX(_EngineTrades!$T$9:$T$508,MATCH($AG170,_EngineTrades!$AV$9:$AV$508,0)))</f>
        <v/>
      </c>
      <c r="D170" s="67" t="str">
        <f>IF($A170="","",INDEX(_EngineTrades!$C$9:$C$508,MATCH($AG170,_EngineTrades!$AV$9:$AV$508,0)))</f>
        <v/>
      </c>
      <c r="E170" s="68" t="str">
        <f>IF($A170="","",IF(IFERROR(LOOKUP(2,1/(_EngineTrades!$AU$9:$AU$508=$A170),_EngineTrades!$AR$9:$AR$508),FALSE),"Closed","Open"))</f>
        <v/>
      </c>
      <c r="F170" s="69" t="str">
        <f>IF($A170="","",INDEX(_EngineTrades!$E$9:$E$508,$AG170-8))</f>
        <v/>
      </c>
      <c r="G170" s="69" t="str">
        <f>IF(OR($A170="",$E170&lt;&gt;"Closed"),"",IFERROR(INDEX(_EngineTrades!$E$9:$E$508,SUMIFS(_EngineTrades!$AX$9:$AX$508,_EngineTrades!$AU$9:$AU$508,$A170)-8),""))</f>
        <v/>
      </c>
      <c r="H170" s="70" t="str">
        <f>IF($A170="","",ROUND(SUMIFS(_EngineTrades!$Y$9:$Y$508,_EngineTrades!$AU$9:$AU$508,$A170),4))</f>
        <v/>
      </c>
      <c r="I170" s="70" t="str">
        <f>IF($A170="","",ROUND(SUMIFS(_EngineTrades!$Z$9:$Z$508,_EngineTrades!$AU$9:$AU$508,$A170),4))</f>
        <v/>
      </c>
      <c r="J170" s="71" t="str">
        <f t="shared" si="40"/>
        <v/>
      </c>
      <c r="K170" s="70" t="str">
        <f>IF($A170="","",ROUND(SUMIFS(_EngineTrades!$AA$9:$AA$508,_EngineTrades!$AU$9:$AU$508,$A170),4))</f>
        <v/>
      </c>
      <c r="L170" s="70" t="str">
        <f>IF($A170="","",ROUND(SUMIFS(_EngineTrades!$AB$9:$AB$508,_EngineTrades!$AU$9:$AU$508,$A170),4))</f>
        <v/>
      </c>
      <c r="M170" s="70" t="str">
        <f>IF($A170="","",ROUND(SUMIFS(_EngineTrades!$AC$9:$AC$508,_EngineTrades!$AU$9:$AU$508,$A170),4))</f>
        <v/>
      </c>
      <c r="N170" s="70" t="str">
        <f>IF($A170="","",ROUND(SUMIFS(_EngineTrades!$AD$9:$AD$508,_EngineTrades!$AU$9:$AU$508,$A170),4))</f>
        <v/>
      </c>
      <c r="O170" s="71" t="str">
        <f t="shared" si="41"/>
        <v/>
      </c>
      <c r="P170" s="66">
        <f>IF(OR($A170="",$E170&lt;&gt;"Open"),0,IFERROR(LOOKUP(2,1/(_EngineTrades!$AU$9:$AU$508=$A170),_EngineTrades!$AM$9:$AM$508),0))</f>
        <v>0</v>
      </c>
      <c r="Q170" s="70" t="str">
        <f>IF(OR($A170="",$P170=0),"",ROUND(IFERROR(LOOKUP(2,1/(_EngineTrades!$AU$9:$AU$508=$A170),_EngineTrades!$AN$9:$AN$508),0)/$P170,4))</f>
        <v/>
      </c>
      <c r="R170" s="70">
        <f>IF(OR($A170="",$E170&lt;&gt;"Open"),0,IFERROR(LOOKUP(2,1/(_EngineTrades!$AU$9:$AU$508=$A170),_EngineTrades!$AO$9:$AO$508),0))</f>
        <v>0</v>
      </c>
      <c r="S170" s="70">
        <f>IF(OR($A170="",$E170&lt;&gt;"Open"),0,ROUND($R170+IFERROR(LOOKUP(2,1/(_EngineTrades!$AU$9:$AU$508=$A170),_EngineTrades!$AN$9:$AN$508),0),4))</f>
        <v>0</v>
      </c>
      <c r="T170" s="70" t="str">
        <f>IF($A170="","",ROUND(IFERROR(LOOKUP(2,1/(_EngineTrades!$AU$9:$AU$508=$A170),_EngineTrades!$AT$9:$AT$508),0),4))</f>
        <v/>
      </c>
      <c r="U170" s="70" t="str">
        <f t="shared" si="42"/>
        <v/>
      </c>
      <c r="V170" s="70" t="str">
        <f>IF(AND($A170&lt;&gt;"",$E170="Open",$P170+N(IFERROR(LOOKUP(2,1/(_EngineTrades!$AU$9:$AU$508=$A170),_EngineTrades!$AP$9:$AP$508),0))&gt;0),ROUND(($R170-$O170)/($P170+N(IFERROR(LOOKUP(2,1/(_EngineTrades!$AU$9:$AU$508=$A170),_EngineTrades!$AP$9:$AP$508),0))),4),"")</f>
        <v/>
      </c>
      <c r="W170" s="72" t="str">
        <f>IF($A170="","",MAX(1,IF($G170="",_EngineTrades!$E$3-$F170,$G170-$F170)))</f>
        <v/>
      </c>
      <c r="X170" s="73" t="str">
        <f t="shared" si="43"/>
        <v/>
      </c>
      <c r="Y170" s="73" t="str">
        <f t="shared" si="44"/>
        <v/>
      </c>
      <c r="Z170" s="44">
        <f>IF(Cycles!U170="",0,Cycles!U170)</f>
        <v>0</v>
      </c>
      <c r="AA170" s="44">
        <f>IF(Cycles!V170="",0,Cycles!V170)</f>
        <v>0</v>
      </c>
      <c r="AB170" s="44">
        <f>IF(Cycles!W170="",0,Cycles!W170)</f>
        <v>0</v>
      </c>
      <c r="AC170" s="44">
        <f>IF(Cycles!X170="",0,Cycles!X170)</f>
        <v>0</v>
      </c>
      <c r="AD170" s="70" t="str">
        <f t="shared" si="45"/>
        <v/>
      </c>
      <c r="AE170" s="70" t="str">
        <f t="shared" si="46"/>
        <v/>
      </c>
      <c r="AF170" s="70" t="str">
        <f t="shared" si="47"/>
        <v/>
      </c>
      <c r="AG170" t="str">
        <f>IFERROR(MATCH(ROWS($AG$9:AG170),_EngineTrades!$AW$9:$AW$508,0)+8,"")</f>
        <v/>
      </c>
    </row>
    <row r="171" spans="1:33" ht="15" x14ac:dyDescent="0.25">
      <c r="A171" s="61" t="str">
        <f>IF($AG171="","",IFERROR(INDEX(_EngineTrades!$AU$9:$AU$508,MATCH($AG171,_EngineTrades!$AV$9:$AV$508,0)),""))</f>
        <v/>
      </c>
      <c r="B171" s="61" t="str">
        <f>IF($A171="","",INDEX(_EngineTrades!$B$9:$B$508,MATCH($AG171,_EngineTrades!$AV$9:$AV$508,0)))</f>
        <v/>
      </c>
      <c r="C171" s="61" t="str">
        <f>IF($A171="","",INDEX(_EngineTrades!$T$9:$T$508,MATCH($AG171,_EngineTrades!$AV$9:$AV$508,0)))</f>
        <v/>
      </c>
      <c r="D171" s="47" t="str">
        <f>IF($A171="","",INDEX(_EngineTrades!$C$9:$C$508,MATCH($AG171,_EngineTrades!$AV$9:$AV$508,0)))</f>
        <v/>
      </c>
      <c r="E171" s="62" t="str">
        <f>IF($A171="","",IF(IFERROR(LOOKUP(2,1/(_EngineTrades!$AU$9:$AU$508=$A171),_EngineTrades!$AR$9:$AR$508),FALSE),"Closed","Open"))</f>
        <v/>
      </c>
      <c r="F171" s="63" t="str">
        <f>IF($A171="","",INDEX(_EngineTrades!$E$9:$E$508,$AG171-8))</f>
        <v/>
      </c>
      <c r="G171" s="63" t="str">
        <f>IF(OR($A171="",$E171&lt;&gt;"Closed"),"",IFERROR(INDEX(_EngineTrades!$E$9:$E$508,SUMIFS(_EngineTrades!$AX$9:$AX$508,_EngineTrades!$AU$9:$AU$508,$A171)-8),""))</f>
        <v/>
      </c>
      <c r="H171" s="49" t="str">
        <f>IF($A171="","",ROUND(SUMIFS(_EngineTrades!$Y$9:$Y$508,_EngineTrades!$AU$9:$AU$508,$A171),4))</f>
        <v/>
      </c>
      <c r="I171" s="49" t="str">
        <f>IF($A171="","",ROUND(SUMIFS(_EngineTrades!$Z$9:$Z$508,_EngineTrades!$AU$9:$AU$508,$A171),4))</f>
        <v/>
      </c>
      <c r="J171" s="45" t="str">
        <f t="shared" si="40"/>
        <v/>
      </c>
      <c r="K171" s="49" t="str">
        <f>IF($A171="","",ROUND(SUMIFS(_EngineTrades!$AA$9:$AA$508,_EngineTrades!$AU$9:$AU$508,$A171),4))</f>
        <v/>
      </c>
      <c r="L171" s="49" t="str">
        <f>IF($A171="","",ROUND(SUMIFS(_EngineTrades!$AB$9:$AB$508,_EngineTrades!$AU$9:$AU$508,$A171),4))</f>
        <v/>
      </c>
      <c r="M171" s="49" t="str">
        <f>IF($A171="","",ROUND(SUMIFS(_EngineTrades!$AC$9:$AC$508,_EngineTrades!$AU$9:$AU$508,$A171),4))</f>
        <v/>
      </c>
      <c r="N171" s="49" t="str">
        <f>IF($A171="","",ROUND(SUMIFS(_EngineTrades!$AD$9:$AD$508,_EngineTrades!$AU$9:$AU$508,$A171),4))</f>
        <v/>
      </c>
      <c r="O171" s="45" t="str">
        <f t="shared" si="41"/>
        <v/>
      </c>
      <c r="P171" s="61">
        <f>IF(OR($A171="",$E171&lt;&gt;"Open"),0,IFERROR(LOOKUP(2,1/(_EngineTrades!$AU$9:$AU$508=$A171),_EngineTrades!$AM$9:$AM$508),0))</f>
        <v>0</v>
      </c>
      <c r="Q171" s="49" t="str">
        <f>IF(OR($A171="",$P171=0),"",ROUND(IFERROR(LOOKUP(2,1/(_EngineTrades!$AU$9:$AU$508=$A171),_EngineTrades!$AN$9:$AN$508),0)/$P171,4))</f>
        <v/>
      </c>
      <c r="R171" s="49">
        <f>IF(OR($A171="",$E171&lt;&gt;"Open"),0,IFERROR(LOOKUP(2,1/(_EngineTrades!$AU$9:$AU$508=$A171),_EngineTrades!$AO$9:$AO$508),0))</f>
        <v>0</v>
      </c>
      <c r="S171" s="49">
        <f>IF(OR($A171="",$E171&lt;&gt;"Open"),0,ROUND($R171+IFERROR(LOOKUP(2,1/(_EngineTrades!$AU$9:$AU$508=$A171),_EngineTrades!$AN$9:$AN$508),0),4))</f>
        <v>0</v>
      </c>
      <c r="T171" s="49" t="str">
        <f>IF($A171="","",ROUND(IFERROR(LOOKUP(2,1/(_EngineTrades!$AU$9:$AU$508=$A171),_EngineTrades!$AT$9:$AT$508),0),4))</f>
        <v/>
      </c>
      <c r="U171" s="49" t="str">
        <f t="shared" si="42"/>
        <v/>
      </c>
      <c r="V171" s="49" t="str">
        <f>IF(AND($A171&lt;&gt;"",$E171="Open",$P171+N(IFERROR(LOOKUP(2,1/(_EngineTrades!$AU$9:$AU$508=$A171),_EngineTrades!$AP$9:$AP$508),0))&gt;0),ROUND(($R171-$O171)/($P171+N(IFERROR(LOOKUP(2,1/(_EngineTrades!$AU$9:$AU$508=$A171),_EngineTrades!$AP$9:$AP$508),0))),4),"")</f>
        <v/>
      </c>
      <c r="W171" s="64" t="str">
        <f>IF($A171="","",MAX(1,IF($G171="",_EngineTrades!$E$3-$F171,$G171-$F171)))</f>
        <v/>
      </c>
      <c r="X171" s="65" t="str">
        <f t="shared" si="43"/>
        <v/>
      </c>
      <c r="Y171" s="65" t="str">
        <f t="shared" si="44"/>
        <v/>
      </c>
      <c r="Z171" s="44">
        <f>IF(Cycles!U171="",0,Cycles!U171)</f>
        <v>0</v>
      </c>
      <c r="AA171" s="44">
        <f>IF(Cycles!V171="",0,Cycles!V171)</f>
        <v>0</v>
      </c>
      <c r="AB171" s="44">
        <f>IF(Cycles!W171="",0,Cycles!W171)</f>
        <v>0</v>
      </c>
      <c r="AC171" s="44">
        <f>IF(Cycles!X171="",0,Cycles!X171)</f>
        <v>0</v>
      </c>
      <c r="AD171" s="49" t="str">
        <f t="shared" si="45"/>
        <v/>
      </c>
      <c r="AE171" s="49" t="str">
        <f t="shared" si="46"/>
        <v/>
      </c>
      <c r="AF171" s="49" t="str">
        <f t="shared" si="47"/>
        <v/>
      </c>
      <c r="AG171" t="str">
        <f>IFERROR(MATCH(ROWS($AG$9:AG171),_EngineTrades!$AW$9:$AW$508,0)+8,"")</f>
        <v/>
      </c>
    </row>
    <row r="172" spans="1:33" ht="15" x14ac:dyDescent="0.25">
      <c r="A172" s="66" t="str">
        <f>IF($AG172="","",IFERROR(INDEX(_EngineTrades!$AU$9:$AU$508,MATCH($AG172,_EngineTrades!$AV$9:$AV$508,0)),""))</f>
        <v/>
      </c>
      <c r="B172" s="66" t="str">
        <f>IF($A172="","",INDEX(_EngineTrades!$B$9:$B$508,MATCH($AG172,_EngineTrades!$AV$9:$AV$508,0)))</f>
        <v/>
      </c>
      <c r="C172" s="66" t="str">
        <f>IF($A172="","",INDEX(_EngineTrades!$T$9:$T$508,MATCH($AG172,_EngineTrades!$AV$9:$AV$508,0)))</f>
        <v/>
      </c>
      <c r="D172" s="67" t="str">
        <f>IF($A172="","",INDEX(_EngineTrades!$C$9:$C$508,MATCH($AG172,_EngineTrades!$AV$9:$AV$508,0)))</f>
        <v/>
      </c>
      <c r="E172" s="68" t="str">
        <f>IF($A172="","",IF(IFERROR(LOOKUP(2,1/(_EngineTrades!$AU$9:$AU$508=$A172),_EngineTrades!$AR$9:$AR$508),FALSE),"Closed","Open"))</f>
        <v/>
      </c>
      <c r="F172" s="69" t="str">
        <f>IF($A172="","",INDEX(_EngineTrades!$E$9:$E$508,$AG172-8))</f>
        <v/>
      </c>
      <c r="G172" s="69" t="str">
        <f>IF(OR($A172="",$E172&lt;&gt;"Closed"),"",IFERROR(INDEX(_EngineTrades!$E$9:$E$508,SUMIFS(_EngineTrades!$AX$9:$AX$508,_EngineTrades!$AU$9:$AU$508,$A172)-8),""))</f>
        <v/>
      </c>
      <c r="H172" s="70" t="str">
        <f>IF($A172="","",ROUND(SUMIFS(_EngineTrades!$Y$9:$Y$508,_EngineTrades!$AU$9:$AU$508,$A172),4))</f>
        <v/>
      </c>
      <c r="I172" s="70" t="str">
        <f>IF($A172="","",ROUND(SUMIFS(_EngineTrades!$Z$9:$Z$508,_EngineTrades!$AU$9:$AU$508,$A172),4))</f>
        <v/>
      </c>
      <c r="J172" s="71" t="str">
        <f t="shared" si="40"/>
        <v/>
      </c>
      <c r="K172" s="70" t="str">
        <f>IF($A172="","",ROUND(SUMIFS(_EngineTrades!$AA$9:$AA$508,_EngineTrades!$AU$9:$AU$508,$A172),4))</f>
        <v/>
      </c>
      <c r="L172" s="70" t="str">
        <f>IF($A172="","",ROUND(SUMIFS(_EngineTrades!$AB$9:$AB$508,_EngineTrades!$AU$9:$AU$508,$A172),4))</f>
        <v/>
      </c>
      <c r="M172" s="70" t="str">
        <f>IF($A172="","",ROUND(SUMIFS(_EngineTrades!$AC$9:$AC$508,_EngineTrades!$AU$9:$AU$508,$A172),4))</f>
        <v/>
      </c>
      <c r="N172" s="70" t="str">
        <f>IF($A172="","",ROUND(SUMIFS(_EngineTrades!$AD$9:$AD$508,_EngineTrades!$AU$9:$AU$508,$A172),4))</f>
        <v/>
      </c>
      <c r="O172" s="71" t="str">
        <f t="shared" si="41"/>
        <v/>
      </c>
      <c r="P172" s="66">
        <f>IF(OR($A172="",$E172&lt;&gt;"Open"),0,IFERROR(LOOKUP(2,1/(_EngineTrades!$AU$9:$AU$508=$A172),_EngineTrades!$AM$9:$AM$508),0))</f>
        <v>0</v>
      </c>
      <c r="Q172" s="70" t="str">
        <f>IF(OR($A172="",$P172=0),"",ROUND(IFERROR(LOOKUP(2,1/(_EngineTrades!$AU$9:$AU$508=$A172),_EngineTrades!$AN$9:$AN$508),0)/$P172,4))</f>
        <v/>
      </c>
      <c r="R172" s="70">
        <f>IF(OR($A172="",$E172&lt;&gt;"Open"),0,IFERROR(LOOKUP(2,1/(_EngineTrades!$AU$9:$AU$508=$A172),_EngineTrades!$AO$9:$AO$508),0))</f>
        <v>0</v>
      </c>
      <c r="S172" s="70">
        <f>IF(OR($A172="",$E172&lt;&gt;"Open"),0,ROUND($R172+IFERROR(LOOKUP(2,1/(_EngineTrades!$AU$9:$AU$508=$A172),_EngineTrades!$AN$9:$AN$508),0),4))</f>
        <v>0</v>
      </c>
      <c r="T172" s="70" t="str">
        <f>IF($A172="","",ROUND(IFERROR(LOOKUP(2,1/(_EngineTrades!$AU$9:$AU$508=$A172),_EngineTrades!$AT$9:$AT$508),0),4))</f>
        <v/>
      </c>
      <c r="U172" s="70" t="str">
        <f t="shared" si="42"/>
        <v/>
      </c>
      <c r="V172" s="70" t="str">
        <f>IF(AND($A172&lt;&gt;"",$E172="Open",$P172+N(IFERROR(LOOKUP(2,1/(_EngineTrades!$AU$9:$AU$508=$A172),_EngineTrades!$AP$9:$AP$508),0))&gt;0),ROUND(($R172-$O172)/($P172+N(IFERROR(LOOKUP(2,1/(_EngineTrades!$AU$9:$AU$508=$A172),_EngineTrades!$AP$9:$AP$508),0))),4),"")</f>
        <v/>
      </c>
      <c r="W172" s="72" t="str">
        <f>IF($A172="","",MAX(1,IF($G172="",_EngineTrades!$E$3-$F172,$G172-$F172)))</f>
        <v/>
      </c>
      <c r="X172" s="73" t="str">
        <f t="shared" si="43"/>
        <v/>
      </c>
      <c r="Y172" s="73" t="str">
        <f t="shared" si="44"/>
        <v/>
      </c>
      <c r="Z172" s="44">
        <f>IF(Cycles!U172="",0,Cycles!U172)</f>
        <v>0</v>
      </c>
      <c r="AA172" s="44">
        <f>IF(Cycles!V172="",0,Cycles!V172)</f>
        <v>0</v>
      </c>
      <c r="AB172" s="44">
        <f>IF(Cycles!W172="",0,Cycles!W172)</f>
        <v>0</v>
      </c>
      <c r="AC172" s="44">
        <f>IF(Cycles!X172="",0,Cycles!X172)</f>
        <v>0</v>
      </c>
      <c r="AD172" s="70" t="str">
        <f t="shared" si="45"/>
        <v/>
      </c>
      <c r="AE172" s="70" t="str">
        <f t="shared" si="46"/>
        <v/>
      </c>
      <c r="AF172" s="70" t="str">
        <f t="shared" si="47"/>
        <v/>
      </c>
      <c r="AG172" t="str">
        <f>IFERROR(MATCH(ROWS($AG$9:AG172),_EngineTrades!$AW$9:$AW$508,0)+8,"")</f>
        <v/>
      </c>
    </row>
    <row r="173" spans="1:33" ht="15" x14ac:dyDescent="0.25">
      <c r="A173" s="61" t="str">
        <f>IF($AG173="","",IFERROR(INDEX(_EngineTrades!$AU$9:$AU$508,MATCH($AG173,_EngineTrades!$AV$9:$AV$508,0)),""))</f>
        <v/>
      </c>
      <c r="B173" s="61" t="str">
        <f>IF($A173="","",INDEX(_EngineTrades!$B$9:$B$508,MATCH($AG173,_EngineTrades!$AV$9:$AV$508,0)))</f>
        <v/>
      </c>
      <c r="C173" s="61" t="str">
        <f>IF($A173="","",INDEX(_EngineTrades!$T$9:$T$508,MATCH($AG173,_EngineTrades!$AV$9:$AV$508,0)))</f>
        <v/>
      </c>
      <c r="D173" s="47" t="str">
        <f>IF($A173="","",INDEX(_EngineTrades!$C$9:$C$508,MATCH($AG173,_EngineTrades!$AV$9:$AV$508,0)))</f>
        <v/>
      </c>
      <c r="E173" s="62" t="str">
        <f>IF($A173="","",IF(IFERROR(LOOKUP(2,1/(_EngineTrades!$AU$9:$AU$508=$A173),_EngineTrades!$AR$9:$AR$508),FALSE),"Closed","Open"))</f>
        <v/>
      </c>
      <c r="F173" s="63" t="str">
        <f>IF($A173="","",INDEX(_EngineTrades!$E$9:$E$508,$AG173-8))</f>
        <v/>
      </c>
      <c r="G173" s="63" t="str">
        <f>IF(OR($A173="",$E173&lt;&gt;"Closed"),"",IFERROR(INDEX(_EngineTrades!$E$9:$E$508,SUMIFS(_EngineTrades!$AX$9:$AX$508,_EngineTrades!$AU$9:$AU$508,$A173)-8),""))</f>
        <v/>
      </c>
      <c r="H173" s="49" t="str">
        <f>IF($A173="","",ROUND(SUMIFS(_EngineTrades!$Y$9:$Y$508,_EngineTrades!$AU$9:$AU$508,$A173),4))</f>
        <v/>
      </c>
      <c r="I173" s="49" t="str">
        <f>IF($A173="","",ROUND(SUMIFS(_EngineTrades!$Z$9:$Z$508,_EngineTrades!$AU$9:$AU$508,$A173),4))</f>
        <v/>
      </c>
      <c r="J173" s="45" t="str">
        <f t="shared" si="40"/>
        <v/>
      </c>
      <c r="K173" s="49" t="str">
        <f>IF($A173="","",ROUND(SUMIFS(_EngineTrades!$AA$9:$AA$508,_EngineTrades!$AU$9:$AU$508,$A173),4))</f>
        <v/>
      </c>
      <c r="L173" s="49" t="str">
        <f>IF($A173="","",ROUND(SUMIFS(_EngineTrades!$AB$9:$AB$508,_EngineTrades!$AU$9:$AU$508,$A173),4))</f>
        <v/>
      </c>
      <c r="M173" s="49" t="str">
        <f>IF($A173="","",ROUND(SUMIFS(_EngineTrades!$AC$9:$AC$508,_EngineTrades!$AU$9:$AU$508,$A173),4))</f>
        <v/>
      </c>
      <c r="N173" s="49" t="str">
        <f>IF($A173="","",ROUND(SUMIFS(_EngineTrades!$AD$9:$AD$508,_EngineTrades!$AU$9:$AU$508,$A173),4))</f>
        <v/>
      </c>
      <c r="O173" s="45" t="str">
        <f t="shared" si="41"/>
        <v/>
      </c>
      <c r="P173" s="61">
        <f>IF(OR($A173="",$E173&lt;&gt;"Open"),0,IFERROR(LOOKUP(2,1/(_EngineTrades!$AU$9:$AU$508=$A173),_EngineTrades!$AM$9:$AM$508),0))</f>
        <v>0</v>
      </c>
      <c r="Q173" s="49" t="str">
        <f>IF(OR($A173="",$P173=0),"",ROUND(IFERROR(LOOKUP(2,1/(_EngineTrades!$AU$9:$AU$508=$A173),_EngineTrades!$AN$9:$AN$508),0)/$P173,4))</f>
        <v/>
      </c>
      <c r="R173" s="49">
        <f>IF(OR($A173="",$E173&lt;&gt;"Open"),0,IFERROR(LOOKUP(2,1/(_EngineTrades!$AU$9:$AU$508=$A173),_EngineTrades!$AO$9:$AO$508),0))</f>
        <v>0</v>
      </c>
      <c r="S173" s="49">
        <f>IF(OR($A173="",$E173&lt;&gt;"Open"),0,ROUND($R173+IFERROR(LOOKUP(2,1/(_EngineTrades!$AU$9:$AU$508=$A173),_EngineTrades!$AN$9:$AN$508),0),4))</f>
        <v>0</v>
      </c>
      <c r="T173" s="49" t="str">
        <f>IF($A173="","",ROUND(IFERROR(LOOKUP(2,1/(_EngineTrades!$AU$9:$AU$508=$A173),_EngineTrades!$AT$9:$AT$508),0),4))</f>
        <v/>
      </c>
      <c r="U173" s="49" t="str">
        <f t="shared" si="42"/>
        <v/>
      </c>
      <c r="V173" s="49" t="str">
        <f>IF(AND($A173&lt;&gt;"",$E173="Open",$P173+N(IFERROR(LOOKUP(2,1/(_EngineTrades!$AU$9:$AU$508=$A173),_EngineTrades!$AP$9:$AP$508),0))&gt;0),ROUND(($R173-$O173)/($P173+N(IFERROR(LOOKUP(2,1/(_EngineTrades!$AU$9:$AU$508=$A173),_EngineTrades!$AP$9:$AP$508),0))),4),"")</f>
        <v/>
      </c>
      <c r="W173" s="64" t="str">
        <f>IF($A173="","",MAX(1,IF($G173="",_EngineTrades!$E$3-$F173,$G173-$F173)))</f>
        <v/>
      </c>
      <c r="X173" s="65" t="str">
        <f t="shared" si="43"/>
        <v/>
      </c>
      <c r="Y173" s="65" t="str">
        <f t="shared" si="44"/>
        <v/>
      </c>
      <c r="Z173" s="44">
        <f>IF(Cycles!U173="",0,Cycles!U173)</f>
        <v>0</v>
      </c>
      <c r="AA173" s="44">
        <f>IF(Cycles!V173="",0,Cycles!V173)</f>
        <v>0</v>
      </c>
      <c r="AB173" s="44">
        <f>IF(Cycles!W173="",0,Cycles!W173)</f>
        <v>0</v>
      </c>
      <c r="AC173" s="44">
        <f>IF(Cycles!X173="",0,Cycles!X173)</f>
        <v>0</v>
      </c>
      <c r="AD173" s="49" t="str">
        <f t="shared" si="45"/>
        <v/>
      </c>
      <c r="AE173" s="49" t="str">
        <f t="shared" si="46"/>
        <v/>
      </c>
      <c r="AF173" s="49" t="str">
        <f t="shared" si="47"/>
        <v/>
      </c>
      <c r="AG173" t="str">
        <f>IFERROR(MATCH(ROWS($AG$9:AG173),_EngineTrades!$AW$9:$AW$508,0)+8,"")</f>
        <v/>
      </c>
    </row>
    <row r="174" spans="1:33" ht="15" x14ac:dyDescent="0.25">
      <c r="A174" s="66" t="str">
        <f>IF($AG174="","",IFERROR(INDEX(_EngineTrades!$AU$9:$AU$508,MATCH($AG174,_EngineTrades!$AV$9:$AV$508,0)),""))</f>
        <v/>
      </c>
      <c r="B174" s="66" t="str">
        <f>IF($A174="","",INDEX(_EngineTrades!$B$9:$B$508,MATCH($AG174,_EngineTrades!$AV$9:$AV$508,0)))</f>
        <v/>
      </c>
      <c r="C174" s="66" t="str">
        <f>IF($A174="","",INDEX(_EngineTrades!$T$9:$T$508,MATCH($AG174,_EngineTrades!$AV$9:$AV$508,0)))</f>
        <v/>
      </c>
      <c r="D174" s="67" t="str">
        <f>IF($A174="","",INDEX(_EngineTrades!$C$9:$C$508,MATCH($AG174,_EngineTrades!$AV$9:$AV$508,0)))</f>
        <v/>
      </c>
      <c r="E174" s="68" t="str">
        <f>IF($A174="","",IF(IFERROR(LOOKUP(2,1/(_EngineTrades!$AU$9:$AU$508=$A174),_EngineTrades!$AR$9:$AR$508),FALSE),"Closed","Open"))</f>
        <v/>
      </c>
      <c r="F174" s="69" t="str">
        <f>IF($A174="","",INDEX(_EngineTrades!$E$9:$E$508,$AG174-8))</f>
        <v/>
      </c>
      <c r="G174" s="69" t="str">
        <f>IF(OR($A174="",$E174&lt;&gt;"Closed"),"",IFERROR(INDEX(_EngineTrades!$E$9:$E$508,SUMIFS(_EngineTrades!$AX$9:$AX$508,_EngineTrades!$AU$9:$AU$508,$A174)-8),""))</f>
        <v/>
      </c>
      <c r="H174" s="70" t="str">
        <f>IF($A174="","",ROUND(SUMIFS(_EngineTrades!$Y$9:$Y$508,_EngineTrades!$AU$9:$AU$508,$A174),4))</f>
        <v/>
      </c>
      <c r="I174" s="70" t="str">
        <f>IF($A174="","",ROUND(SUMIFS(_EngineTrades!$Z$9:$Z$508,_EngineTrades!$AU$9:$AU$508,$A174),4))</f>
        <v/>
      </c>
      <c r="J174" s="71" t="str">
        <f t="shared" si="40"/>
        <v/>
      </c>
      <c r="K174" s="70" t="str">
        <f>IF($A174="","",ROUND(SUMIFS(_EngineTrades!$AA$9:$AA$508,_EngineTrades!$AU$9:$AU$508,$A174),4))</f>
        <v/>
      </c>
      <c r="L174" s="70" t="str">
        <f>IF($A174="","",ROUND(SUMIFS(_EngineTrades!$AB$9:$AB$508,_EngineTrades!$AU$9:$AU$508,$A174),4))</f>
        <v/>
      </c>
      <c r="M174" s="70" t="str">
        <f>IF($A174="","",ROUND(SUMIFS(_EngineTrades!$AC$9:$AC$508,_EngineTrades!$AU$9:$AU$508,$A174),4))</f>
        <v/>
      </c>
      <c r="N174" s="70" t="str">
        <f>IF($A174="","",ROUND(SUMIFS(_EngineTrades!$AD$9:$AD$508,_EngineTrades!$AU$9:$AU$508,$A174),4))</f>
        <v/>
      </c>
      <c r="O174" s="71" t="str">
        <f t="shared" si="41"/>
        <v/>
      </c>
      <c r="P174" s="66">
        <f>IF(OR($A174="",$E174&lt;&gt;"Open"),0,IFERROR(LOOKUP(2,1/(_EngineTrades!$AU$9:$AU$508=$A174),_EngineTrades!$AM$9:$AM$508),0))</f>
        <v>0</v>
      </c>
      <c r="Q174" s="70" t="str">
        <f>IF(OR($A174="",$P174=0),"",ROUND(IFERROR(LOOKUP(2,1/(_EngineTrades!$AU$9:$AU$508=$A174),_EngineTrades!$AN$9:$AN$508),0)/$P174,4))</f>
        <v/>
      </c>
      <c r="R174" s="70">
        <f>IF(OR($A174="",$E174&lt;&gt;"Open"),0,IFERROR(LOOKUP(2,1/(_EngineTrades!$AU$9:$AU$508=$A174),_EngineTrades!$AO$9:$AO$508),0))</f>
        <v>0</v>
      </c>
      <c r="S174" s="70">
        <f>IF(OR($A174="",$E174&lt;&gt;"Open"),0,ROUND($R174+IFERROR(LOOKUP(2,1/(_EngineTrades!$AU$9:$AU$508=$A174),_EngineTrades!$AN$9:$AN$508),0),4))</f>
        <v>0</v>
      </c>
      <c r="T174" s="70" t="str">
        <f>IF($A174="","",ROUND(IFERROR(LOOKUP(2,1/(_EngineTrades!$AU$9:$AU$508=$A174),_EngineTrades!$AT$9:$AT$508),0),4))</f>
        <v/>
      </c>
      <c r="U174" s="70" t="str">
        <f t="shared" si="42"/>
        <v/>
      </c>
      <c r="V174" s="70" t="str">
        <f>IF(AND($A174&lt;&gt;"",$E174="Open",$P174+N(IFERROR(LOOKUP(2,1/(_EngineTrades!$AU$9:$AU$508=$A174),_EngineTrades!$AP$9:$AP$508),0))&gt;0),ROUND(($R174-$O174)/($P174+N(IFERROR(LOOKUP(2,1/(_EngineTrades!$AU$9:$AU$508=$A174),_EngineTrades!$AP$9:$AP$508),0))),4),"")</f>
        <v/>
      </c>
      <c r="W174" s="72" t="str">
        <f>IF($A174="","",MAX(1,IF($G174="",_EngineTrades!$E$3-$F174,$G174-$F174)))</f>
        <v/>
      </c>
      <c r="X174" s="73" t="str">
        <f t="shared" si="43"/>
        <v/>
      </c>
      <c r="Y174" s="73" t="str">
        <f t="shared" si="44"/>
        <v/>
      </c>
      <c r="Z174" s="44">
        <f>IF(Cycles!U174="",0,Cycles!U174)</f>
        <v>0</v>
      </c>
      <c r="AA174" s="44">
        <f>IF(Cycles!V174="",0,Cycles!V174)</f>
        <v>0</v>
      </c>
      <c r="AB174" s="44">
        <f>IF(Cycles!W174="",0,Cycles!W174)</f>
        <v>0</v>
      </c>
      <c r="AC174" s="44">
        <f>IF(Cycles!X174="",0,Cycles!X174)</f>
        <v>0</v>
      </c>
      <c r="AD174" s="70" t="str">
        <f t="shared" si="45"/>
        <v/>
      </c>
      <c r="AE174" s="70" t="str">
        <f t="shared" si="46"/>
        <v/>
      </c>
      <c r="AF174" s="70" t="str">
        <f t="shared" si="47"/>
        <v/>
      </c>
      <c r="AG174" t="str">
        <f>IFERROR(MATCH(ROWS($AG$9:AG174),_EngineTrades!$AW$9:$AW$508,0)+8,"")</f>
        <v/>
      </c>
    </row>
    <row r="175" spans="1:33" ht="15" x14ac:dyDescent="0.25">
      <c r="A175" s="61" t="str">
        <f>IF($AG175="","",IFERROR(INDEX(_EngineTrades!$AU$9:$AU$508,MATCH($AG175,_EngineTrades!$AV$9:$AV$508,0)),""))</f>
        <v/>
      </c>
      <c r="B175" s="61" t="str">
        <f>IF($A175="","",INDEX(_EngineTrades!$B$9:$B$508,MATCH($AG175,_EngineTrades!$AV$9:$AV$508,0)))</f>
        <v/>
      </c>
      <c r="C175" s="61" t="str">
        <f>IF($A175="","",INDEX(_EngineTrades!$T$9:$T$508,MATCH($AG175,_EngineTrades!$AV$9:$AV$508,0)))</f>
        <v/>
      </c>
      <c r="D175" s="47" t="str">
        <f>IF($A175="","",INDEX(_EngineTrades!$C$9:$C$508,MATCH($AG175,_EngineTrades!$AV$9:$AV$508,0)))</f>
        <v/>
      </c>
      <c r="E175" s="62" t="str">
        <f>IF($A175="","",IF(IFERROR(LOOKUP(2,1/(_EngineTrades!$AU$9:$AU$508=$A175),_EngineTrades!$AR$9:$AR$508),FALSE),"Closed","Open"))</f>
        <v/>
      </c>
      <c r="F175" s="63" t="str">
        <f>IF($A175="","",INDEX(_EngineTrades!$E$9:$E$508,$AG175-8))</f>
        <v/>
      </c>
      <c r="G175" s="63" t="str">
        <f>IF(OR($A175="",$E175&lt;&gt;"Closed"),"",IFERROR(INDEX(_EngineTrades!$E$9:$E$508,SUMIFS(_EngineTrades!$AX$9:$AX$508,_EngineTrades!$AU$9:$AU$508,$A175)-8),""))</f>
        <v/>
      </c>
      <c r="H175" s="49" t="str">
        <f>IF($A175="","",ROUND(SUMIFS(_EngineTrades!$Y$9:$Y$508,_EngineTrades!$AU$9:$AU$508,$A175),4))</f>
        <v/>
      </c>
      <c r="I175" s="49" t="str">
        <f>IF($A175="","",ROUND(SUMIFS(_EngineTrades!$Z$9:$Z$508,_EngineTrades!$AU$9:$AU$508,$A175),4))</f>
        <v/>
      </c>
      <c r="J175" s="45" t="str">
        <f t="shared" si="40"/>
        <v/>
      </c>
      <c r="K175" s="49" t="str">
        <f>IF($A175="","",ROUND(SUMIFS(_EngineTrades!$AA$9:$AA$508,_EngineTrades!$AU$9:$AU$508,$A175),4))</f>
        <v/>
      </c>
      <c r="L175" s="49" t="str">
        <f>IF($A175="","",ROUND(SUMIFS(_EngineTrades!$AB$9:$AB$508,_EngineTrades!$AU$9:$AU$508,$A175),4))</f>
        <v/>
      </c>
      <c r="M175" s="49" t="str">
        <f>IF($A175="","",ROUND(SUMIFS(_EngineTrades!$AC$9:$AC$508,_EngineTrades!$AU$9:$AU$508,$A175),4))</f>
        <v/>
      </c>
      <c r="N175" s="49" t="str">
        <f>IF($A175="","",ROUND(SUMIFS(_EngineTrades!$AD$9:$AD$508,_EngineTrades!$AU$9:$AU$508,$A175),4))</f>
        <v/>
      </c>
      <c r="O175" s="45" t="str">
        <f t="shared" si="41"/>
        <v/>
      </c>
      <c r="P175" s="61">
        <f>IF(OR($A175="",$E175&lt;&gt;"Open"),0,IFERROR(LOOKUP(2,1/(_EngineTrades!$AU$9:$AU$508=$A175),_EngineTrades!$AM$9:$AM$508),0))</f>
        <v>0</v>
      </c>
      <c r="Q175" s="49" t="str">
        <f>IF(OR($A175="",$P175=0),"",ROUND(IFERROR(LOOKUP(2,1/(_EngineTrades!$AU$9:$AU$508=$A175),_EngineTrades!$AN$9:$AN$508),0)/$P175,4))</f>
        <v/>
      </c>
      <c r="R175" s="49">
        <f>IF(OR($A175="",$E175&lt;&gt;"Open"),0,IFERROR(LOOKUP(2,1/(_EngineTrades!$AU$9:$AU$508=$A175),_EngineTrades!$AO$9:$AO$508),0))</f>
        <v>0</v>
      </c>
      <c r="S175" s="49">
        <f>IF(OR($A175="",$E175&lt;&gt;"Open"),0,ROUND($R175+IFERROR(LOOKUP(2,1/(_EngineTrades!$AU$9:$AU$508=$A175),_EngineTrades!$AN$9:$AN$508),0),4))</f>
        <v>0</v>
      </c>
      <c r="T175" s="49" t="str">
        <f>IF($A175="","",ROUND(IFERROR(LOOKUP(2,1/(_EngineTrades!$AU$9:$AU$508=$A175),_EngineTrades!$AT$9:$AT$508),0),4))</f>
        <v/>
      </c>
      <c r="U175" s="49" t="str">
        <f t="shared" si="42"/>
        <v/>
      </c>
      <c r="V175" s="49" t="str">
        <f>IF(AND($A175&lt;&gt;"",$E175="Open",$P175+N(IFERROR(LOOKUP(2,1/(_EngineTrades!$AU$9:$AU$508=$A175),_EngineTrades!$AP$9:$AP$508),0))&gt;0),ROUND(($R175-$O175)/($P175+N(IFERROR(LOOKUP(2,1/(_EngineTrades!$AU$9:$AU$508=$A175),_EngineTrades!$AP$9:$AP$508),0))),4),"")</f>
        <v/>
      </c>
      <c r="W175" s="64" t="str">
        <f>IF($A175="","",MAX(1,IF($G175="",_EngineTrades!$E$3-$F175,$G175-$F175)))</f>
        <v/>
      </c>
      <c r="X175" s="65" t="str">
        <f t="shared" si="43"/>
        <v/>
      </c>
      <c r="Y175" s="65" t="str">
        <f t="shared" si="44"/>
        <v/>
      </c>
      <c r="Z175" s="44">
        <f>IF(Cycles!U175="",0,Cycles!U175)</f>
        <v>0</v>
      </c>
      <c r="AA175" s="44">
        <f>IF(Cycles!V175="",0,Cycles!V175)</f>
        <v>0</v>
      </c>
      <c r="AB175" s="44">
        <f>IF(Cycles!W175="",0,Cycles!W175)</f>
        <v>0</v>
      </c>
      <c r="AC175" s="44">
        <f>IF(Cycles!X175="",0,Cycles!X175)</f>
        <v>0</v>
      </c>
      <c r="AD175" s="49" t="str">
        <f t="shared" si="45"/>
        <v/>
      </c>
      <c r="AE175" s="49" t="str">
        <f t="shared" si="46"/>
        <v/>
      </c>
      <c r="AF175" s="49" t="str">
        <f t="shared" si="47"/>
        <v/>
      </c>
      <c r="AG175" t="str">
        <f>IFERROR(MATCH(ROWS($AG$9:AG175),_EngineTrades!$AW$9:$AW$508,0)+8,"")</f>
        <v/>
      </c>
    </row>
    <row r="176" spans="1:33" ht="15" x14ac:dyDescent="0.25">
      <c r="A176" s="66" t="str">
        <f>IF($AG176="","",IFERROR(INDEX(_EngineTrades!$AU$9:$AU$508,MATCH($AG176,_EngineTrades!$AV$9:$AV$508,0)),""))</f>
        <v/>
      </c>
      <c r="B176" s="66" t="str">
        <f>IF($A176="","",INDEX(_EngineTrades!$B$9:$B$508,MATCH($AG176,_EngineTrades!$AV$9:$AV$508,0)))</f>
        <v/>
      </c>
      <c r="C176" s="66" t="str">
        <f>IF($A176="","",INDEX(_EngineTrades!$T$9:$T$508,MATCH($AG176,_EngineTrades!$AV$9:$AV$508,0)))</f>
        <v/>
      </c>
      <c r="D176" s="67" t="str">
        <f>IF($A176="","",INDEX(_EngineTrades!$C$9:$C$508,MATCH($AG176,_EngineTrades!$AV$9:$AV$508,0)))</f>
        <v/>
      </c>
      <c r="E176" s="68" t="str">
        <f>IF($A176="","",IF(IFERROR(LOOKUP(2,1/(_EngineTrades!$AU$9:$AU$508=$A176),_EngineTrades!$AR$9:$AR$508),FALSE),"Closed","Open"))</f>
        <v/>
      </c>
      <c r="F176" s="69" t="str">
        <f>IF($A176="","",INDEX(_EngineTrades!$E$9:$E$508,$AG176-8))</f>
        <v/>
      </c>
      <c r="G176" s="69" t="str">
        <f>IF(OR($A176="",$E176&lt;&gt;"Closed"),"",IFERROR(INDEX(_EngineTrades!$E$9:$E$508,SUMIFS(_EngineTrades!$AX$9:$AX$508,_EngineTrades!$AU$9:$AU$508,$A176)-8),""))</f>
        <v/>
      </c>
      <c r="H176" s="70" t="str">
        <f>IF($A176="","",ROUND(SUMIFS(_EngineTrades!$Y$9:$Y$508,_EngineTrades!$AU$9:$AU$508,$A176),4))</f>
        <v/>
      </c>
      <c r="I176" s="70" t="str">
        <f>IF($A176="","",ROUND(SUMIFS(_EngineTrades!$Z$9:$Z$508,_EngineTrades!$AU$9:$AU$508,$A176),4))</f>
        <v/>
      </c>
      <c r="J176" s="71" t="str">
        <f t="shared" si="40"/>
        <v/>
      </c>
      <c r="K176" s="70" t="str">
        <f>IF($A176="","",ROUND(SUMIFS(_EngineTrades!$AA$9:$AA$508,_EngineTrades!$AU$9:$AU$508,$A176),4))</f>
        <v/>
      </c>
      <c r="L176" s="70" t="str">
        <f>IF($A176="","",ROUND(SUMIFS(_EngineTrades!$AB$9:$AB$508,_EngineTrades!$AU$9:$AU$508,$A176),4))</f>
        <v/>
      </c>
      <c r="M176" s="70" t="str">
        <f>IF($A176="","",ROUND(SUMIFS(_EngineTrades!$AC$9:$AC$508,_EngineTrades!$AU$9:$AU$508,$A176),4))</f>
        <v/>
      </c>
      <c r="N176" s="70" t="str">
        <f>IF($A176="","",ROUND(SUMIFS(_EngineTrades!$AD$9:$AD$508,_EngineTrades!$AU$9:$AU$508,$A176),4))</f>
        <v/>
      </c>
      <c r="O176" s="71" t="str">
        <f t="shared" si="41"/>
        <v/>
      </c>
      <c r="P176" s="66">
        <f>IF(OR($A176="",$E176&lt;&gt;"Open"),0,IFERROR(LOOKUP(2,1/(_EngineTrades!$AU$9:$AU$508=$A176),_EngineTrades!$AM$9:$AM$508),0))</f>
        <v>0</v>
      </c>
      <c r="Q176" s="70" t="str">
        <f>IF(OR($A176="",$P176=0),"",ROUND(IFERROR(LOOKUP(2,1/(_EngineTrades!$AU$9:$AU$508=$A176),_EngineTrades!$AN$9:$AN$508),0)/$P176,4))</f>
        <v/>
      </c>
      <c r="R176" s="70">
        <f>IF(OR($A176="",$E176&lt;&gt;"Open"),0,IFERROR(LOOKUP(2,1/(_EngineTrades!$AU$9:$AU$508=$A176),_EngineTrades!$AO$9:$AO$508),0))</f>
        <v>0</v>
      </c>
      <c r="S176" s="70">
        <f>IF(OR($A176="",$E176&lt;&gt;"Open"),0,ROUND($R176+IFERROR(LOOKUP(2,1/(_EngineTrades!$AU$9:$AU$508=$A176),_EngineTrades!$AN$9:$AN$508),0),4))</f>
        <v>0</v>
      </c>
      <c r="T176" s="70" t="str">
        <f>IF($A176="","",ROUND(IFERROR(LOOKUP(2,1/(_EngineTrades!$AU$9:$AU$508=$A176),_EngineTrades!$AT$9:$AT$508),0),4))</f>
        <v/>
      </c>
      <c r="U176" s="70" t="str">
        <f t="shared" si="42"/>
        <v/>
      </c>
      <c r="V176" s="70" t="str">
        <f>IF(AND($A176&lt;&gt;"",$E176="Open",$P176+N(IFERROR(LOOKUP(2,1/(_EngineTrades!$AU$9:$AU$508=$A176),_EngineTrades!$AP$9:$AP$508),0))&gt;0),ROUND(($R176-$O176)/($P176+N(IFERROR(LOOKUP(2,1/(_EngineTrades!$AU$9:$AU$508=$A176),_EngineTrades!$AP$9:$AP$508),0))),4),"")</f>
        <v/>
      </c>
      <c r="W176" s="72" t="str">
        <f>IF($A176="","",MAX(1,IF($G176="",_EngineTrades!$E$3-$F176,$G176-$F176)))</f>
        <v/>
      </c>
      <c r="X176" s="73" t="str">
        <f t="shared" si="43"/>
        <v/>
      </c>
      <c r="Y176" s="73" t="str">
        <f t="shared" si="44"/>
        <v/>
      </c>
      <c r="Z176" s="44">
        <f>IF(Cycles!U176="",0,Cycles!U176)</f>
        <v>0</v>
      </c>
      <c r="AA176" s="44">
        <f>IF(Cycles!V176="",0,Cycles!V176)</f>
        <v>0</v>
      </c>
      <c r="AB176" s="44">
        <f>IF(Cycles!W176="",0,Cycles!W176)</f>
        <v>0</v>
      </c>
      <c r="AC176" s="44">
        <f>IF(Cycles!X176="",0,Cycles!X176)</f>
        <v>0</v>
      </c>
      <c r="AD176" s="70" t="str">
        <f t="shared" si="45"/>
        <v/>
      </c>
      <c r="AE176" s="70" t="str">
        <f t="shared" si="46"/>
        <v/>
      </c>
      <c r="AF176" s="70" t="str">
        <f t="shared" si="47"/>
        <v/>
      </c>
      <c r="AG176" t="str">
        <f>IFERROR(MATCH(ROWS($AG$9:AG176),_EngineTrades!$AW$9:$AW$508,0)+8,"")</f>
        <v/>
      </c>
    </row>
    <row r="177" spans="1:33" ht="15" x14ac:dyDescent="0.25">
      <c r="A177" s="61" t="str">
        <f>IF($AG177="","",IFERROR(INDEX(_EngineTrades!$AU$9:$AU$508,MATCH($AG177,_EngineTrades!$AV$9:$AV$508,0)),""))</f>
        <v/>
      </c>
      <c r="B177" s="61" t="str">
        <f>IF($A177="","",INDEX(_EngineTrades!$B$9:$B$508,MATCH($AG177,_EngineTrades!$AV$9:$AV$508,0)))</f>
        <v/>
      </c>
      <c r="C177" s="61" t="str">
        <f>IF($A177="","",INDEX(_EngineTrades!$T$9:$T$508,MATCH($AG177,_EngineTrades!$AV$9:$AV$508,0)))</f>
        <v/>
      </c>
      <c r="D177" s="47" t="str">
        <f>IF($A177="","",INDEX(_EngineTrades!$C$9:$C$508,MATCH($AG177,_EngineTrades!$AV$9:$AV$508,0)))</f>
        <v/>
      </c>
      <c r="E177" s="62" t="str">
        <f>IF($A177="","",IF(IFERROR(LOOKUP(2,1/(_EngineTrades!$AU$9:$AU$508=$A177),_EngineTrades!$AR$9:$AR$508),FALSE),"Closed","Open"))</f>
        <v/>
      </c>
      <c r="F177" s="63" t="str">
        <f>IF($A177="","",INDEX(_EngineTrades!$E$9:$E$508,$AG177-8))</f>
        <v/>
      </c>
      <c r="G177" s="63" t="str">
        <f>IF(OR($A177="",$E177&lt;&gt;"Closed"),"",IFERROR(INDEX(_EngineTrades!$E$9:$E$508,SUMIFS(_EngineTrades!$AX$9:$AX$508,_EngineTrades!$AU$9:$AU$508,$A177)-8),""))</f>
        <v/>
      </c>
      <c r="H177" s="49" t="str">
        <f>IF($A177="","",ROUND(SUMIFS(_EngineTrades!$Y$9:$Y$508,_EngineTrades!$AU$9:$AU$508,$A177),4))</f>
        <v/>
      </c>
      <c r="I177" s="49" t="str">
        <f>IF($A177="","",ROUND(SUMIFS(_EngineTrades!$Z$9:$Z$508,_EngineTrades!$AU$9:$AU$508,$A177),4))</f>
        <v/>
      </c>
      <c r="J177" s="45" t="str">
        <f t="shared" si="40"/>
        <v/>
      </c>
      <c r="K177" s="49" t="str">
        <f>IF($A177="","",ROUND(SUMIFS(_EngineTrades!$AA$9:$AA$508,_EngineTrades!$AU$9:$AU$508,$A177),4))</f>
        <v/>
      </c>
      <c r="L177" s="49" t="str">
        <f>IF($A177="","",ROUND(SUMIFS(_EngineTrades!$AB$9:$AB$508,_EngineTrades!$AU$9:$AU$508,$A177),4))</f>
        <v/>
      </c>
      <c r="M177" s="49" t="str">
        <f>IF($A177="","",ROUND(SUMIFS(_EngineTrades!$AC$9:$AC$508,_EngineTrades!$AU$9:$AU$508,$A177),4))</f>
        <v/>
      </c>
      <c r="N177" s="49" t="str">
        <f>IF($A177="","",ROUND(SUMIFS(_EngineTrades!$AD$9:$AD$508,_EngineTrades!$AU$9:$AU$508,$A177),4))</f>
        <v/>
      </c>
      <c r="O177" s="45" t="str">
        <f t="shared" si="41"/>
        <v/>
      </c>
      <c r="P177" s="61">
        <f>IF(OR($A177="",$E177&lt;&gt;"Open"),0,IFERROR(LOOKUP(2,1/(_EngineTrades!$AU$9:$AU$508=$A177),_EngineTrades!$AM$9:$AM$508),0))</f>
        <v>0</v>
      </c>
      <c r="Q177" s="49" t="str">
        <f>IF(OR($A177="",$P177=0),"",ROUND(IFERROR(LOOKUP(2,1/(_EngineTrades!$AU$9:$AU$508=$A177),_EngineTrades!$AN$9:$AN$508),0)/$P177,4))</f>
        <v/>
      </c>
      <c r="R177" s="49">
        <f>IF(OR($A177="",$E177&lt;&gt;"Open"),0,IFERROR(LOOKUP(2,1/(_EngineTrades!$AU$9:$AU$508=$A177),_EngineTrades!$AO$9:$AO$508),0))</f>
        <v>0</v>
      </c>
      <c r="S177" s="49">
        <f>IF(OR($A177="",$E177&lt;&gt;"Open"),0,ROUND($R177+IFERROR(LOOKUP(2,1/(_EngineTrades!$AU$9:$AU$508=$A177),_EngineTrades!$AN$9:$AN$508),0),4))</f>
        <v>0</v>
      </c>
      <c r="T177" s="49" t="str">
        <f>IF($A177="","",ROUND(IFERROR(LOOKUP(2,1/(_EngineTrades!$AU$9:$AU$508=$A177),_EngineTrades!$AT$9:$AT$508),0),4))</f>
        <v/>
      </c>
      <c r="U177" s="49" t="str">
        <f t="shared" si="42"/>
        <v/>
      </c>
      <c r="V177" s="49" t="str">
        <f>IF(AND($A177&lt;&gt;"",$E177="Open",$P177+N(IFERROR(LOOKUP(2,1/(_EngineTrades!$AU$9:$AU$508=$A177),_EngineTrades!$AP$9:$AP$508),0))&gt;0),ROUND(($R177-$O177)/($P177+N(IFERROR(LOOKUP(2,1/(_EngineTrades!$AU$9:$AU$508=$A177),_EngineTrades!$AP$9:$AP$508),0))),4),"")</f>
        <v/>
      </c>
      <c r="W177" s="64" t="str">
        <f>IF($A177="","",MAX(1,IF($G177="",_EngineTrades!$E$3-$F177,$G177-$F177)))</f>
        <v/>
      </c>
      <c r="X177" s="65" t="str">
        <f t="shared" si="43"/>
        <v/>
      </c>
      <c r="Y177" s="65" t="str">
        <f t="shared" si="44"/>
        <v/>
      </c>
      <c r="Z177" s="44">
        <f>IF(Cycles!U177="",0,Cycles!U177)</f>
        <v>0</v>
      </c>
      <c r="AA177" s="44">
        <f>IF(Cycles!V177="",0,Cycles!V177)</f>
        <v>0</v>
      </c>
      <c r="AB177" s="44">
        <f>IF(Cycles!W177="",0,Cycles!W177)</f>
        <v>0</v>
      </c>
      <c r="AC177" s="44">
        <f>IF(Cycles!X177="",0,Cycles!X177)</f>
        <v>0</v>
      </c>
      <c r="AD177" s="49" t="str">
        <f t="shared" si="45"/>
        <v/>
      </c>
      <c r="AE177" s="49" t="str">
        <f t="shared" si="46"/>
        <v/>
      </c>
      <c r="AF177" s="49" t="str">
        <f t="shared" si="47"/>
        <v/>
      </c>
      <c r="AG177" t="str">
        <f>IFERROR(MATCH(ROWS($AG$9:AG177),_EngineTrades!$AW$9:$AW$508,0)+8,"")</f>
        <v/>
      </c>
    </row>
    <row r="178" spans="1:33" ht="15" x14ac:dyDescent="0.25">
      <c r="A178" s="66" t="str">
        <f>IF($AG178="","",IFERROR(INDEX(_EngineTrades!$AU$9:$AU$508,MATCH($AG178,_EngineTrades!$AV$9:$AV$508,0)),""))</f>
        <v/>
      </c>
      <c r="B178" s="66" t="str">
        <f>IF($A178="","",INDEX(_EngineTrades!$B$9:$B$508,MATCH($AG178,_EngineTrades!$AV$9:$AV$508,0)))</f>
        <v/>
      </c>
      <c r="C178" s="66" t="str">
        <f>IF($A178="","",INDEX(_EngineTrades!$T$9:$T$508,MATCH($AG178,_EngineTrades!$AV$9:$AV$508,0)))</f>
        <v/>
      </c>
      <c r="D178" s="67" t="str">
        <f>IF($A178="","",INDEX(_EngineTrades!$C$9:$C$508,MATCH($AG178,_EngineTrades!$AV$9:$AV$508,0)))</f>
        <v/>
      </c>
      <c r="E178" s="68" t="str">
        <f>IF($A178="","",IF(IFERROR(LOOKUP(2,1/(_EngineTrades!$AU$9:$AU$508=$A178),_EngineTrades!$AR$9:$AR$508),FALSE),"Closed","Open"))</f>
        <v/>
      </c>
      <c r="F178" s="69" t="str">
        <f>IF($A178="","",INDEX(_EngineTrades!$E$9:$E$508,$AG178-8))</f>
        <v/>
      </c>
      <c r="G178" s="69" t="str">
        <f>IF(OR($A178="",$E178&lt;&gt;"Closed"),"",IFERROR(INDEX(_EngineTrades!$E$9:$E$508,SUMIFS(_EngineTrades!$AX$9:$AX$508,_EngineTrades!$AU$9:$AU$508,$A178)-8),""))</f>
        <v/>
      </c>
      <c r="H178" s="70" t="str">
        <f>IF($A178="","",ROUND(SUMIFS(_EngineTrades!$Y$9:$Y$508,_EngineTrades!$AU$9:$AU$508,$A178),4))</f>
        <v/>
      </c>
      <c r="I178" s="70" t="str">
        <f>IF($A178="","",ROUND(SUMIFS(_EngineTrades!$Z$9:$Z$508,_EngineTrades!$AU$9:$AU$508,$A178),4))</f>
        <v/>
      </c>
      <c r="J178" s="71" t="str">
        <f t="shared" si="40"/>
        <v/>
      </c>
      <c r="K178" s="70" t="str">
        <f>IF($A178="","",ROUND(SUMIFS(_EngineTrades!$AA$9:$AA$508,_EngineTrades!$AU$9:$AU$508,$A178),4))</f>
        <v/>
      </c>
      <c r="L178" s="70" t="str">
        <f>IF($A178="","",ROUND(SUMIFS(_EngineTrades!$AB$9:$AB$508,_EngineTrades!$AU$9:$AU$508,$A178),4))</f>
        <v/>
      </c>
      <c r="M178" s="70" t="str">
        <f>IF($A178="","",ROUND(SUMIFS(_EngineTrades!$AC$9:$AC$508,_EngineTrades!$AU$9:$AU$508,$A178),4))</f>
        <v/>
      </c>
      <c r="N178" s="70" t="str">
        <f>IF($A178="","",ROUND(SUMIFS(_EngineTrades!$AD$9:$AD$508,_EngineTrades!$AU$9:$AU$508,$A178),4))</f>
        <v/>
      </c>
      <c r="O178" s="71" t="str">
        <f t="shared" si="41"/>
        <v/>
      </c>
      <c r="P178" s="66">
        <f>IF(OR($A178="",$E178&lt;&gt;"Open"),0,IFERROR(LOOKUP(2,1/(_EngineTrades!$AU$9:$AU$508=$A178),_EngineTrades!$AM$9:$AM$508),0))</f>
        <v>0</v>
      </c>
      <c r="Q178" s="70" t="str">
        <f>IF(OR($A178="",$P178=0),"",ROUND(IFERROR(LOOKUP(2,1/(_EngineTrades!$AU$9:$AU$508=$A178),_EngineTrades!$AN$9:$AN$508),0)/$P178,4))</f>
        <v/>
      </c>
      <c r="R178" s="70">
        <f>IF(OR($A178="",$E178&lt;&gt;"Open"),0,IFERROR(LOOKUP(2,1/(_EngineTrades!$AU$9:$AU$508=$A178),_EngineTrades!$AO$9:$AO$508),0))</f>
        <v>0</v>
      </c>
      <c r="S178" s="70">
        <f>IF(OR($A178="",$E178&lt;&gt;"Open"),0,ROUND($R178+IFERROR(LOOKUP(2,1/(_EngineTrades!$AU$9:$AU$508=$A178),_EngineTrades!$AN$9:$AN$508),0),4))</f>
        <v>0</v>
      </c>
      <c r="T178" s="70" t="str">
        <f>IF($A178="","",ROUND(IFERROR(LOOKUP(2,1/(_EngineTrades!$AU$9:$AU$508=$A178),_EngineTrades!$AT$9:$AT$508),0),4))</f>
        <v/>
      </c>
      <c r="U178" s="70" t="str">
        <f t="shared" si="42"/>
        <v/>
      </c>
      <c r="V178" s="70" t="str">
        <f>IF(AND($A178&lt;&gt;"",$E178="Open",$P178+N(IFERROR(LOOKUP(2,1/(_EngineTrades!$AU$9:$AU$508=$A178),_EngineTrades!$AP$9:$AP$508),0))&gt;0),ROUND(($R178-$O178)/($P178+N(IFERROR(LOOKUP(2,1/(_EngineTrades!$AU$9:$AU$508=$A178),_EngineTrades!$AP$9:$AP$508),0))),4),"")</f>
        <v/>
      </c>
      <c r="W178" s="72" t="str">
        <f>IF($A178="","",MAX(1,IF($G178="",_EngineTrades!$E$3-$F178,$G178-$F178)))</f>
        <v/>
      </c>
      <c r="X178" s="73" t="str">
        <f t="shared" si="43"/>
        <v/>
      </c>
      <c r="Y178" s="73" t="str">
        <f t="shared" si="44"/>
        <v/>
      </c>
      <c r="Z178" s="44">
        <f>IF(Cycles!U178="",0,Cycles!U178)</f>
        <v>0</v>
      </c>
      <c r="AA178" s="44">
        <f>IF(Cycles!V178="",0,Cycles!V178)</f>
        <v>0</v>
      </c>
      <c r="AB178" s="44">
        <f>IF(Cycles!W178="",0,Cycles!W178)</f>
        <v>0</v>
      </c>
      <c r="AC178" s="44">
        <f>IF(Cycles!X178="",0,Cycles!X178)</f>
        <v>0</v>
      </c>
      <c r="AD178" s="70" t="str">
        <f t="shared" si="45"/>
        <v/>
      </c>
      <c r="AE178" s="70" t="str">
        <f t="shared" si="46"/>
        <v/>
      </c>
      <c r="AF178" s="70" t="str">
        <f t="shared" si="47"/>
        <v/>
      </c>
      <c r="AG178" t="str">
        <f>IFERROR(MATCH(ROWS($AG$9:AG178),_EngineTrades!$AW$9:$AW$508,0)+8,"")</f>
        <v/>
      </c>
    </row>
    <row r="179" spans="1:33" ht="15" x14ac:dyDescent="0.25">
      <c r="A179" s="61" t="str">
        <f>IF($AG179="","",IFERROR(INDEX(_EngineTrades!$AU$9:$AU$508,MATCH($AG179,_EngineTrades!$AV$9:$AV$508,0)),""))</f>
        <v/>
      </c>
      <c r="B179" s="61" t="str">
        <f>IF($A179="","",INDEX(_EngineTrades!$B$9:$B$508,MATCH($AG179,_EngineTrades!$AV$9:$AV$508,0)))</f>
        <v/>
      </c>
      <c r="C179" s="61" t="str">
        <f>IF($A179="","",INDEX(_EngineTrades!$T$9:$T$508,MATCH($AG179,_EngineTrades!$AV$9:$AV$508,0)))</f>
        <v/>
      </c>
      <c r="D179" s="47" t="str">
        <f>IF($A179="","",INDEX(_EngineTrades!$C$9:$C$508,MATCH($AG179,_EngineTrades!$AV$9:$AV$508,0)))</f>
        <v/>
      </c>
      <c r="E179" s="62" t="str">
        <f>IF($A179="","",IF(IFERROR(LOOKUP(2,1/(_EngineTrades!$AU$9:$AU$508=$A179),_EngineTrades!$AR$9:$AR$508),FALSE),"Closed","Open"))</f>
        <v/>
      </c>
      <c r="F179" s="63" t="str">
        <f>IF($A179="","",INDEX(_EngineTrades!$E$9:$E$508,$AG179-8))</f>
        <v/>
      </c>
      <c r="G179" s="63" t="str">
        <f>IF(OR($A179="",$E179&lt;&gt;"Closed"),"",IFERROR(INDEX(_EngineTrades!$E$9:$E$508,SUMIFS(_EngineTrades!$AX$9:$AX$508,_EngineTrades!$AU$9:$AU$508,$A179)-8),""))</f>
        <v/>
      </c>
      <c r="H179" s="49" t="str">
        <f>IF($A179="","",ROUND(SUMIFS(_EngineTrades!$Y$9:$Y$508,_EngineTrades!$AU$9:$AU$508,$A179),4))</f>
        <v/>
      </c>
      <c r="I179" s="49" t="str">
        <f>IF($A179="","",ROUND(SUMIFS(_EngineTrades!$Z$9:$Z$508,_EngineTrades!$AU$9:$AU$508,$A179),4))</f>
        <v/>
      </c>
      <c r="J179" s="45" t="str">
        <f t="shared" si="40"/>
        <v/>
      </c>
      <c r="K179" s="49" t="str">
        <f>IF($A179="","",ROUND(SUMIFS(_EngineTrades!$AA$9:$AA$508,_EngineTrades!$AU$9:$AU$508,$A179),4))</f>
        <v/>
      </c>
      <c r="L179" s="49" t="str">
        <f>IF($A179="","",ROUND(SUMIFS(_EngineTrades!$AB$9:$AB$508,_EngineTrades!$AU$9:$AU$508,$A179),4))</f>
        <v/>
      </c>
      <c r="M179" s="49" t="str">
        <f>IF($A179="","",ROUND(SUMIFS(_EngineTrades!$AC$9:$AC$508,_EngineTrades!$AU$9:$AU$508,$A179),4))</f>
        <v/>
      </c>
      <c r="N179" s="49" t="str">
        <f>IF($A179="","",ROUND(SUMIFS(_EngineTrades!$AD$9:$AD$508,_EngineTrades!$AU$9:$AU$508,$A179),4))</f>
        <v/>
      </c>
      <c r="O179" s="45" t="str">
        <f t="shared" si="41"/>
        <v/>
      </c>
      <c r="P179" s="61">
        <f>IF(OR($A179="",$E179&lt;&gt;"Open"),0,IFERROR(LOOKUP(2,1/(_EngineTrades!$AU$9:$AU$508=$A179),_EngineTrades!$AM$9:$AM$508),0))</f>
        <v>0</v>
      </c>
      <c r="Q179" s="49" t="str">
        <f>IF(OR($A179="",$P179=0),"",ROUND(IFERROR(LOOKUP(2,1/(_EngineTrades!$AU$9:$AU$508=$A179),_EngineTrades!$AN$9:$AN$508),0)/$P179,4))</f>
        <v/>
      </c>
      <c r="R179" s="49">
        <f>IF(OR($A179="",$E179&lt;&gt;"Open"),0,IFERROR(LOOKUP(2,1/(_EngineTrades!$AU$9:$AU$508=$A179),_EngineTrades!$AO$9:$AO$508),0))</f>
        <v>0</v>
      </c>
      <c r="S179" s="49">
        <f>IF(OR($A179="",$E179&lt;&gt;"Open"),0,ROUND($R179+IFERROR(LOOKUP(2,1/(_EngineTrades!$AU$9:$AU$508=$A179),_EngineTrades!$AN$9:$AN$508),0),4))</f>
        <v>0</v>
      </c>
      <c r="T179" s="49" t="str">
        <f>IF($A179="","",ROUND(IFERROR(LOOKUP(2,1/(_EngineTrades!$AU$9:$AU$508=$A179),_EngineTrades!$AT$9:$AT$508),0),4))</f>
        <v/>
      </c>
      <c r="U179" s="49" t="str">
        <f t="shared" si="42"/>
        <v/>
      </c>
      <c r="V179" s="49" t="str">
        <f>IF(AND($A179&lt;&gt;"",$E179="Open",$P179+N(IFERROR(LOOKUP(2,1/(_EngineTrades!$AU$9:$AU$508=$A179),_EngineTrades!$AP$9:$AP$508),0))&gt;0),ROUND(($R179-$O179)/($P179+N(IFERROR(LOOKUP(2,1/(_EngineTrades!$AU$9:$AU$508=$A179),_EngineTrades!$AP$9:$AP$508),0))),4),"")</f>
        <v/>
      </c>
      <c r="W179" s="64" t="str">
        <f>IF($A179="","",MAX(1,IF($G179="",_EngineTrades!$E$3-$F179,$G179-$F179)))</f>
        <v/>
      </c>
      <c r="X179" s="65" t="str">
        <f t="shared" si="43"/>
        <v/>
      </c>
      <c r="Y179" s="65" t="str">
        <f t="shared" si="44"/>
        <v/>
      </c>
      <c r="Z179" s="44">
        <f>IF(Cycles!U179="",0,Cycles!U179)</f>
        <v>0</v>
      </c>
      <c r="AA179" s="44">
        <f>IF(Cycles!V179="",0,Cycles!V179)</f>
        <v>0</v>
      </c>
      <c r="AB179" s="44">
        <f>IF(Cycles!W179="",0,Cycles!W179)</f>
        <v>0</v>
      </c>
      <c r="AC179" s="44">
        <f>IF(Cycles!X179="",0,Cycles!X179)</f>
        <v>0</v>
      </c>
      <c r="AD179" s="49" t="str">
        <f t="shared" si="45"/>
        <v/>
      </c>
      <c r="AE179" s="49" t="str">
        <f t="shared" si="46"/>
        <v/>
      </c>
      <c r="AF179" s="49" t="str">
        <f t="shared" si="47"/>
        <v/>
      </c>
      <c r="AG179" t="str">
        <f>IFERROR(MATCH(ROWS($AG$9:AG179),_EngineTrades!$AW$9:$AW$508,0)+8,"")</f>
        <v/>
      </c>
    </row>
    <row r="180" spans="1:33" ht="15" x14ac:dyDescent="0.25">
      <c r="A180" s="66" t="str">
        <f>IF($AG180="","",IFERROR(INDEX(_EngineTrades!$AU$9:$AU$508,MATCH($AG180,_EngineTrades!$AV$9:$AV$508,0)),""))</f>
        <v/>
      </c>
      <c r="B180" s="66" t="str">
        <f>IF($A180="","",INDEX(_EngineTrades!$B$9:$B$508,MATCH($AG180,_EngineTrades!$AV$9:$AV$508,0)))</f>
        <v/>
      </c>
      <c r="C180" s="66" t="str">
        <f>IF($A180="","",INDEX(_EngineTrades!$T$9:$T$508,MATCH($AG180,_EngineTrades!$AV$9:$AV$508,0)))</f>
        <v/>
      </c>
      <c r="D180" s="67" t="str">
        <f>IF($A180="","",INDEX(_EngineTrades!$C$9:$C$508,MATCH($AG180,_EngineTrades!$AV$9:$AV$508,0)))</f>
        <v/>
      </c>
      <c r="E180" s="68" t="str">
        <f>IF($A180="","",IF(IFERROR(LOOKUP(2,1/(_EngineTrades!$AU$9:$AU$508=$A180),_EngineTrades!$AR$9:$AR$508),FALSE),"Closed","Open"))</f>
        <v/>
      </c>
      <c r="F180" s="69" t="str">
        <f>IF($A180="","",INDEX(_EngineTrades!$E$9:$E$508,$AG180-8))</f>
        <v/>
      </c>
      <c r="G180" s="69" t="str">
        <f>IF(OR($A180="",$E180&lt;&gt;"Closed"),"",IFERROR(INDEX(_EngineTrades!$E$9:$E$508,SUMIFS(_EngineTrades!$AX$9:$AX$508,_EngineTrades!$AU$9:$AU$508,$A180)-8),""))</f>
        <v/>
      </c>
      <c r="H180" s="70" t="str">
        <f>IF($A180="","",ROUND(SUMIFS(_EngineTrades!$Y$9:$Y$508,_EngineTrades!$AU$9:$AU$508,$A180),4))</f>
        <v/>
      </c>
      <c r="I180" s="70" t="str">
        <f>IF($A180="","",ROUND(SUMIFS(_EngineTrades!$Z$9:$Z$508,_EngineTrades!$AU$9:$AU$508,$A180),4))</f>
        <v/>
      </c>
      <c r="J180" s="71" t="str">
        <f t="shared" si="40"/>
        <v/>
      </c>
      <c r="K180" s="70" t="str">
        <f>IF($A180="","",ROUND(SUMIFS(_EngineTrades!$AA$9:$AA$508,_EngineTrades!$AU$9:$AU$508,$A180),4))</f>
        <v/>
      </c>
      <c r="L180" s="70" t="str">
        <f>IF($A180="","",ROUND(SUMIFS(_EngineTrades!$AB$9:$AB$508,_EngineTrades!$AU$9:$AU$508,$A180),4))</f>
        <v/>
      </c>
      <c r="M180" s="70" t="str">
        <f>IF($A180="","",ROUND(SUMIFS(_EngineTrades!$AC$9:$AC$508,_EngineTrades!$AU$9:$AU$508,$A180),4))</f>
        <v/>
      </c>
      <c r="N180" s="70" t="str">
        <f>IF($A180="","",ROUND(SUMIFS(_EngineTrades!$AD$9:$AD$508,_EngineTrades!$AU$9:$AU$508,$A180),4))</f>
        <v/>
      </c>
      <c r="O180" s="71" t="str">
        <f t="shared" si="41"/>
        <v/>
      </c>
      <c r="P180" s="66">
        <f>IF(OR($A180="",$E180&lt;&gt;"Open"),0,IFERROR(LOOKUP(2,1/(_EngineTrades!$AU$9:$AU$508=$A180),_EngineTrades!$AM$9:$AM$508),0))</f>
        <v>0</v>
      </c>
      <c r="Q180" s="70" t="str">
        <f>IF(OR($A180="",$P180=0),"",ROUND(IFERROR(LOOKUP(2,1/(_EngineTrades!$AU$9:$AU$508=$A180),_EngineTrades!$AN$9:$AN$508),0)/$P180,4))</f>
        <v/>
      </c>
      <c r="R180" s="70">
        <f>IF(OR($A180="",$E180&lt;&gt;"Open"),0,IFERROR(LOOKUP(2,1/(_EngineTrades!$AU$9:$AU$508=$A180),_EngineTrades!$AO$9:$AO$508),0))</f>
        <v>0</v>
      </c>
      <c r="S180" s="70">
        <f>IF(OR($A180="",$E180&lt;&gt;"Open"),0,ROUND($R180+IFERROR(LOOKUP(2,1/(_EngineTrades!$AU$9:$AU$508=$A180),_EngineTrades!$AN$9:$AN$508),0),4))</f>
        <v>0</v>
      </c>
      <c r="T180" s="70" t="str">
        <f>IF($A180="","",ROUND(IFERROR(LOOKUP(2,1/(_EngineTrades!$AU$9:$AU$508=$A180),_EngineTrades!$AT$9:$AT$508),0),4))</f>
        <v/>
      </c>
      <c r="U180" s="70" t="str">
        <f t="shared" si="42"/>
        <v/>
      </c>
      <c r="V180" s="70" t="str">
        <f>IF(AND($A180&lt;&gt;"",$E180="Open",$P180+N(IFERROR(LOOKUP(2,1/(_EngineTrades!$AU$9:$AU$508=$A180),_EngineTrades!$AP$9:$AP$508),0))&gt;0),ROUND(($R180-$O180)/($P180+N(IFERROR(LOOKUP(2,1/(_EngineTrades!$AU$9:$AU$508=$A180),_EngineTrades!$AP$9:$AP$508),0))),4),"")</f>
        <v/>
      </c>
      <c r="W180" s="72" t="str">
        <f>IF($A180="","",MAX(1,IF($G180="",_EngineTrades!$E$3-$F180,$G180-$F180)))</f>
        <v/>
      </c>
      <c r="X180" s="73" t="str">
        <f t="shared" si="43"/>
        <v/>
      </c>
      <c r="Y180" s="73" t="str">
        <f t="shared" si="44"/>
        <v/>
      </c>
      <c r="Z180" s="44">
        <f>IF(Cycles!U180="",0,Cycles!U180)</f>
        <v>0</v>
      </c>
      <c r="AA180" s="44">
        <f>IF(Cycles!V180="",0,Cycles!V180)</f>
        <v>0</v>
      </c>
      <c r="AB180" s="44">
        <f>IF(Cycles!W180="",0,Cycles!W180)</f>
        <v>0</v>
      </c>
      <c r="AC180" s="44">
        <f>IF(Cycles!X180="",0,Cycles!X180)</f>
        <v>0</v>
      </c>
      <c r="AD180" s="70" t="str">
        <f t="shared" si="45"/>
        <v/>
      </c>
      <c r="AE180" s="70" t="str">
        <f t="shared" si="46"/>
        <v/>
      </c>
      <c r="AF180" s="70" t="str">
        <f t="shared" si="47"/>
        <v/>
      </c>
      <c r="AG180" t="str">
        <f>IFERROR(MATCH(ROWS($AG$9:AG180),_EngineTrades!$AW$9:$AW$508,0)+8,"")</f>
        <v/>
      </c>
    </row>
    <row r="181" spans="1:33" ht="15" x14ac:dyDescent="0.25">
      <c r="A181" s="61" t="str">
        <f>IF($AG181="","",IFERROR(INDEX(_EngineTrades!$AU$9:$AU$508,MATCH($AG181,_EngineTrades!$AV$9:$AV$508,0)),""))</f>
        <v/>
      </c>
      <c r="B181" s="61" t="str">
        <f>IF($A181="","",INDEX(_EngineTrades!$B$9:$B$508,MATCH($AG181,_EngineTrades!$AV$9:$AV$508,0)))</f>
        <v/>
      </c>
      <c r="C181" s="61" t="str">
        <f>IF($A181="","",INDEX(_EngineTrades!$T$9:$T$508,MATCH($AG181,_EngineTrades!$AV$9:$AV$508,0)))</f>
        <v/>
      </c>
      <c r="D181" s="47" t="str">
        <f>IF($A181="","",INDEX(_EngineTrades!$C$9:$C$508,MATCH($AG181,_EngineTrades!$AV$9:$AV$508,0)))</f>
        <v/>
      </c>
      <c r="E181" s="62" t="str">
        <f>IF($A181="","",IF(IFERROR(LOOKUP(2,1/(_EngineTrades!$AU$9:$AU$508=$A181),_EngineTrades!$AR$9:$AR$508),FALSE),"Closed","Open"))</f>
        <v/>
      </c>
      <c r="F181" s="63" t="str">
        <f>IF($A181="","",INDEX(_EngineTrades!$E$9:$E$508,$AG181-8))</f>
        <v/>
      </c>
      <c r="G181" s="63" t="str">
        <f>IF(OR($A181="",$E181&lt;&gt;"Closed"),"",IFERROR(INDEX(_EngineTrades!$E$9:$E$508,SUMIFS(_EngineTrades!$AX$9:$AX$508,_EngineTrades!$AU$9:$AU$508,$A181)-8),""))</f>
        <v/>
      </c>
      <c r="H181" s="49" t="str">
        <f>IF($A181="","",ROUND(SUMIFS(_EngineTrades!$Y$9:$Y$508,_EngineTrades!$AU$9:$AU$508,$A181),4))</f>
        <v/>
      </c>
      <c r="I181" s="49" t="str">
        <f>IF($A181="","",ROUND(SUMIFS(_EngineTrades!$Z$9:$Z$508,_EngineTrades!$AU$9:$AU$508,$A181),4))</f>
        <v/>
      </c>
      <c r="J181" s="45" t="str">
        <f t="shared" si="40"/>
        <v/>
      </c>
      <c r="K181" s="49" t="str">
        <f>IF($A181="","",ROUND(SUMIFS(_EngineTrades!$AA$9:$AA$508,_EngineTrades!$AU$9:$AU$508,$A181),4))</f>
        <v/>
      </c>
      <c r="L181" s="49" t="str">
        <f>IF($A181="","",ROUND(SUMIFS(_EngineTrades!$AB$9:$AB$508,_EngineTrades!$AU$9:$AU$508,$A181),4))</f>
        <v/>
      </c>
      <c r="M181" s="49" t="str">
        <f>IF($A181="","",ROUND(SUMIFS(_EngineTrades!$AC$9:$AC$508,_EngineTrades!$AU$9:$AU$508,$A181),4))</f>
        <v/>
      </c>
      <c r="N181" s="49" t="str">
        <f>IF($A181="","",ROUND(SUMIFS(_EngineTrades!$AD$9:$AD$508,_EngineTrades!$AU$9:$AU$508,$A181),4))</f>
        <v/>
      </c>
      <c r="O181" s="45" t="str">
        <f t="shared" si="41"/>
        <v/>
      </c>
      <c r="P181" s="61">
        <f>IF(OR($A181="",$E181&lt;&gt;"Open"),0,IFERROR(LOOKUP(2,1/(_EngineTrades!$AU$9:$AU$508=$A181),_EngineTrades!$AM$9:$AM$508),0))</f>
        <v>0</v>
      </c>
      <c r="Q181" s="49" t="str">
        <f>IF(OR($A181="",$P181=0),"",ROUND(IFERROR(LOOKUP(2,1/(_EngineTrades!$AU$9:$AU$508=$A181),_EngineTrades!$AN$9:$AN$508),0)/$P181,4))</f>
        <v/>
      </c>
      <c r="R181" s="49">
        <f>IF(OR($A181="",$E181&lt;&gt;"Open"),0,IFERROR(LOOKUP(2,1/(_EngineTrades!$AU$9:$AU$508=$A181),_EngineTrades!$AO$9:$AO$508),0))</f>
        <v>0</v>
      </c>
      <c r="S181" s="49">
        <f>IF(OR($A181="",$E181&lt;&gt;"Open"),0,ROUND($R181+IFERROR(LOOKUP(2,1/(_EngineTrades!$AU$9:$AU$508=$A181),_EngineTrades!$AN$9:$AN$508),0),4))</f>
        <v>0</v>
      </c>
      <c r="T181" s="49" t="str">
        <f>IF($A181="","",ROUND(IFERROR(LOOKUP(2,1/(_EngineTrades!$AU$9:$AU$508=$A181),_EngineTrades!$AT$9:$AT$508),0),4))</f>
        <v/>
      </c>
      <c r="U181" s="49" t="str">
        <f t="shared" si="42"/>
        <v/>
      </c>
      <c r="V181" s="49" t="str">
        <f>IF(AND($A181&lt;&gt;"",$E181="Open",$P181+N(IFERROR(LOOKUP(2,1/(_EngineTrades!$AU$9:$AU$508=$A181),_EngineTrades!$AP$9:$AP$508),0))&gt;0),ROUND(($R181-$O181)/($P181+N(IFERROR(LOOKUP(2,1/(_EngineTrades!$AU$9:$AU$508=$A181),_EngineTrades!$AP$9:$AP$508),0))),4),"")</f>
        <v/>
      </c>
      <c r="W181" s="64" t="str">
        <f>IF($A181="","",MAX(1,IF($G181="",_EngineTrades!$E$3-$F181,$G181-$F181)))</f>
        <v/>
      </c>
      <c r="X181" s="65" t="str">
        <f t="shared" si="43"/>
        <v/>
      </c>
      <c r="Y181" s="65" t="str">
        <f t="shared" si="44"/>
        <v/>
      </c>
      <c r="Z181" s="44">
        <f>IF(Cycles!U181="",0,Cycles!U181)</f>
        <v>0</v>
      </c>
      <c r="AA181" s="44">
        <f>IF(Cycles!V181="",0,Cycles!V181)</f>
        <v>0</v>
      </c>
      <c r="AB181" s="44">
        <f>IF(Cycles!W181="",0,Cycles!W181)</f>
        <v>0</v>
      </c>
      <c r="AC181" s="44">
        <f>IF(Cycles!X181="",0,Cycles!X181)</f>
        <v>0</v>
      </c>
      <c r="AD181" s="49" t="str">
        <f t="shared" si="45"/>
        <v/>
      </c>
      <c r="AE181" s="49" t="str">
        <f t="shared" si="46"/>
        <v/>
      </c>
      <c r="AF181" s="49" t="str">
        <f t="shared" si="47"/>
        <v/>
      </c>
      <c r="AG181" t="str">
        <f>IFERROR(MATCH(ROWS($AG$9:AG181),_EngineTrades!$AW$9:$AW$508,0)+8,"")</f>
        <v/>
      </c>
    </row>
    <row r="182" spans="1:33" ht="15" x14ac:dyDescent="0.25">
      <c r="A182" s="66" t="str">
        <f>IF($AG182="","",IFERROR(INDEX(_EngineTrades!$AU$9:$AU$508,MATCH($AG182,_EngineTrades!$AV$9:$AV$508,0)),""))</f>
        <v/>
      </c>
      <c r="B182" s="66" t="str">
        <f>IF($A182="","",INDEX(_EngineTrades!$B$9:$B$508,MATCH($AG182,_EngineTrades!$AV$9:$AV$508,0)))</f>
        <v/>
      </c>
      <c r="C182" s="66" t="str">
        <f>IF($A182="","",INDEX(_EngineTrades!$T$9:$T$508,MATCH($AG182,_EngineTrades!$AV$9:$AV$508,0)))</f>
        <v/>
      </c>
      <c r="D182" s="67" t="str">
        <f>IF($A182="","",INDEX(_EngineTrades!$C$9:$C$508,MATCH($AG182,_EngineTrades!$AV$9:$AV$508,0)))</f>
        <v/>
      </c>
      <c r="E182" s="68" t="str">
        <f>IF($A182="","",IF(IFERROR(LOOKUP(2,1/(_EngineTrades!$AU$9:$AU$508=$A182),_EngineTrades!$AR$9:$AR$508),FALSE),"Closed","Open"))</f>
        <v/>
      </c>
      <c r="F182" s="69" t="str">
        <f>IF($A182="","",INDEX(_EngineTrades!$E$9:$E$508,$AG182-8))</f>
        <v/>
      </c>
      <c r="G182" s="69" t="str">
        <f>IF(OR($A182="",$E182&lt;&gt;"Closed"),"",IFERROR(INDEX(_EngineTrades!$E$9:$E$508,SUMIFS(_EngineTrades!$AX$9:$AX$508,_EngineTrades!$AU$9:$AU$508,$A182)-8),""))</f>
        <v/>
      </c>
      <c r="H182" s="70" t="str">
        <f>IF($A182="","",ROUND(SUMIFS(_EngineTrades!$Y$9:$Y$508,_EngineTrades!$AU$9:$AU$508,$A182),4))</f>
        <v/>
      </c>
      <c r="I182" s="70" t="str">
        <f>IF($A182="","",ROUND(SUMIFS(_EngineTrades!$Z$9:$Z$508,_EngineTrades!$AU$9:$AU$508,$A182),4))</f>
        <v/>
      </c>
      <c r="J182" s="71" t="str">
        <f t="shared" si="40"/>
        <v/>
      </c>
      <c r="K182" s="70" t="str">
        <f>IF($A182="","",ROUND(SUMIFS(_EngineTrades!$AA$9:$AA$508,_EngineTrades!$AU$9:$AU$508,$A182),4))</f>
        <v/>
      </c>
      <c r="L182" s="70" t="str">
        <f>IF($A182="","",ROUND(SUMIFS(_EngineTrades!$AB$9:$AB$508,_EngineTrades!$AU$9:$AU$508,$A182),4))</f>
        <v/>
      </c>
      <c r="M182" s="70" t="str">
        <f>IF($A182="","",ROUND(SUMIFS(_EngineTrades!$AC$9:$AC$508,_EngineTrades!$AU$9:$AU$508,$A182),4))</f>
        <v/>
      </c>
      <c r="N182" s="70" t="str">
        <f>IF($A182="","",ROUND(SUMIFS(_EngineTrades!$AD$9:$AD$508,_EngineTrades!$AU$9:$AU$508,$A182),4))</f>
        <v/>
      </c>
      <c r="O182" s="71" t="str">
        <f t="shared" si="41"/>
        <v/>
      </c>
      <c r="P182" s="66">
        <f>IF(OR($A182="",$E182&lt;&gt;"Open"),0,IFERROR(LOOKUP(2,1/(_EngineTrades!$AU$9:$AU$508=$A182),_EngineTrades!$AM$9:$AM$508),0))</f>
        <v>0</v>
      </c>
      <c r="Q182" s="70" t="str">
        <f>IF(OR($A182="",$P182=0),"",ROUND(IFERROR(LOOKUP(2,1/(_EngineTrades!$AU$9:$AU$508=$A182),_EngineTrades!$AN$9:$AN$508),0)/$P182,4))</f>
        <v/>
      </c>
      <c r="R182" s="70">
        <f>IF(OR($A182="",$E182&lt;&gt;"Open"),0,IFERROR(LOOKUP(2,1/(_EngineTrades!$AU$9:$AU$508=$A182),_EngineTrades!$AO$9:$AO$508),0))</f>
        <v>0</v>
      </c>
      <c r="S182" s="70">
        <f>IF(OR($A182="",$E182&lt;&gt;"Open"),0,ROUND($R182+IFERROR(LOOKUP(2,1/(_EngineTrades!$AU$9:$AU$508=$A182),_EngineTrades!$AN$9:$AN$508),0),4))</f>
        <v>0</v>
      </c>
      <c r="T182" s="70" t="str">
        <f>IF($A182="","",ROUND(IFERROR(LOOKUP(2,1/(_EngineTrades!$AU$9:$AU$508=$A182),_EngineTrades!$AT$9:$AT$508),0),4))</f>
        <v/>
      </c>
      <c r="U182" s="70" t="str">
        <f t="shared" si="42"/>
        <v/>
      </c>
      <c r="V182" s="70" t="str">
        <f>IF(AND($A182&lt;&gt;"",$E182="Open",$P182+N(IFERROR(LOOKUP(2,1/(_EngineTrades!$AU$9:$AU$508=$A182),_EngineTrades!$AP$9:$AP$508),0))&gt;0),ROUND(($R182-$O182)/($P182+N(IFERROR(LOOKUP(2,1/(_EngineTrades!$AU$9:$AU$508=$A182),_EngineTrades!$AP$9:$AP$508),0))),4),"")</f>
        <v/>
      </c>
      <c r="W182" s="72" t="str">
        <f>IF($A182="","",MAX(1,IF($G182="",_EngineTrades!$E$3-$F182,$G182-$F182)))</f>
        <v/>
      </c>
      <c r="X182" s="73" t="str">
        <f t="shared" si="43"/>
        <v/>
      </c>
      <c r="Y182" s="73" t="str">
        <f t="shared" si="44"/>
        <v/>
      </c>
      <c r="Z182" s="44">
        <f>IF(Cycles!U182="",0,Cycles!U182)</f>
        <v>0</v>
      </c>
      <c r="AA182" s="44">
        <f>IF(Cycles!V182="",0,Cycles!V182)</f>
        <v>0</v>
      </c>
      <c r="AB182" s="44">
        <f>IF(Cycles!W182="",0,Cycles!W182)</f>
        <v>0</v>
      </c>
      <c r="AC182" s="44">
        <f>IF(Cycles!X182="",0,Cycles!X182)</f>
        <v>0</v>
      </c>
      <c r="AD182" s="70" t="str">
        <f t="shared" si="45"/>
        <v/>
      </c>
      <c r="AE182" s="70" t="str">
        <f t="shared" si="46"/>
        <v/>
      </c>
      <c r="AF182" s="70" t="str">
        <f t="shared" si="47"/>
        <v/>
      </c>
      <c r="AG182" t="str">
        <f>IFERROR(MATCH(ROWS($AG$9:AG182),_EngineTrades!$AW$9:$AW$508,0)+8,"")</f>
        <v/>
      </c>
    </row>
    <row r="183" spans="1:33" ht="15" x14ac:dyDescent="0.25">
      <c r="A183" s="61" t="str">
        <f>IF($AG183="","",IFERROR(INDEX(_EngineTrades!$AU$9:$AU$508,MATCH($AG183,_EngineTrades!$AV$9:$AV$508,0)),""))</f>
        <v/>
      </c>
      <c r="B183" s="61" t="str">
        <f>IF($A183="","",INDEX(_EngineTrades!$B$9:$B$508,MATCH($AG183,_EngineTrades!$AV$9:$AV$508,0)))</f>
        <v/>
      </c>
      <c r="C183" s="61" t="str">
        <f>IF($A183="","",INDEX(_EngineTrades!$T$9:$T$508,MATCH($AG183,_EngineTrades!$AV$9:$AV$508,0)))</f>
        <v/>
      </c>
      <c r="D183" s="47" t="str">
        <f>IF($A183="","",INDEX(_EngineTrades!$C$9:$C$508,MATCH($AG183,_EngineTrades!$AV$9:$AV$508,0)))</f>
        <v/>
      </c>
      <c r="E183" s="62" t="str">
        <f>IF($A183="","",IF(IFERROR(LOOKUP(2,1/(_EngineTrades!$AU$9:$AU$508=$A183),_EngineTrades!$AR$9:$AR$508),FALSE),"Closed","Open"))</f>
        <v/>
      </c>
      <c r="F183" s="63" t="str">
        <f>IF($A183="","",INDEX(_EngineTrades!$E$9:$E$508,$AG183-8))</f>
        <v/>
      </c>
      <c r="G183" s="63" t="str">
        <f>IF(OR($A183="",$E183&lt;&gt;"Closed"),"",IFERROR(INDEX(_EngineTrades!$E$9:$E$508,SUMIFS(_EngineTrades!$AX$9:$AX$508,_EngineTrades!$AU$9:$AU$508,$A183)-8),""))</f>
        <v/>
      </c>
      <c r="H183" s="49" t="str">
        <f>IF($A183="","",ROUND(SUMIFS(_EngineTrades!$Y$9:$Y$508,_EngineTrades!$AU$9:$AU$508,$A183),4))</f>
        <v/>
      </c>
      <c r="I183" s="49" t="str">
        <f>IF($A183="","",ROUND(SUMIFS(_EngineTrades!$Z$9:$Z$508,_EngineTrades!$AU$9:$AU$508,$A183),4))</f>
        <v/>
      </c>
      <c r="J183" s="45" t="str">
        <f t="shared" si="40"/>
        <v/>
      </c>
      <c r="K183" s="49" t="str">
        <f>IF($A183="","",ROUND(SUMIFS(_EngineTrades!$AA$9:$AA$508,_EngineTrades!$AU$9:$AU$508,$A183),4))</f>
        <v/>
      </c>
      <c r="L183" s="49" t="str">
        <f>IF($A183="","",ROUND(SUMIFS(_EngineTrades!$AB$9:$AB$508,_EngineTrades!$AU$9:$AU$508,$A183),4))</f>
        <v/>
      </c>
      <c r="M183" s="49" t="str">
        <f>IF($A183="","",ROUND(SUMIFS(_EngineTrades!$AC$9:$AC$508,_EngineTrades!$AU$9:$AU$508,$A183),4))</f>
        <v/>
      </c>
      <c r="N183" s="49" t="str">
        <f>IF($A183="","",ROUND(SUMIFS(_EngineTrades!$AD$9:$AD$508,_EngineTrades!$AU$9:$AU$508,$A183),4))</f>
        <v/>
      </c>
      <c r="O183" s="45" t="str">
        <f t="shared" si="41"/>
        <v/>
      </c>
      <c r="P183" s="61">
        <f>IF(OR($A183="",$E183&lt;&gt;"Open"),0,IFERROR(LOOKUP(2,1/(_EngineTrades!$AU$9:$AU$508=$A183),_EngineTrades!$AM$9:$AM$508),0))</f>
        <v>0</v>
      </c>
      <c r="Q183" s="49" t="str">
        <f>IF(OR($A183="",$P183=0),"",ROUND(IFERROR(LOOKUP(2,1/(_EngineTrades!$AU$9:$AU$508=$A183),_EngineTrades!$AN$9:$AN$508),0)/$P183,4))</f>
        <v/>
      </c>
      <c r="R183" s="49">
        <f>IF(OR($A183="",$E183&lt;&gt;"Open"),0,IFERROR(LOOKUP(2,1/(_EngineTrades!$AU$9:$AU$508=$A183),_EngineTrades!$AO$9:$AO$508),0))</f>
        <v>0</v>
      </c>
      <c r="S183" s="49">
        <f>IF(OR($A183="",$E183&lt;&gt;"Open"),0,ROUND($R183+IFERROR(LOOKUP(2,1/(_EngineTrades!$AU$9:$AU$508=$A183),_EngineTrades!$AN$9:$AN$508),0),4))</f>
        <v>0</v>
      </c>
      <c r="T183" s="49" t="str">
        <f>IF($A183="","",ROUND(IFERROR(LOOKUP(2,1/(_EngineTrades!$AU$9:$AU$508=$A183),_EngineTrades!$AT$9:$AT$508),0),4))</f>
        <v/>
      </c>
      <c r="U183" s="49" t="str">
        <f t="shared" si="42"/>
        <v/>
      </c>
      <c r="V183" s="49" t="str">
        <f>IF(AND($A183&lt;&gt;"",$E183="Open",$P183+N(IFERROR(LOOKUP(2,1/(_EngineTrades!$AU$9:$AU$508=$A183),_EngineTrades!$AP$9:$AP$508),0))&gt;0),ROUND(($R183-$O183)/($P183+N(IFERROR(LOOKUP(2,1/(_EngineTrades!$AU$9:$AU$508=$A183),_EngineTrades!$AP$9:$AP$508),0))),4),"")</f>
        <v/>
      </c>
      <c r="W183" s="64" t="str">
        <f>IF($A183="","",MAX(1,IF($G183="",_EngineTrades!$E$3-$F183,$G183-$F183)))</f>
        <v/>
      </c>
      <c r="X183" s="65" t="str">
        <f t="shared" si="43"/>
        <v/>
      </c>
      <c r="Y183" s="65" t="str">
        <f t="shared" si="44"/>
        <v/>
      </c>
      <c r="Z183" s="44">
        <f>IF(Cycles!U183="",0,Cycles!U183)</f>
        <v>0</v>
      </c>
      <c r="AA183" s="44">
        <f>IF(Cycles!V183="",0,Cycles!V183)</f>
        <v>0</v>
      </c>
      <c r="AB183" s="44">
        <f>IF(Cycles!W183="",0,Cycles!W183)</f>
        <v>0</v>
      </c>
      <c r="AC183" s="44">
        <f>IF(Cycles!X183="",0,Cycles!X183)</f>
        <v>0</v>
      </c>
      <c r="AD183" s="49" t="str">
        <f t="shared" si="45"/>
        <v/>
      </c>
      <c r="AE183" s="49" t="str">
        <f t="shared" si="46"/>
        <v/>
      </c>
      <c r="AF183" s="49" t="str">
        <f t="shared" si="47"/>
        <v/>
      </c>
      <c r="AG183" t="str">
        <f>IFERROR(MATCH(ROWS($AG$9:AG183),_EngineTrades!$AW$9:$AW$508,0)+8,"")</f>
        <v/>
      </c>
    </row>
    <row r="184" spans="1:33" ht="15" x14ac:dyDescent="0.25">
      <c r="A184" s="66" t="str">
        <f>IF($AG184="","",IFERROR(INDEX(_EngineTrades!$AU$9:$AU$508,MATCH($AG184,_EngineTrades!$AV$9:$AV$508,0)),""))</f>
        <v/>
      </c>
      <c r="B184" s="66" t="str">
        <f>IF($A184="","",INDEX(_EngineTrades!$B$9:$B$508,MATCH($AG184,_EngineTrades!$AV$9:$AV$508,0)))</f>
        <v/>
      </c>
      <c r="C184" s="66" t="str">
        <f>IF($A184="","",INDEX(_EngineTrades!$T$9:$T$508,MATCH($AG184,_EngineTrades!$AV$9:$AV$508,0)))</f>
        <v/>
      </c>
      <c r="D184" s="67" t="str">
        <f>IF($A184="","",INDEX(_EngineTrades!$C$9:$C$508,MATCH($AG184,_EngineTrades!$AV$9:$AV$508,0)))</f>
        <v/>
      </c>
      <c r="E184" s="68" t="str">
        <f>IF($A184="","",IF(IFERROR(LOOKUP(2,1/(_EngineTrades!$AU$9:$AU$508=$A184),_EngineTrades!$AR$9:$AR$508),FALSE),"Closed","Open"))</f>
        <v/>
      </c>
      <c r="F184" s="69" t="str">
        <f>IF($A184="","",INDEX(_EngineTrades!$E$9:$E$508,$AG184-8))</f>
        <v/>
      </c>
      <c r="G184" s="69" t="str">
        <f>IF(OR($A184="",$E184&lt;&gt;"Closed"),"",IFERROR(INDEX(_EngineTrades!$E$9:$E$508,SUMIFS(_EngineTrades!$AX$9:$AX$508,_EngineTrades!$AU$9:$AU$508,$A184)-8),""))</f>
        <v/>
      </c>
      <c r="H184" s="70" t="str">
        <f>IF($A184="","",ROUND(SUMIFS(_EngineTrades!$Y$9:$Y$508,_EngineTrades!$AU$9:$AU$508,$A184),4))</f>
        <v/>
      </c>
      <c r="I184" s="70" t="str">
        <f>IF($A184="","",ROUND(SUMIFS(_EngineTrades!$Z$9:$Z$508,_EngineTrades!$AU$9:$AU$508,$A184),4))</f>
        <v/>
      </c>
      <c r="J184" s="71" t="str">
        <f t="shared" si="40"/>
        <v/>
      </c>
      <c r="K184" s="70" t="str">
        <f>IF($A184="","",ROUND(SUMIFS(_EngineTrades!$AA$9:$AA$508,_EngineTrades!$AU$9:$AU$508,$A184),4))</f>
        <v/>
      </c>
      <c r="L184" s="70" t="str">
        <f>IF($A184="","",ROUND(SUMIFS(_EngineTrades!$AB$9:$AB$508,_EngineTrades!$AU$9:$AU$508,$A184),4))</f>
        <v/>
      </c>
      <c r="M184" s="70" t="str">
        <f>IF($A184="","",ROUND(SUMIFS(_EngineTrades!$AC$9:$AC$508,_EngineTrades!$AU$9:$AU$508,$A184),4))</f>
        <v/>
      </c>
      <c r="N184" s="70" t="str">
        <f>IF($A184="","",ROUND(SUMIFS(_EngineTrades!$AD$9:$AD$508,_EngineTrades!$AU$9:$AU$508,$A184),4))</f>
        <v/>
      </c>
      <c r="O184" s="71" t="str">
        <f t="shared" si="41"/>
        <v/>
      </c>
      <c r="P184" s="66">
        <f>IF(OR($A184="",$E184&lt;&gt;"Open"),0,IFERROR(LOOKUP(2,1/(_EngineTrades!$AU$9:$AU$508=$A184),_EngineTrades!$AM$9:$AM$508),0))</f>
        <v>0</v>
      </c>
      <c r="Q184" s="70" t="str">
        <f>IF(OR($A184="",$P184=0),"",ROUND(IFERROR(LOOKUP(2,1/(_EngineTrades!$AU$9:$AU$508=$A184),_EngineTrades!$AN$9:$AN$508),0)/$P184,4))</f>
        <v/>
      </c>
      <c r="R184" s="70">
        <f>IF(OR($A184="",$E184&lt;&gt;"Open"),0,IFERROR(LOOKUP(2,1/(_EngineTrades!$AU$9:$AU$508=$A184),_EngineTrades!$AO$9:$AO$508),0))</f>
        <v>0</v>
      </c>
      <c r="S184" s="70">
        <f>IF(OR($A184="",$E184&lt;&gt;"Open"),0,ROUND($R184+IFERROR(LOOKUP(2,1/(_EngineTrades!$AU$9:$AU$508=$A184),_EngineTrades!$AN$9:$AN$508),0),4))</f>
        <v>0</v>
      </c>
      <c r="T184" s="70" t="str">
        <f>IF($A184="","",ROUND(IFERROR(LOOKUP(2,1/(_EngineTrades!$AU$9:$AU$508=$A184),_EngineTrades!$AT$9:$AT$508),0),4))</f>
        <v/>
      </c>
      <c r="U184" s="70" t="str">
        <f t="shared" si="42"/>
        <v/>
      </c>
      <c r="V184" s="70" t="str">
        <f>IF(AND($A184&lt;&gt;"",$E184="Open",$P184+N(IFERROR(LOOKUP(2,1/(_EngineTrades!$AU$9:$AU$508=$A184),_EngineTrades!$AP$9:$AP$508),0))&gt;0),ROUND(($R184-$O184)/($P184+N(IFERROR(LOOKUP(2,1/(_EngineTrades!$AU$9:$AU$508=$A184),_EngineTrades!$AP$9:$AP$508),0))),4),"")</f>
        <v/>
      </c>
      <c r="W184" s="72" t="str">
        <f>IF($A184="","",MAX(1,IF($G184="",_EngineTrades!$E$3-$F184,$G184-$F184)))</f>
        <v/>
      </c>
      <c r="X184" s="73" t="str">
        <f t="shared" si="43"/>
        <v/>
      </c>
      <c r="Y184" s="73" t="str">
        <f t="shared" si="44"/>
        <v/>
      </c>
      <c r="Z184" s="44">
        <f>IF(Cycles!U184="",0,Cycles!U184)</f>
        <v>0</v>
      </c>
      <c r="AA184" s="44">
        <f>IF(Cycles!V184="",0,Cycles!V184)</f>
        <v>0</v>
      </c>
      <c r="AB184" s="44">
        <f>IF(Cycles!W184="",0,Cycles!W184)</f>
        <v>0</v>
      </c>
      <c r="AC184" s="44">
        <f>IF(Cycles!X184="",0,Cycles!X184)</f>
        <v>0</v>
      </c>
      <c r="AD184" s="70" t="str">
        <f t="shared" si="45"/>
        <v/>
      </c>
      <c r="AE184" s="70" t="str">
        <f t="shared" si="46"/>
        <v/>
      </c>
      <c r="AF184" s="70" t="str">
        <f t="shared" si="47"/>
        <v/>
      </c>
      <c r="AG184" t="str">
        <f>IFERROR(MATCH(ROWS($AG$9:AG184),_EngineTrades!$AW$9:$AW$508,0)+8,"")</f>
        <v/>
      </c>
    </row>
    <row r="185" spans="1:33" ht="15" x14ac:dyDescent="0.25">
      <c r="A185" s="61" t="str">
        <f>IF($AG185="","",IFERROR(INDEX(_EngineTrades!$AU$9:$AU$508,MATCH($AG185,_EngineTrades!$AV$9:$AV$508,0)),""))</f>
        <v/>
      </c>
      <c r="B185" s="61" t="str">
        <f>IF($A185="","",INDEX(_EngineTrades!$B$9:$B$508,MATCH($AG185,_EngineTrades!$AV$9:$AV$508,0)))</f>
        <v/>
      </c>
      <c r="C185" s="61" t="str">
        <f>IF($A185="","",INDEX(_EngineTrades!$T$9:$T$508,MATCH($AG185,_EngineTrades!$AV$9:$AV$508,0)))</f>
        <v/>
      </c>
      <c r="D185" s="47" t="str">
        <f>IF($A185="","",INDEX(_EngineTrades!$C$9:$C$508,MATCH($AG185,_EngineTrades!$AV$9:$AV$508,0)))</f>
        <v/>
      </c>
      <c r="E185" s="62" t="str">
        <f>IF($A185="","",IF(IFERROR(LOOKUP(2,1/(_EngineTrades!$AU$9:$AU$508=$A185),_EngineTrades!$AR$9:$AR$508),FALSE),"Closed","Open"))</f>
        <v/>
      </c>
      <c r="F185" s="63" t="str">
        <f>IF($A185="","",INDEX(_EngineTrades!$E$9:$E$508,$AG185-8))</f>
        <v/>
      </c>
      <c r="G185" s="63" t="str">
        <f>IF(OR($A185="",$E185&lt;&gt;"Closed"),"",IFERROR(INDEX(_EngineTrades!$E$9:$E$508,SUMIFS(_EngineTrades!$AX$9:$AX$508,_EngineTrades!$AU$9:$AU$508,$A185)-8),""))</f>
        <v/>
      </c>
      <c r="H185" s="49" t="str">
        <f>IF($A185="","",ROUND(SUMIFS(_EngineTrades!$Y$9:$Y$508,_EngineTrades!$AU$9:$AU$508,$A185),4))</f>
        <v/>
      </c>
      <c r="I185" s="49" t="str">
        <f>IF($A185="","",ROUND(SUMIFS(_EngineTrades!$Z$9:$Z$508,_EngineTrades!$AU$9:$AU$508,$A185),4))</f>
        <v/>
      </c>
      <c r="J185" s="45" t="str">
        <f t="shared" si="40"/>
        <v/>
      </c>
      <c r="K185" s="49" t="str">
        <f>IF($A185="","",ROUND(SUMIFS(_EngineTrades!$AA$9:$AA$508,_EngineTrades!$AU$9:$AU$508,$A185),4))</f>
        <v/>
      </c>
      <c r="L185" s="49" t="str">
        <f>IF($A185="","",ROUND(SUMIFS(_EngineTrades!$AB$9:$AB$508,_EngineTrades!$AU$9:$AU$508,$A185),4))</f>
        <v/>
      </c>
      <c r="M185" s="49" t="str">
        <f>IF($A185="","",ROUND(SUMIFS(_EngineTrades!$AC$9:$AC$508,_EngineTrades!$AU$9:$AU$508,$A185),4))</f>
        <v/>
      </c>
      <c r="N185" s="49" t="str">
        <f>IF($A185="","",ROUND(SUMIFS(_EngineTrades!$AD$9:$AD$508,_EngineTrades!$AU$9:$AU$508,$A185),4))</f>
        <v/>
      </c>
      <c r="O185" s="45" t="str">
        <f t="shared" si="41"/>
        <v/>
      </c>
      <c r="P185" s="61">
        <f>IF(OR($A185="",$E185&lt;&gt;"Open"),0,IFERROR(LOOKUP(2,1/(_EngineTrades!$AU$9:$AU$508=$A185),_EngineTrades!$AM$9:$AM$508),0))</f>
        <v>0</v>
      </c>
      <c r="Q185" s="49" t="str">
        <f>IF(OR($A185="",$P185=0),"",ROUND(IFERROR(LOOKUP(2,1/(_EngineTrades!$AU$9:$AU$508=$A185),_EngineTrades!$AN$9:$AN$508),0)/$P185,4))</f>
        <v/>
      </c>
      <c r="R185" s="49">
        <f>IF(OR($A185="",$E185&lt;&gt;"Open"),0,IFERROR(LOOKUP(2,1/(_EngineTrades!$AU$9:$AU$508=$A185),_EngineTrades!$AO$9:$AO$508),0))</f>
        <v>0</v>
      </c>
      <c r="S185" s="49">
        <f>IF(OR($A185="",$E185&lt;&gt;"Open"),0,ROUND($R185+IFERROR(LOOKUP(2,1/(_EngineTrades!$AU$9:$AU$508=$A185),_EngineTrades!$AN$9:$AN$508),0),4))</f>
        <v>0</v>
      </c>
      <c r="T185" s="49" t="str">
        <f>IF($A185="","",ROUND(IFERROR(LOOKUP(2,1/(_EngineTrades!$AU$9:$AU$508=$A185),_EngineTrades!$AT$9:$AT$508),0),4))</f>
        <v/>
      </c>
      <c r="U185" s="49" t="str">
        <f t="shared" si="42"/>
        <v/>
      </c>
      <c r="V185" s="49" t="str">
        <f>IF(AND($A185&lt;&gt;"",$E185="Open",$P185+N(IFERROR(LOOKUP(2,1/(_EngineTrades!$AU$9:$AU$508=$A185),_EngineTrades!$AP$9:$AP$508),0))&gt;0),ROUND(($R185-$O185)/($P185+N(IFERROR(LOOKUP(2,1/(_EngineTrades!$AU$9:$AU$508=$A185),_EngineTrades!$AP$9:$AP$508),0))),4),"")</f>
        <v/>
      </c>
      <c r="W185" s="64" t="str">
        <f>IF($A185="","",MAX(1,IF($G185="",_EngineTrades!$E$3-$F185,$G185-$F185)))</f>
        <v/>
      </c>
      <c r="X185" s="65" t="str">
        <f t="shared" si="43"/>
        <v/>
      </c>
      <c r="Y185" s="65" t="str">
        <f t="shared" si="44"/>
        <v/>
      </c>
      <c r="Z185" s="44">
        <f>IF(Cycles!U185="",0,Cycles!U185)</f>
        <v>0</v>
      </c>
      <c r="AA185" s="44">
        <f>IF(Cycles!V185="",0,Cycles!V185)</f>
        <v>0</v>
      </c>
      <c r="AB185" s="44">
        <f>IF(Cycles!W185="",0,Cycles!W185)</f>
        <v>0</v>
      </c>
      <c r="AC185" s="44">
        <f>IF(Cycles!X185="",0,Cycles!X185)</f>
        <v>0</v>
      </c>
      <c r="AD185" s="49" t="str">
        <f t="shared" si="45"/>
        <v/>
      </c>
      <c r="AE185" s="49" t="str">
        <f t="shared" si="46"/>
        <v/>
      </c>
      <c r="AF185" s="49" t="str">
        <f t="shared" si="47"/>
        <v/>
      </c>
      <c r="AG185" t="str">
        <f>IFERROR(MATCH(ROWS($AG$9:AG185),_EngineTrades!$AW$9:$AW$508,0)+8,"")</f>
        <v/>
      </c>
    </row>
    <row r="186" spans="1:33" ht="15" x14ac:dyDescent="0.25">
      <c r="A186" s="66" t="str">
        <f>IF($AG186="","",IFERROR(INDEX(_EngineTrades!$AU$9:$AU$508,MATCH($AG186,_EngineTrades!$AV$9:$AV$508,0)),""))</f>
        <v/>
      </c>
      <c r="B186" s="66" t="str">
        <f>IF($A186="","",INDEX(_EngineTrades!$B$9:$B$508,MATCH($AG186,_EngineTrades!$AV$9:$AV$508,0)))</f>
        <v/>
      </c>
      <c r="C186" s="66" t="str">
        <f>IF($A186="","",INDEX(_EngineTrades!$T$9:$T$508,MATCH($AG186,_EngineTrades!$AV$9:$AV$508,0)))</f>
        <v/>
      </c>
      <c r="D186" s="67" t="str">
        <f>IF($A186="","",INDEX(_EngineTrades!$C$9:$C$508,MATCH($AG186,_EngineTrades!$AV$9:$AV$508,0)))</f>
        <v/>
      </c>
      <c r="E186" s="68" t="str">
        <f>IF($A186="","",IF(IFERROR(LOOKUP(2,1/(_EngineTrades!$AU$9:$AU$508=$A186),_EngineTrades!$AR$9:$AR$508),FALSE),"Closed","Open"))</f>
        <v/>
      </c>
      <c r="F186" s="69" t="str">
        <f>IF($A186="","",INDEX(_EngineTrades!$E$9:$E$508,$AG186-8))</f>
        <v/>
      </c>
      <c r="G186" s="69" t="str">
        <f>IF(OR($A186="",$E186&lt;&gt;"Closed"),"",IFERROR(INDEX(_EngineTrades!$E$9:$E$508,SUMIFS(_EngineTrades!$AX$9:$AX$508,_EngineTrades!$AU$9:$AU$508,$A186)-8),""))</f>
        <v/>
      </c>
      <c r="H186" s="70" t="str">
        <f>IF($A186="","",ROUND(SUMIFS(_EngineTrades!$Y$9:$Y$508,_EngineTrades!$AU$9:$AU$508,$A186),4))</f>
        <v/>
      </c>
      <c r="I186" s="70" t="str">
        <f>IF($A186="","",ROUND(SUMIFS(_EngineTrades!$Z$9:$Z$508,_EngineTrades!$AU$9:$AU$508,$A186),4))</f>
        <v/>
      </c>
      <c r="J186" s="71" t="str">
        <f t="shared" si="40"/>
        <v/>
      </c>
      <c r="K186" s="70" t="str">
        <f>IF($A186="","",ROUND(SUMIFS(_EngineTrades!$AA$9:$AA$508,_EngineTrades!$AU$9:$AU$508,$A186),4))</f>
        <v/>
      </c>
      <c r="L186" s="70" t="str">
        <f>IF($A186="","",ROUND(SUMIFS(_EngineTrades!$AB$9:$AB$508,_EngineTrades!$AU$9:$AU$508,$A186),4))</f>
        <v/>
      </c>
      <c r="M186" s="70" t="str">
        <f>IF($A186="","",ROUND(SUMIFS(_EngineTrades!$AC$9:$AC$508,_EngineTrades!$AU$9:$AU$508,$A186),4))</f>
        <v/>
      </c>
      <c r="N186" s="70" t="str">
        <f>IF($A186="","",ROUND(SUMIFS(_EngineTrades!$AD$9:$AD$508,_EngineTrades!$AU$9:$AU$508,$A186),4))</f>
        <v/>
      </c>
      <c r="O186" s="71" t="str">
        <f t="shared" si="41"/>
        <v/>
      </c>
      <c r="P186" s="66">
        <f>IF(OR($A186="",$E186&lt;&gt;"Open"),0,IFERROR(LOOKUP(2,1/(_EngineTrades!$AU$9:$AU$508=$A186),_EngineTrades!$AM$9:$AM$508),0))</f>
        <v>0</v>
      </c>
      <c r="Q186" s="70" t="str">
        <f>IF(OR($A186="",$P186=0),"",ROUND(IFERROR(LOOKUP(2,1/(_EngineTrades!$AU$9:$AU$508=$A186),_EngineTrades!$AN$9:$AN$508),0)/$P186,4))</f>
        <v/>
      </c>
      <c r="R186" s="70">
        <f>IF(OR($A186="",$E186&lt;&gt;"Open"),0,IFERROR(LOOKUP(2,1/(_EngineTrades!$AU$9:$AU$508=$A186),_EngineTrades!$AO$9:$AO$508),0))</f>
        <v>0</v>
      </c>
      <c r="S186" s="70">
        <f>IF(OR($A186="",$E186&lt;&gt;"Open"),0,ROUND($R186+IFERROR(LOOKUP(2,1/(_EngineTrades!$AU$9:$AU$508=$A186),_EngineTrades!$AN$9:$AN$508),0),4))</f>
        <v>0</v>
      </c>
      <c r="T186" s="70" t="str">
        <f>IF($A186="","",ROUND(IFERROR(LOOKUP(2,1/(_EngineTrades!$AU$9:$AU$508=$A186),_EngineTrades!$AT$9:$AT$508),0),4))</f>
        <v/>
      </c>
      <c r="U186" s="70" t="str">
        <f t="shared" si="42"/>
        <v/>
      </c>
      <c r="V186" s="70" t="str">
        <f>IF(AND($A186&lt;&gt;"",$E186="Open",$P186+N(IFERROR(LOOKUP(2,1/(_EngineTrades!$AU$9:$AU$508=$A186),_EngineTrades!$AP$9:$AP$508),0))&gt;0),ROUND(($R186-$O186)/($P186+N(IFERROR(LOOKUP(2,1/(_EngineTrades!$AU$9:$AU$508=$A186),_EngineTrades!$AP$9:$AP$508),0))),4),"")</f>
        <v/>
      </c>
      <c r="W186" s="72" t="str">
        <f>IF($A186="","",MAX(1,IF($G186="",_EngineTrades!$E$3-$F186,$G186-$F186)))</f>
        <v/>
      </c>
      <c r="X186" s="73" t="str">
        <f t="shared" si="43"/>
        <v/>
      </c>
      <c r="Y186" s="73" t="str">
        <f t="shared" si="44"/>
        <v/>
      </c>
      <c r="Z186" s="44">
        <f>IF(Cycles!U186="",0,Cycles!U186)</f>
        <v>0</v>
      </c>
      <c r="AA186" s="44">
        <f>IF(Cycles!V186="",0,Cycles!V186)</f>
        <v>0</v>
      </c>
      <c r="AB186" s="44">
        <f>IF(Cycles!W186="",0,Cycles!W186)</f>
        <v>0</v>
      </c>
      <c r="AC186" s="44">
        <f>IF(Cycles!X186="",0,Cycles!X186)</f>
        <v>0</v>
      </c>
      <c r="AD186" s="70" t="str">
        <f t="shared" si="45"/>
        <v/>
      </c>
      <c r="AE186" s="70" t="str">
        <f t="shared" si="46"/>
        <v/>
      </c>
      <c r="AF186" s="70" t="str">
        <f t="shared" si="47"/>
        <v/>
      </c>
      <c r="AG186" t="str">
        <f>IFERROR(MATCH(ROWS($AG$9:AG186),_EngineTrades!$AW$9:$AW$508,0)+8,"")</f>
        <v/>
      </c>
    </row>
    <row r="187" spans="1:33" ht="15" x14ac:dyDescent="0.25">
      <c r="A187" s="61" t="str">
        <f>IF($AG187="","",IFERROR(INDEX(_EngineTrades!$AU$9:$AU$508,MATCH($AG187,_EngineTrades!$AV$9:$AV$508,0)),""))</f>
        <v/>
      </c>
      <c r="B187" s="61" t="str">
        <f>IF($A187="","",INDEX(_EngineTrades!$B$9:$B$508,MATCH($AG187,_EngineTrades!$AV$9:$AV$508,0)))</f>
        <v/>
      </c>
      <c r="C187" s="61" t="str">
        <f>IF($A187="","",INDEX(_EngineTrades!$T$9:$T$508,MATCH($AG187,_EngineTrades!$AV$9:$AV$508,0)))</f>
        <v/>
      </c>
      <c r="D187" s="47" t="str">
        <f>IF($A187="","",INDEX(_EngineTrades!$C$9:$C$508,MATCH($AG187,_EngineTrades!$AV$9:$AV$508,0)))</f>
        <v/>
      </c>
      <c r="E187" s="62" t="str">
        <f>IF($A187="","",IF(IFERROR(LOOKUP(2,1/(_EngineTrades!$AU$9:$AU$508=$A187),_EngineTrades!$AR$9:$AR$508),FALSE),"Closed","Open"))</f>
        <v/>
      </c>
      <c r="F187" s="63" t="str">
        <f>IF($A187="","",INDEX(_EngineTrades!$E$9:$E$508,$AG187-8))</f>
        <v/>
      </c>
      <c r="G187" s="63" t="str">
        <f>IF(OR($A187="",$E187&lt;&gt;"Closed"),"",IFERROR(INDEX(_EngineTrades!$E$9:$E$508,SUMIFS(_EngineTrades!$AX$9:$AX$508,_EngineTrades!$AU$9:$AU$508,$A187)-8),""))</f>
        <v/>
      </c>
      <c r="H187" s="49" t="str">
        <f>IF($A187="","",ROUND(SUMIFS(_EngineTrades!$Y$9:$Y$508,_EngineTrades!$AU$9:$AU$508,$A187),4))</f>
        <v/>
      </c>
      <c r="I187" s="49" t="str">
        <f>IF($A187="","",ROUND(SUMIFS(_EngineTrades!$Z$9:$Z$508,_EngineTrades!$AU$9:$AU$508,$A187),4))</f>
        <v/>
      </c>
      <c r="J187" s="45" t="str">
        <f t="shared" si="40"/>
        <v/>
      </c>
      <c r="K187" s="49" t="str">
        <f>IF($A187="","",ROUND(SUMIFS(_EngineTrades!$AA$9:$AA$508,_EngineTrades!$AU$9:$AU$508,$A187),4))</f>
        <v/>
      </c>
      <c r="L187" s="49" t="str">
        <f>IF($A187="","",ROUND(SUMIFS(_EngineTrades!$AB$9:$AB$508,_EngineTrades!$AU$9:$AU$508,$A187),4))</f>
        <v/>
      </c>
      <c r="M187" s="49" t="str">
        <f>IF($A187="","",ROUND(SUMIFS(_EngineTrades!$AC$9:$AC$508,_EngineTrades!$AU$9:$AU$508,$A187),4))</f>
        <v/>
      </c>
      <c r="N187" s="49" t="str">
        <f>IF($A187="","",ROUND(SUMIFS(_EngineTrades!$AD$9:$AD$508,_EngineTrades!$AU$9:$AU$508,$A187),4))</f>
        <v/>
      </c>
      <c r="O187" s="45" t="str">
        <f t="shared" si="41"/>
        <v/>
      </c>
      <c r="P187" s="61">
        <f>IF(OR($A187="",$E187&lt;&gt;"Open"),0,IFERROR(LOOKUP(2,1/(_EngineTrades!$AU$9:$AU$508=$A187),_EngineTrades!$AM$9:$AM$508),0))</f>
        <v>0</v>
      </c>
      <c r="Q187" s="49" t="str">
        <f>IF(OR($A187="",$P187=0),"",ROUND(IFERROR(LOOKUP(2,1/(_EngineTrades!$AU$9:$AU$508=$A187),_EngineTrades!$AN$9:$AN$508),0)/$P187,4))</f>
        <v/>
      </c>
      <c r="R187" s="49">
        <f>IF(OR($A187="",$E187&lt;&gt;"Open"),0,IFERROR(LOOKUP(2,1/(_EngineTrades!$AU$9:$AU$508=$A187),_EngineTrades!$AO$9:$AO$508),0))</f>
        <v>0</v>
      </c>
      <c r="S187" s="49">
        <f>IF(OR($A187="",$E187&lt;&gt;"Open"),0,ROUND($R187+IFERROR(LOOKUP(2,1/(_EngineTrades!$AU$9:$AU$508=$A187),_EngineTrades!$AN$9:$AN$508),0),4))</f>
        <v>0</v>
      </c>
      <c r="T187" s="49" t="str">
        <f>IF($A187="","",ROUND(IFERROR(LOOKUP(2,1/(_EngineTrades!$AU$9:$AU$508=$A187),_EngineTrades!$AT$9:$AT$508),0),4))</f>
        <v/>
      </c>
      <c r="U187" s="49" t="str">
        <f t="shared" si="42"/>
        <v/>
      </c>
      <c r="V187" s="49" t="str">
        <f>IF(AND($A187&lt;&gt;"",$E187="Open",$P187+N(IFERROR(LOOKUP(2,1/(_EngineTrades!$AU$9:$AU$508=$A187),_EngineTrades!$AP$9:$AP$508),0))&gt;0),ROUND(($R187-$O187)/($P187+N(IFERROR(LOOKUP(2,1/(_EngineTrades!$AU$9:$AU$508=$A187),_EngineTrades!$AP$9:$AP$508),0))),4),"")</f>
        <v/>
      </c>
      <c r="W187" s="64" t="str">
        <f>IF($A187="","",MAX(1,IF($G187="",_EngineTrades!$E$3-$F187,$G187-$F187)))</f>
        <v/>
      </c>
      <c r="X187" s="65" t="str">
        <f t="shared" si="43"/>
        <v/>
      </c>
      <c r="Y187" s="65" t="str">
        <f t="shared" si="44"/>
        <v/>
      </c>
      <c r="Z187" s="44">
        <f>IF(Cycles!U187="",0,Cycles!U187)</f>
        <v>0</v>
      </c>
      <c r="AA187" s="44">
        <f>IF(Cycles!V187="",0,Cycles!V187)</f>
        <v>0</v>
      </c>
      <c r="AB187" s="44">
        <f>IF(Cycles!W187="",0,Cycles!W187)</f>
        <v>0</v>
      </c>
      <c r="AC187" s="44">
        <f>IF(Cycles!X187="",0,Cycles!X187)</f>
        <v>0</v>
      </c>
      <c r="AD187" s="49" t="str">
        <f t="shared" si="45"/>
        <v/>
      </c>
      <c r="AE187" s="49" t="str">
        <f t="shared" si="46"/>
        <v/>
      </c>
      <c r="AF187" s="49" t="str">
        <f t="shared" si="47"/>
        <v/>
      </c>
      <c r="AG187" t="str">
        <f>IFERROR(MATCH(ROWS($AG$9:AG187),_EngineTrades!$AW$9:$AW$508,0)+8,"")</f>
        <v/>
      </c>
    </row>
    <row r="188" spans="1:33" ht="15" x14ac:dyDescent="0.25">
      <c r="A188" s="66" t="str">
        <f>IF($AG188="","",IFERROR(INDEX(_EngineTrades!$AU$9:$AU$508,MATCH($AG188,_EngineTrades!$AV$9:$AV$508,0)),""))</f>
        <v/>
      </c>
      <c r="B188" s="66" t="str">
        <f>IF($A188="","",INDEX(_EngineTrades!$B$9:$B$508,MATCH($AG188,_EngineTrades!$AV$9:$AV$508,0)))</f>
        <v/>
      </c>
      <c r="C188" s="66" t="str">
        <f>IF($A188="","",INDEX(_EngineTrades!$T$9:$T$508,MATCH($AG188,_EngineTrades!$AV$9:$AV$508,0)))</f>
        <v/>
      </c>
      <c r="D188" s="67" t="str">
        <f>IF($A188="","",INDEX(_EngineTrades!$C$9:$C$508,MATCH($AG188,_EngineTrades!$AV$9:$AV$508,0)))</f>
        <v/>
      </c>
      <c r="E188" s="68" t="str">
        <f>IF($A188="","",IF(IFERROR(LOOKUP(2,1/(_EngineTrades!$AU$9:$AU$508=$A188),_EngineTrades!$AR$9:$AR$508),FALSE),"Closed","Open"))</f>
        <v/>
      </c>
      <c r="F188" s="69" t="str">
        <f>IF($A188="","",INDEX(_EngineTrades!$E$9:$E$508,$AG188-8))</f>
        <v/>
      </c>
      <c r="G188" s="69" t="str">
        <f>IF(OR($A188="",$E188&lt;&gt;"Closed"),"",IFERROR(INDEX(_EngineTrades!$E$9:$E$508,SUMIFS(_EngineTrades!$AX$9:$AX$508,_EngineTrades!$AU$9:$AU$508,$A188)-8),""))</f>
        <v/>
      </c>
      <c r="H188" s="70" t="str">
        <f>IF($A188="","",ROUND(SUMIFS(_EngineTrades!$Y$9:$Y$508,_EngineTrades!$AU$9:$AU$508,$A188),4))</f>
        <v/>
      </c>
      <c r="I188" s="70" t="str">
        <f>IF($A188="","",ROUND(SUMIFS(_EngineTrades!$Z$9:$Z$508,_EngineTrades!$AU$9:$AU$508,$A188),4))</f>
        <v/>
      </c>
      <c r="J188" s="71" t="str">
        <f t="shared" si="40"/>
        <v/>
      </c>
      <c r="K188" s="70" t="str">
        <f>IF($A188="","",ROUND(SUMIFS(_EngineTrades!$AA$9:$AA$508,_EngineTrades!$AU$9:$AU$508,$A188),4))</f>
        <v/>
      </c>
      <c r="L188" s="70" t="str">
        <f>IF($A188="","",ROUND(SUMIFS(_EngineTrades!$AB$9:$AB$508,_EngineTrades!$AU$9:$AU$508,$A188),4))</f>
        <v/>
      </c>
      <c r="M188" s="70" t="str">
        <f>IF($A188="","",ROUND(SUMIFS(_EngineTrades!$AC$9:$AC$508,_EngineTrades!$AU$9:$AU$508,$A188),4))</f>
        <v/>
      </c>
      <c r="N188" s="70" t="str">
        <f>IF($A188="","",ROUND(SUMIFS(_EngineTrades!$AD$9:$AD$508,_EngineTrades!$AU$9:$AU$508,$A188),4))</f>
        <v/>
      </c>
      <c r="O188" s="71" t="str">
        <f t="shared" si="41"/>
        <v/>
      </c>
      <c r="P188" s="66">
        <f>IF(OR($A188="",$E188&lt;&gt;"Open"),0,IFERROR(LOOKUP(2,1/(_EngineTrades!$AU$9:$AU$508=$A188),_EngineTrades!$AM$9:$AM$508),0))</f>
        <v>0</v>
      </c>
      <c r="Q188" s="70" t="str">
        <f>IF(OR($A188="",$P188=0),"",ROUND(IFERROR(LOOKUP(2,1/(_EngineTrades!$AU$9:$AU$508=$A188),_EngineTrades!$AN$9:$AN$508),0)/$P188,4))</f>
        <v/>
      </c>
      <c r="R188" s="70">
        <f>IF(OR($A188="",$E188&lt;&gt;"Open"),0,IFERROR(LOOKUP(2,1/(_EngineTrades!$AU$9:$AU$508=$A188),_EngineTrades!$AO$9:$AO$508),0))</f>
        <v>0</v>
      </c>
      <c r="S188" s="70">
        <f>IF(OR($A188="",$E188&lt;&gt;"Open"),0,ROUND($R188+IFERROR(LOOKUP(2,1/(_EngineTrades!$AU$9:$AU$508=$A188),_EngineTrades!$AN$9:$AN$508),0),4))</f>
        <v>0</v>
      </c>
      <c r="T188" s="70" t="str">
        <f>IF($A188="","",ROUND(IFERROR(LOOKUP(2,1/(_EngineTrades!$AU$9:$AU$508=$A188),_EngineTrades!$AT$9:$AT$508),0),4))</f>
        <v/>
      </c>
      <c r="U188" s="70" t="str">
        <f t="shared" si="42"/>
        <v/>
      </c>
      <c r="V188" s="70" t="str">
        <f>IF(AND($A188&lt;&gt;"",$E188="Open",$P188+N(IFERROR(LOOKUP(2,1/(_EngineTrades!$AU$9:$AU$508=$A188),_EngineTrades!$AP$9:$AP$508),0))&gt;0),ROUND(($R188-$O188)/($P188+N(IFERROR(LOOKUP(2,1/(_EngineTrades!$AU$9:$AU$508=$A188),_EngineTrades!$AP$9:$AP$508),0))),4),"")</f>
        <v/>
      </c>
      <c r="W188" s="72" t="str">
        <f>IF($A188="","",MAX(1,IF($G188="",_EngineTrades!$E$3-$F188,$G188-$F188)))</f>
        <v/>
      </c>
      <c r="X188" s="73" t="str">
        <f t="shared" si="43"/>
        <v/>
      </c>
      <c r="Y188" s="73" t="str">
        <f t="shared" si="44"/>
        <v/>
      </c>
      <c r="Z188" s="44">
        <f>IF(Cycles!U188="",0,Cycles!U188)</f>
        <v>0</v>
      </c>
      <c r="AA188" s="44">
        <f>IF(Cycles!V188="",0,Cycles!V188)</f>
        <v>0</v>
      </c>
      <c r="AB188" s="44">
        <f>IF(Cycles!W188="",0,Cycles!W188)</f>
        <v>0</v>
      </c>
      <c r="AC188" s="44">
        <f>IF(Cycles!X188="",0,Cycles!X188)</f>
        <v>0</v>
      </c>
      <c r="AD188" s="70" t="str">
        <f t="shared" si="45"/>
        <v/>
      </c>
      <c r="AE188" s="70" t="str">
        <f t="shared" si="46"/>
        <v/>
      </c>
      <c r="AF188" s="70" t="str">
        <f t="shared" si="47"/>
        <v/>
      </c>
      <c r="AG188" t="str">
        <f>IFERROR(MATCH(ROWS($AG$9:AG188),_EngineTrades!$AW$9:$AW$508,0)+8,"")</f>
        <v/>
      </c>
    </row>
    <row r="189" spans="1:33" ht="15" x14ac:dyDescent="0.25">
      <c r="A189" s="61" t="str">
        <f>IF($AG189="","",IFERROR(INDEX(_EngineTrades!$AU$9:$AU$508,MATCH($AG189,_EngineTrades!$AV$9:$AV$508,0)),""))</f>
        <v/>
      </c>
      <c r="B189" s="61" t="str">
        <f>IF($A189="","",INDEX(_EngineTrades!$B$9:$B$508,MATCH($AG189,_EngineTrades!$AV$9:$AV$508,0)))</f>
        <v/>
      </c>
      <c r="C189" s="61" t="str">
        <f>IF($A189="","",INDEX(_EngineTrades!$T$9:$T$508,MATCH($AG189,_EngineTrades!$AV$9:$AV$508,0)))</f>
        <v/>
      </c>
      <c r="D189" s="47" t="str">
        <f>IF($A189="","",INDEX(_EngineTrades!$C$9:$C$508,MATCH($AG189,_EngineTrades!$AV$9:$AV$508,0)))</f>
        <v/>
      </c>
      <c r="E189" s="62" t="str">
        <f>IF($A189="","",IF(IFERROR(LOOKUP(2,1/(_EngineTrades!$AU$9:$AU$508=$A189),_EngineTrades!$AR$9:$AR$508),FALSE),"Closed","Open"))</f>
        <v/>
      </c>
      <c r="F189" s="63" t="str">
        <f>IF($A189="","",INDEX(_EngineTrades!$E$9:$E$508,$AG189-8))</f>
        <v/>
      </c>
      <c r="G189" s="63" t="str">
        <f>IF(OR($A189="",$E189&lt;&gt;"Closed"),"",IFERROR(INDEX(_EngineTrades!$E$9:$E$508,SUMIFS(_EngineTrades!$AX$9:$AX$508,_EngineTrades!$AU$9:$AU$508,$A189)-8),""))</f>
        <v/>
      </c>
      <c r="H189" s="49" t="str">
        <f>IF($A189="","",ROUND(SUMIFS(_EngineTrades!$Y$9:$Y$508,_EngineTrades!$AU$9:$AU$508,$A189),4))</f>
        <v/>
      </c>
      <c r="I189" s="49" t="str">
        <f>IF($A189="","",ROUND(SUMIFS(_EngineTrades!$Z$9:$Z$508,_EngineTrades!$AU$9:$AU$508,$A189),4))</f>
        <v/>
      </c>
      <c r="J189" s="45" t="str">
        <f t="shared" si="40"/>
        <v/>
      </c>
      <c r="K189" s="49" t="str">
        <f>IF($A189="","",ROUND(SUMIFS(_EngineTrades!$AA$9:$AA$508,_EngineTrades!$AU$9:$AU$508,$A189),4))</f>
        <v/>
      </c>
      <c r="L189" s="49" t="str">
        <f>IF($A189="","",ROUND(SUMIFS(_EngineTrades!$AB$9:$AB$508,_EngineTrades!$AU$9:$AU$508,$A189),4))</f>
        <v/>
      </c>
      <c r="M189" s="49" t="str">
        <f>IF($A189="","",ROUND(SUMIFS(_EngineTrades!$AC$9:$AC$508,_EngineTrades!$AU$9:$AU$508,$A189),4))</f>
        <v/>
      </c>
      <c r="N189" s="49" t="str">
        <f>IF($A189="","",ROUND(SUMIFS(_EngineTrades!$AD$9:$AD$508,_EngineTrades!$AU$9:$AU$508,$A189),4))</f>
        <v/>
      </c>
      <c r="O189" s="45" t="str">
        <f t="shared" si="41"/>
        <v/>
      </c>
      <c r="P189" s="61">
        <f>IF(OR($A189="",$E189&lt;&gt;"Open"),0,IFERROR(LOOKUP(2,1/(_EngineTrades!$AU$9:$AU$508=$A189),_EngineTrades!$AM$9:$AM$508),0))</f>
        <v>0</v>
      </c>
      <c r="Q189" s="49" t="str">
        <f>IF(OR($A189="",$P189=0),"",ROUND(IFERROR(LOOKUP(2,1/(_EngineTrades!$AU$9:$AU$508=$A189),_EngineTrades!$AN$9:$AN$508),0)/$P189,4))</f>
        <v/>
      </c>
      <c r="R189" s="49">
        <f>IF(OR($A189="",$E189&lt;&gt;"Open"),0,IFERROR(LOOKUP(2,1/(_EngineTrades!$AU$9:$AU$508=$A189),_EngineTrades!$AO$9:$AO$508),0))</f>
        <v>0</v>
      </c>
      <c r="S189" s="49">
        <f>IF(OR($A189="",$E189&lt;&gt;"Open"),0,ROUND($R189+IFERROR(LOOKUP(2,1/(_EngineTrades!$AU$9:$AU$508=$A189),_EngineTrades!$AN$9:$AN$508),0),4))</f>
        <v>0</v>
      </c>
      <c r="T189" s="49" t="str">
        <f>IF($A189="","",ROUND(IFERROR(LOOKUP(2,1/(_EngineTrades!$AU$9:$AU$508=$A189),_EngineTrades!$AT$9:$AT$508),0),4))</f>
        <v/>
      </c>
      <c r="U189" s="49" t="str">
        <f t="shared" si="42"/>
        <v/>
      </c>
      <c r="V189" s="49" t="str">
        <f>IF(AND($A189&lt;&gt;"",$E189="Open",$P189+N(IFERROR(LOOKUP(2,1/(_EngineTrades!$AU$9:$AU$508=$A189),_EngineTrades!$AP$9:$AP$508),0))&gt;0),ROUND(($R189-$O189)/($P189+N(IFERROR(LOOKUP(2,1/(_EngineTrades!$AU$9:$AU$508=$A189),_EngineTrades!$AP$9:$AP$508),0))),4),"")</f>
        <v/>
      </c>
      <c r="W189" s="64" t="str">
        <f>IF($A189="","",MAX(1,IF($G189="",_EngineTrades!$E$3-$F189,$G189-$F189)))</f>
        <v/>
      </c>
      <c r="X189" s="65" t="str">
        <f t="shared" si="43"/>
        <v/>
      </c>
      <c r="Y189" s="65" t="str">
        <f t="shared" si="44"/>
        <v/>
      </c>
      <c r="Z189" s="44">
        <f>IF(Cycles!U189="",0,Cycles!U189)</f>
        <v>0</v>
      </c>
      <c r="AA189" s="44">
        <f>IF(Cycles!V189="",0,Cycles!V189)</f>
        <v>0</v>
      </c>
      <c r="AB189" s="44">
        <f>IF(Cycles!W189="",0,Cycles!W189)</f>
        <v>0</v>
      </c>
      <c r="AC189" s="44">
        <f>IF(Cycles!X189="",0,Cycles!X189)</f>
        <v>0</v>
      </c>
      <c r="AD189" s="49" t="str">
        <f t="shared" si="45"/>
        <v/>
      </c>
      <c r="AE189" s="49" t="str">
        <f t="shared" si="46"/>
        <v/>
      </c>
      <c r="AF189" s="49" t="str">
        <f t="shared" si="47"/>
        <v/>
      </c>
      <c r="AG189" t="str">
        <f>IFERROR(MATCH(ROWS($AG$9:AG189),_EngineTrades!$AW$9:$AW$508,0)+8,"")</f>
        <v/>
      </c>
    </row>
    <row r="190" spans="1:33" ht="15" x14ac:dyDescent="0.25">
      <c r="A190" s="66" t="str">
        <f>IF($AG190="","",IFERROR(INDEX(_EngineTrades!$AU$9:$AU$508,MATCH($AG190,_EngineTrades!$AV$9:$AV$508,0)),""))</f>
        <v/>
      </c>
      <c r="B190" s="66" t="str">
        <f>IF($A190="","",INDEX(_EngineTrades!$B$9:$B$508,MATCH($AG190,_EngineTrades!$AV$9:$AV$508,0)))</f>
        <v/>
      </c>
      <c r="C190" s="66" t="str">
        <f>IF($A190="","",INDEX(_EngineTrades!$T$9:$T$508,MATCH($AG190,_EngineTrades!$AV$9:$AV$508,0)))</f>
        <v/>
      </c>
      <c r="D190" s="67" t="str">
        <f>IF($A190="","",INDEX(_EngineTrades!$C$9:$C$508,MATCH($AG190,_EngineTrades!$AV$9:$AV$508,0)))</f>
        <v/>
      </c>
      <c r="E190" s="68" t="str">
        <f>IF($A190="","",IF(IFERROR(LOOKUP(2,1/(_EngineTrades!$AU$9:$AU$508=$A190),_EngineTrades!$AR$9:$AR$508),FALSE),"Closed","Open"))</f>
        <v/>
      </c>
      <c r="F190" s="69" t="str">
        <f>IF($A190="","",INDEX(_EngineTrades!$E$9:$E$508,$AG190-8))</f>
        <v/>
      </c>
      <c r="G190" s="69" t="str">
        <f>IF(OR($A190="",$E190&lt;&gt;"Closed"),"",IFERROR(INDEX(_EngineTrades!$E$9:$E$508,SUMIFS(_EngineTrades!$AX$9:$AX$508,_EngineTrades!$AU$9:$AU$508,$A190)-8),""))</f>
        <v/>
      </c>
      <c r="H190" s="70" t="str">
        <f>IF($A190="","",ROUND(SUMIFS(_EngineTrades!$Y$9:$Y$508,_EngineTrades!$AU$9:$AU$508,$A190),4))</f>
        <v/>
      </c>
      <c r="I190" s="70" t="str">
        <f>IF($A190="","",ROUND(SUMIFS(_EngineTrades!$Z$9:$Z$508,_EngineTrades!$AU$9:$AU$508,$A190),4))</f>
        <v/>
      </c>
      <c r="J190" s="71" t="str">
        <f t="shared" si="40"/>
        <v/>
      </c>
      <c r="K190" s="70" t="str">
        <f>IF($A190="","",ROUND(SUMIFS(_EngineTrades!$AA$9:$AA$508,_EngineTrades!$AU$9:$AU$508,$A190),4))</f>
        <v/>
      </c>
      <c r="L190" s="70" t="str">
        <f>IF($A190="","",ROUND(SUMIFS(_EngineTrades!$AB$9:$AB$508,_EngineTrades!$AU$9:$AU$508,$A190),4))</f>
        <v/>
      </c>
      <c r="M190" s="70" t="str">
        <f>IF($A190="","",ROUND(SUMIFS(_EngineTrades!$AC$9:$AC$508,_EngineTrades!$AU$9:$AU$508,$A190),4))</f>
        <v/>
      </c>
      <c r="N190" s="70" t="str">
        <f>IF($A190="","",ROUND(SUMIFS(_EngineTrades!$AD$9:$AD$508,_EngineTrades!$AU$9:$AU$508,$A190),4))</f>
        <v/>
      </c>
      <c r="O190" s="71" t="str">
        <f t="shared" si="41"/>
        <v/>
      </c>
      <c r="P190" s="66">
        <f>IF(OR($A190="",$E190&lt;&gt;"Open"),0,IFERROR(LOOKUP(2,1/(_EngineTrades!$AU$9:$AU$508=$A190),_EngineTrades!$AM$9:$AM$508),0))</f>
        <v>0</v>
      </c>
      <c r="Q190" s="70" t="str">
        <f>IF(OR($A190="",$P190=0),"",ROUND(IFERROR(LOOKUP(2,1/(_EngineTrades!$AU$9:$AU$508=$A190),_EngineTrades!$AN$9:$AN$508),0)/$P190,4))</f>
        <v/>
      </c>
      <c r="R190" s="70">
        <f>IF(OR($A190="",$E190&lt;&gt;"Open"),0,IFERROR(LOOKUP(2,1/(_EngineTrades!$AU$9:$AU$508=$A190),_EngineTrades!$AO$9:$AO$508),0))</f>
        <v>0</v>
      </c>
      <c r="S190" s="70">
        <f>IF(OR($A190="",$E190&lt;&gt;"Open"),0,ROUND($R190+IFERROR(LOOKUP(2,1/(_EngineTrades!$AU$9:$AU$508=$A190),_EngineTrades!$AN$9:$AN$508),0),4))</f>
        <v>0</v>
      </c>
      <c r="T190" s="70" t="str">
        <f>IF($A190="","",ROUND(IFERROR(LOOKUP(2,1/(_EngineTrades!$AU$9:$AU$508=$A190),_EngineTrades!$AT$9:$AT$508),0),4))</f>
        <v/>
      </c>
      <c r="U190" s="70" t="str">
        <f t="shared" si="42"/>
        <v/>
      </c>
      <c r="V190" s="70" t="str">
        <f>IF(AND($A190&lt;&gt;"",$E190="Open",$P190+N(IFERROR(LOOKUP(2,1/(_EngineTrades!$AU$9:$AU$508=$A190),_EngineTrades!$AP$9:$AP$508),0))&gt;0),ROUND(($R190-$O190)/($P190+N(IFERROR(LOOKUP(2,1/(_EngineTrades!$AU$9:$AU$508=$A190),_EngineTrades!$AP$9:$AP$508),0))),4),"")</f>
        <v/>
      </c>
      <c r="W190" s="72" t="str">
        <f>IF($A190="","",MAX(1,IF($G190="",_EngineTrades!$E$3-$F190,$G190-$F190)))</f>
        <v/>
      </c>
      <c r="X190" s="73" t="str">
        <f t="shared" si="43"/>
        <v/>
      </c>
      <c r="Y190" s="73" t="str">
        <f t="shared" si="44"/>
        <v/>
      </c>
      <c r="Z190" s="44">
        <f>IF(Cycles!U190="",0,Cycles!U190)</f>
        <v>0</v>
      </c>
      <c r="AA190" s="44">
        <f>IF(Cycles!V190="",0,Cycles!V190)</f>
        <v>0</v>
      </c>
      <c r="AB190" s="44">
        <f>IF(Cycles!W190="",0,Cycles!W190)</f>
        <v>0</v>
      </c>
      <c r="AC190" s="44">
        <f>IF(Cycles!X190="",0,Cycles!X190)</f>
        <v>0</v>
      </c>
      <c r="AD190" s="70" t="str">
        <f t="shared" si="45"/>
        <v/>
      </c>
      <c r="AE190" s="70" t="str">
        <f t="shared" si="46"/>
        <v/>
      </c>
      <c r="AF190" s="70" t="str">
        <f t="shared" si="47"/>
        <v/>
      </c>
      <c r="AG190" t="str">
        <f>IFERROR(MATCH(ROWS($AG$9:AG190),_EngineTrades!$AW$9:$AW$508,0)+8,"")</f>
        <v/>
      </c>
    </row>
    <row r="191" spans="1:33" ht="15" x14ac:dyDescent="0.25">
      <c r="A191" s="61" t="str">
        <f>IF($AG191="","",IFERROR(INDEX(_EngineTrades!$AU$9:$AU$508,MATCH($AG191,_EngineTrades!$AV$9:$AV$508,0)),""))</f>
        <v/>
      </c>
      <c r="B191" s="61" t="str">
        <f>IF($A191="","",INDEX(_EngineTrades!$B$9:$B$508,MATCH($AG191,_EngineTrades!$AV$9:$AV$508,0)))</f>
        <v/>
      </c>
      <c r="C191" s="61" t="str">
        <f>IF($A191="","",INDEX(_EngineTrades!$T$9:$T$508,MATCH($AG191,_EngineTrades!$AV$9:$AV$508,0)))</f>
        <v/>
      </c>
      <c r="D191" s="47" t="str">
        <f>IF($A191="","",INDEX(_EngineTrades!$C$9:$C$508,MATCH($AG191,_EngineTrades!$AV$9:$AV$508,0)))</f>
        <v/>
      </c>
      <c r="E191" s="62" t="str">
        <f>IF($A191="","",IF(IFERROR(LOOKUP(2,1/(_EngineTrades!$AU$9:$AU$508=$A191),_EngineTrades!$AR$9:$AR$508),FALSE),"Closed","Open"))</f>
        <v/>
      </c>
      <c r="F191" s="63" t="str">
        <f>IF($A191="","",INDEX(_EngineTrades!$E$9:$E$508,$AG191-8))</f>
        <v/>
      </c>
      <c r="G191" s="63" t="str">
        <f>IF(OR($A191="",$E191&lt;&gt;"Closed"),"",IFERROR(INDEX(_EngineTrades!$E$9:$E$508,SUMIFS(_EngineTrades!$AX$9:$AX$508,_EngineTrades!$AU$9:$AU$508,$A191)-8),""))</f>
        <v/>
      </c>
      <c r="H191" s="49" t="str">
        <f>IF($A191="","",ROUND(SUMIFS(_EngineTrades!$Y$9:$Y$508,_EngineTrades!$AU$9:$AU$508,$A191),4))</f>
        <v/>
      </c>
      <c r="I191" s="49" t="str">
        <f>IF($A191="","",ROUND(SUMIFS(_EngineTrades!$Z$9:$Z$508,_EngineTrades!$AU$9:$AU$508,$A191),4))</f>
        <v/>
      </c>
      <c r="J191" s="45" t="str">
        <f t="shared" si="40"/>
        <v/>
      </c>
      <c r="K191" s="49" t="str">
        <f>IF($A191="","",ROUND(SUMIFS(_EngineTrades!$AA$9:$AA$508,_EngineTrades!$AU$9:$AU$508,$A191),4))</f>
        <v/>
      </c>
      <c r="L191" s="49" t="str">
        <f>IF($A191="","",ROUND(SUMIFS(_EngineTrades!$AB$9:$AB$508,_EngineTrades!$AU$9:$AU$508,$A191),4))</f>
        <v/>
      </c>
      <c r="M191" s="49" t="str">
        <f>IF($A191="","",ROUND(SUMIFS(_EngineTrades!$AC$9:$AC$508,_EngineTrades!$AU$9:$AU$508,$A191),4))</f>
        <v/>
      </c>
      <c r="N191" s="49" t="str">
        <f>IF($A191="","",ROUND(SUMIFS(_EngineTrades!$AD$9:$AD$508,_EngineTrades!$AU$9:$AU$508,$A191),4))</f>
        <v/>
      </c>
      <c r="O191" s="45" t="str">
        <f t="shared" si="41"/>
        <v/>
      </c>
      <c r="P191" s="61">
        <f>IF(OR($A191="",$E191&lt;&gt;"Open"),0,IFERROR(LOOKUP(2,1/(_EngineTrades!$AU$9:$AU$508=$A191),_EngineTrades!$AM$9:$AM$508),0))</f>
        <v>0</v>
      </c>
      <c r="Q191" s="49" t="str">
        <f>IF(OR($A191="",$P191=0),"",ROUND(IFERROR(LOOKUP(2,1/(_EngineTrades!$AU$9:$AU$508=$A191),_EngineTrades!$AN$9:$AN$508),0)/$P191,4))</f>
        <v/>
      </c>
      <c r="R191" s="49">
        <f>IF(OR($A191="",$E191&lt;&gt;"Open"),0,IFERROR(LOOKUP(2,1/(_EngineTrades!$AU$9:$AU$508=$A191),_EngineTrades!$AO$9:$AO$508),0))</f>
        <v>0</v>
      </c>
      <c r="S191" s="49">
        <f>IF(OR($A191="",$E191&lt;&gt;"Open"),0,ROUND($R191+IFERROR(LOOKUP(2,1/(_EngineTrades!$AU$9:$AU$508=$A191),_EngineTrades!$AN$9:$AN$508),0),4))</f>
        <v>0</v>
      </c>
      <c r="T191" s="49" t="str">
        <f>IF($A191="","",ROUND(IFERROR(LOOKUP(2,1/(_EngineTrades!$AU$9:$AU$508=$A191),_EngineTrades!$AT$9:$AT$508),0),4))</f>
        <v/>
      </c>
      <c r="U191" s="49" t="str">
        <f t="shared" si="42"/>
        <v/>
      </c>
      <c r="V191" s="49" t="str">
        <f>IF(AND($A191&lt;&gt;"",$E191="Open",$P191+N(IFERROR(LOOKUP(2,1/(_EngineTrades!$AU$9:$AU$508=$A191),_EngineTrades!$AP$9:$AP$508),0))&gt;0),ROUND(($R191-$O191)/($P191+N(IFERROR(LOOKUP(2,1/(_EngineTrades!$AU$9:$AU$508=$A191),_EngineTrades!$AP$9:$AP$508),0))),4),"")</f>
        <v/>
      </c>
      <c r="W191" s="64" t="str">
        <f>IF($A191="","",MAX(1,IF($G191="",_EngineTrades!$E$3-$F191,$G191-$F191)))</f>
        <v/>
      </c>
      <c r="X191" s="65" t="str">
        <f t="shared" si="43"/>
        <v/>
      </c>
      <c r="Y191" s="65" t="str">
        <f t="shared" si="44"/>
        <v/>
      </c>
      <c r="Z191" s="44">
        <f>IF(Cycles!U191="",0,Cycles!U191)</f>
        <v>0</v>
      </c>
      <c r="AA191" s="44">
        <f>IF(Cycles!V191="",0,Cycles!V191)</f>
        <v>0</v>
      </c>
      <c r="AB191" s="44">
        <f>IF(Cycles!W191="",0,Cycles!W191)</f>
        <v>0</v>
      </c>
      <c r="AC191" s="44">
        <f>IF(Cycles!X191="",0,Cycles!X191)</f>
        <v>0</v>
      </c>
      <c r="AD191" s="49" t="str">
        <f t="shared" si="45"/>
        <v/>
      </c>
      <c r="AE191" s="49" t="str">
        <f t="shared" si="46"/>
        <v/>
      </c>
      <c r="AF191" s="49" t="str">
        <f t="shared" si="47"/>
        <v/>
      </c>
      <c r="AG191" t="str">
        <f>IFERROR(MATCH(ROWS($AG$9:AG191),_EngineTrades!$AW$9:$AW$508,0)+8,"")</f>
        <v/>
      </c>
    </row>
    <row r="192" spans="1:33" ht="15" x14ac:dyDescent="0.25">
      <c r="A192" s="66" t="str">
        <f>IF($AG192="","",IFERROR(INDEX(_EngineTrades!$AU$9:$AU$508,MATCH($AG192,_EngineTrades!$AV$9:$AV$508,0)),""))</f>
        <v/>
      </c>
      <c r="B192" s="66" t="str">
        <f>IF($A192="","",INDEX(_EngineTrades!$B$9:$B$508,MATCH($AG192,_EngineTrades!$AV$9:$AV$508,0)))</f>
        <v/>
      </c>
      <c r="C192" s="66" t="str">
        <f>IF($A192="","",INDEX(_EngineTrades!$T$9:$T$508,MATCH($AG192,_EngineTrades!$AV$9:$AV$508,0)))</f>
        <v/>
      </c>
      <c r="D192" s="67" t="str">
        <f>IF($A192="","",INDEX(_EngineTrades!$C$9:$C$508,MATCH($AG192,_EngineTrades!$AV$9:$AV$508,0)))</f>
        <v/>
      </c>
      <c r="E192" s="68" t="str">
        <f>IF($A192="","",IF(IFERROR(LOOKUP(2,1/(_EngineTrades!$AU$9:$AU$508=$A192),_EngineTrades!$AR$9:$AR$508),FALSE),"Closed","Open"))</f>
        <v/>
      </c>
      <c r="F192" s="69" t="str">
        <f>IF($A192="","",INDEX(_EngineTrades!$E$9:$E$508,$AG192-8))</f>
        <v/>
      </c>
      <c r="G192" s="69" t="str">
        <f>IF(OR($A192="",$E192&lt;&gt;"Closed"),"",IFERROR(INDEX(_EngineTrades!$E$9:$E$508,SUMIFS(_EngineTrades!$AX$9:$AX$508,_EngineTrades!$AU$9:$AU$508,$A192)-8),""))</f>
        <v/>
      </c>
      <c r="H192" s="70" t="str">
        <f>IF($A192="","",ROUND(SUMIFS(_EngineTrades!$Y$9:$Y$508,_EngineTrades!$AU$9:$AU$508,$A192),4))</f>
        <v/>
      </c>
      <c r="I192" s="70" t="str">
        <f>IF($A192="","",ROUND(SUMIFS(_EngineTrades!$Z$9:$Z$508,_EngineTrades!$AU$9:$AU$508,$A192),4))</f>
        <v/>
      </c>
      <c r="J192" s="71" t="str">
        <f t="shared" si="40"/>
        <v/>
      </c>
      <c r="K192" s="70" t="str">
        <f>IF($A192="","",ROUND(SUMIFS(_EngineTrades!$AA$9:$AA$508,_EngineTrades!$AU$9:$AU$508,$A192),4))</f>
        <v/>
      </c>
      <c r="L192" s="70" t="str">
        <f>IF($A192="","",ROUND(SUMIFS(_EngineTrades!$AB$9:$AB$508,_EngineTrades!$AU$9:$AU$508,$A192),4))</f>
        <v/>
      </c>
      <c r="M192" s="70" t="str">
        <f>IF($A192="","",ROUND(SUMIFS(_EngineTrades!$AC$9:$AC$508,_EngineTrades!$AU$9:$AU$508,$A192),4))</f>
        <v/>
      </c>
      <c r="N192" s="70" t="str">
        <f>IF($A192="","",ROUND(SUMIFS(_EngineTrades!$AD$9:$AD$508,_EngineTrades!$AU$9:$AU$508,$A192),4))</f>
        <v/>
      </c>
      <c r="O192" s="71" t="str">
        <f t="shared" si="41"/>
        <v/>
      </c>
      <c r="P192" s="66">
        <f>IF(OR($A192="",$E192&lt;&gt;"Open"),0,IFERROR(LOOKUP(2,1/(_EngineTrades!$AU$9:$AU$508=$A192),_EngineTrades!$AM$9:$AM$508),0))</f>
        <v>0</v>
      </c>
      <c r="Q192" s="70" t="str">
        <f>IF(OR($A192="",$P192=0),"",ROUND(IFERROR(LOOKUP(2,1/(_EngineTrades!$AU$9:$AU$508=$A192),_EngineTrades!$AN$9:$AN$508),0)/$P192,4))</f>
        <v/>
      </c>
      <c r="R192" s="70">
        <f>IF(OR($A192="",$E192&lt;&gt;"Open"),0,IFERROR(LOOKUP(2,1/(_EngineTrades!$AU$9:$AU$508=$A192),_EngineTrades!$AO$9:$AO$508),0))</f>
        <v>0</v>
      </c>
      <c r="S192" s="70">
        <f>IF(OR($A192="",$E192&lt;&gt;"Open"),0,ROUND($R192+IFERROR(LOOKUP(2,1/(_EngineTrades!$AU$9:$AU$508=$A192),_EngineTrades!$AN$9:$AN$508),0),4))</f>
        <v>0</v>
      </c>
      <c r="T192" s="70" t="str">
        <f>IF($A192="","",ROUND(IFERROR(LOOKUP(2,1/(_EngineTrades!$AU$9:$AU$508=$A192),_EngineTrades!$AT$9:$AT$508),0),4))</f>
        <v/>
      </c>
      <c r="U192" s="70" t="str">
        <f t="shared" si="42"/>
        <v/>
      </c>
      <c r="V192" s="70" t="str">
        <f>IF(AND($A192&lt;&gt;"",$E192="Open",$P192+N(IFERROR(LOOKUP(2,1/(_EngineTrades!$AU$9:$AU$508=$A192),_EngineTrades!$AP$9:$AP$508),0))&gt;0),ROUND(($R192-$O192)/($P192+N(IFERROR(LOOKUP(2,1/(_EngineTrades!$AU$9:$AU$508=$A192),_EngineTrades!$AP$9:$AP$508),0))),4),"")</f>
        <v/>
      </c>
      <c r="W192" s="72" t="str">
        <f>IF($A192="","",MAX(1,IF($G192="",_EngineTrades!$E$3-$F192,$G192-$F192)))</f>
        <v/>
      </c>
      <c r="X192" s="73" t="str">
        <f t="shared" si="43"/>
        <v/>
      </c>
      <c r="Y192" s="73" t="str">
        <f t="shared" si="44"/>
        <v/>
      </c>
      <c r="Z192" s="44">
        <f>IF(Cycles!U192="",0,Cycles!U192)</f>
        <v>0</v>
      </c>
      <c r="AA192" s="44">
        <f>IF(Cycles!V192="",0,Cycles!V192)</f>
        <v>0</v>
      </c>
      <c r="AB192" s="44">
        <f>IF(Cycles!W192="",0,Cycles!W192)</f>
        <v>0</v>
      </c>
      <c r="AC192" s="44">
        <f>IF(Cycles!X192="",0,Cycles!X192)</f>
        <v>0</v>
      </c>
      <c r="AD192" s="70" t="str">
        <f t="shared" si="45"/>
        <v/>
      </c>
      <c r="AE192" s="70" t="str">
        <f t="shared" si="46"/>
        <v/>
      </c>
      <c r="AF192" s="70" t="str">
        <f t="shared" si="47"/>
        <v/>
      </c>
      <c r="AG192" t="str">
        <f>IFERROR(MATCH(ROWS($AG$9:AG192),_EngineTrades!$AW$9:$AW$508,0)+8,"")</f>
        <v/>
      </c>
    </row>
    <row r="193" spans="1:33" ht="15" x14ac:dyDescent="0.25">
      <c r="A193" s="61" t="str">
        <f>IF($AG193="","",IFERROR(INDEX(_EngineTrades!$AU$9:$AU$508,MATCH($AG193,_EngineTrades!$AV$9:$AV$508,0)),""))</f>
        <v/>
      </c>
      <c r="B193" s="61" t="str">
        <f>IF($A193="","",INDEX(_EngineTrades!$B$9:$B$508,MATCH($AG193,_EngineTrades!$AV$9:$AV$508,0)))</f>
        <v/>
      </c>
      <c r="C193" s="61" t="str">
        <f>IF($A193="","",INDEX(_EngineTrades!$T$9:$T$508,MATCH($AG193,_EngineTrades!$AV$9:$AV$508,0)))</f>
        <v/>
      </c>
      <c r="D193" s="47" t="str">
        <f>IF($A193="","",INDEX(_EngineTrades!$C$9:$C$508,MATCH($AG193,_EngineTrades!$AV$9:$AV$508,0)))</f>
        <v/>
      </c>
      <c r="E193" s="62" t="str">
        <f>IF($A193="","",IF(IFERROR(LOOKUP(2,1/(_EngineTrades!$AU$9:$AU$508=$A193),_EngineTrades!$AR$9:$AR$508),FALSE),"Closed","Open"))</f>
        <v/>
      </c>
      <c r="F193" s="63" t="str">
        <f>IF($A193="","",INDEX(_EngineTrades!$E$9:$E$508,$AG193-8))</f>
        <v/>
      </c>
      <c r="G193" s="63" t="str">
        <f>IF(OR($A193="",$E193&lt;&gt;"Closed"),"",IFERROR(INDEX(_EngineTrades!$E$9:$E$508,SUMIFS(_EngineTrades!$AX$9:$AX$508,_EngineTrades!$AU$9:$AU$508,$A193)-8),""))</f>
        <v/>
      </c>
      <c r="H193" s="49" t="str">
        <f>IF($A193="","",ROUND(SUMIFS(_EngineTrades!$Y$9:$Y$508,_EngineTrades!$AU$9:$AU$508,$A193),4))</f>
        <v/>
      </c>
      <c r="I193" s="49" t="str">
        <f>IF($A193="","",ROUND(SUMIFS(_EngineTrades!$Z$9:$Z$508,_EngineTrades!$AU$9:$AU$508,$A193),4))</f>
        <v/>
      </c>
      <c r="J193" s="45" t="str">
        <f t="shared" si="40"/>
        <v/>
      </c>
      <c r="K193" s="49" t="str">
        <f>IF($A193="","",ROUND(SUMIFS(_EngineTrades!$AA$9:$AA$508,_EngineTrades!$AU$9:$AU$508,$A193),4))</f>
        <v/>
      </c>
      <c r="L193" s="49" t="str">
        <f>IF($A193="","",ROUND(SUMIFS(_EngineTrades!$AB$9:$AB$508,_EngineTrades!$AU$9:$AU$508,$A193),4))</f>
        <v/>
      </c>
      <c r="M193" s="49" t="str">
        <f>IF($A193="","",ROUND(SUMIFS(_EngineTrades!$AC$9:$AC$508,_EngineTrades!$AU$9:$AU$508,$A193),4))</f>
        <v/>
      </c>
      <c r="N193" s="49" t="str">
        <f>IF($A193="","",ROUND(SUMIFS(_EngineTrades!$AD$9:$AD$508,_EngineTrades!$AU$9:$AU$508,$A193),4))</f>
        <v/>
      </c>
      <c r="O193" s="45" t="str">
        <f t="shared" si="41"/>
        <v/>
      </c>
      <c r="P193" s="61">
        <f>IF(OR($A193="",$E193&lt;&gt;"Open"),0,IFERROR(LOOKUP(2,1/(_EngineTrades!$AU$9:$AU$508=$A193),_EngineTrades!$AM$9:$AM$508),0))</f>
        <v>0</v>
      </c>
      <c r="Q193" s="49" t="str">
        <f>IF(OR($A193="",$P193=0),"",ROUND(IFERROR(LOOKUP(2,1/(_EngineTrades!$AU$9:$AU$508=$A193),_EngineTrades!$AN$9:$AN$508),0)/$P193,4))</f>
        <v/>
      </c>
      <c r="R193" s="49">
        <f>IF(OR($A193="",$E193&lt;&gt;"Open"),0,IFERROR(LOOKUP(2,1/(_EngineTrades!$AU$9:$AU$508=$A193),_EngineTrades!$AO$9:$AO$508),0))</f>
        <v>0</v>
      </c>
      <c r="S193" s="49">
        <f>IF(OR($A193="",$E193&lt;&gt;"Open"),0,ROUND($R193+IFERROR(LOOKUP(2,1/(_EngineTrades!$AU$9:$AU$508=$A193),_EngineTrades!$AN$9:$AN$508),0),4))</f>
        <v>0</v>
      </c>
      <c r="T193" s="49" t="str">
        <f>IF($A193="","",ROUND(IFERROR(LOOKUP(2,1/(_EngineTrades!$AU$9:$AU$508=$A193),_EngineTrades!$AT$9:$AT$508),0),4))</f>
        <v/>
      </c>
      <c r="U193" s="49" t="str">
        <f t="shared" si="42"/>
        <v/>
      </c>
      <c r="V193" s="49" t="str">
        <f>IF(AND($A193&lt;&gt;"",$E193="Open",$P193+N(IFERROR(LOOKUP(2,1/(_EngineTrades!$AU$9:$AU$508=$A193),_EngineTrades!$AP$9:$AP$508),0))&gt;0),ROUND(($R193-$O193)/($P193+N(IFERROR(LOOKUP(2,1/(_EngineTrades!$AU$9:$AU$508=$A193),_EngineTrades!$AP$9:$AP$508),0))),4),"")</f>
        <v/>
      </c>
      <c r="W193" s="64" t="str">
        <f>IF($A193="","",MAX(1,IF($G193="",_EngineTrades!$E$3-$F193,$G193-$F193)))</f>
        <v/>
      </c>
      <c r="X193" s="65" t="str">
        <f t="shared" si="43"/>
        <v/>
      </c>
      <c r="Y193" s="65" t="str">
        <f t="shared" si="44"/>
        <v/>
      </c>
      <c r="Z193" s="44">
        <f>IF(Cycles!U193="",0,Cycles!U193)</f>
        <v>0</v>
      </c>
      <c r="AA193" s="44">
        <f>IF(Cycles!V193="",0,Cycles!V193)</f>
        <v>0</v>
      </c>
      <c r="AB193" s="44">
        <f>IF(Cycles!W193="",0,Cycles!W193)</f>
        <v>0</v>
      </c>
      <c r="AC193" s="44">
        <f>IF(Cycles!X193="",0,Cycles!X193)</f>
        <v>0</v>
      </c>
      <c r="AD193" s="49" t="str">
        <f t="shared" si="45"/>
        <v/>
      </c>
      <c r="AE193" s="49" t="str">
        <f t="shared" si="46"/>
        <v/>
      </c>
      <c r="AF193" s="49" t="str">
        <f t="shared" si="47"/>
        <v/>
      </c>
      <c r="AG193" t="str">
        <f>IFERROR(MATCH(ROWS($AG$9:AG193),_EngineTrades!$AW$9:$AW$508,0)+8,"")</f>
        <v/>
      </c>
    </row>
    <row r="194" spans="1:33" ht="15" x14ac:dyDescent="0.25">
      <c r="A194" s="66" t="str">
        <f>IF($AG194="","",IFERROR(INDEX(_EngineTrades!$AU$9:$AU$508,MATCH($AG194,_EngineTrades!$AV$9:$AV$508,0)),""))</f>
        <v/>
      </c>
      <c r="B194" s="66" t="str">
        <f>IF($A194="","",INDEX(_EngineTrades!$B$9:$B$508,MATCH($AG194,_EngineTrades!$AV$9:$AV$508,0)))</f>
        <v/>
      </c>
      <c r="C194" s="66" t="str">
        <f>IF($A194="","",INDEX(_EngineTrades!$T$9:$T$508,MATCH($AG194,_EngineTrades!$AV$9:$AV$508,0)))</f>
        <v/>
      </c>
      <c r="D194" s="67" t="str">
        <f>IF($A194="","",INDEX(_EngineTrades!$C$9:$C$508,MATCH($AG194,_EngineTrades!$AV$9:$AV$508,0)))</f>
        <v/>
      </c>
      <c r="E194" s="68" t="str">
        <f>IF($A194="","",IF(IFERROR(LOOKUP(2,1/(_EngineTrades!$AU$9:$AU$508=$A194),_EngineTrades!$AR$9:$AR$508),FALSE),"Closed","Open"))</f>
        <v/>
      </c>
      <c r="F194" s="69" t="str">
        <f>IF($A194="","",INDEX(_EngineTrades!$E$9:$E$508,$AG194-8))</f>
        <v/>
      </c>
      <c r="G194" s="69" t="str">
        <f>IF(OR($A194="",$E194&lt;&gt;"Closed"),"",IFERROR(INDEX(_EngineTrades!$E$9:$E$508,SUMIFS(_EngineTrades!$AX$9:$AX$508,_EngineTrades!$AU$9:$AU$508,$A194)-8),""))</f>
        <v/>
      </c>
      <c r="H194" s="70" t="str">
        <f>IF($A194="","",ROUND(SUMIFS(_EngineTrades!$Y$9:$Y$508,_EngineTrades!$AU$9:$AU$508,$A194),4))</f>
        <v/>
      </c>
      <c r="I194" s="70" t="str">
        <f>IF($A194="","",ROUND(SUMIFS(_EngineTrades!$Z$9:$Z$508,_EngineTrades!$AU$9:$AU$508,$A194),4))</f>
        <v/>
      </c>
      <c r="J194" s="71" t="str">
        <f t="shared" si="40"/>
        <v/>
      </c>
      <c r="K194" s="70" t="str">
        <f>IF($A194="","",ROUND(SUMIFS(_EngineTrades!$AA$9:$AA$508,_EngineTrades!$AU$9:$AU$508,$A194),4))</f>
        <v/>
      </c>
      <c r="L194" s="70" t="str">
        <f>IF($A194="","",ROUND(SUMIFS(_EngineTrades!$AB$9:$AB$508,_EngineTrades!$AU$9:$AU$508,$A194),4))</f>
        <v/>
      </c>
      <c r="M194" s="70" t="str">
        <f>IF($A194="","",ROUND(SUMIFS(_EngineTrades!$AC$9:$AC$508,_EngineTrades!$AU$9:$AU$508,$A194),4))</f>
        <v/>
      </c>
      <c r="N194" s="70" t="str">
        <f>IF($A194="","",ROUND(SUMIFS(_EngineTrades!$AD$9:$AD$508,_EngineTrades!$AU$9:$AU$508,$A194),4))</f>
        <v/>
      </c>
      <c r="O194" s="71" t="str">
        <f t="shared" si="41"/>
        <v/>
      </c>
      <c r="P194" s="66">
        <f>IF(OR($A194="",$E194&lt;&gt;"Open"),0,IFERROR(LOOKUP(2,1/(_EngineTrades!$AU$9:$AU$508=$A194),_EngineTrades!$AM$9:$AM$508),0))</f>
        <v>0</v>
      </c>
      <c r="Q194" s="70" t="str">
        <f>IF(OR($A194="",$P194=0),"",ROUND(IFERROR(LOOKUP(2,1/(_EngineTrades!$AU$9:$AU$508=$A194),_EngineTrades!$AN$9:$AN$508),0)/$P194,4))</f>
        <v/>
      </c>
      <c r="R194" s="70">
        <f>IF(OR($A194="",$E194&lt;&gt;"Open"),0,IFERROR(LOOKUP(2,1/(_EngineTrades!$AU$9:$AU$508=$A194),_EngineTrades!$AO$9:$AO$508),0))</f>
        <v>0</v>
      </c>
      <c r="S194" s="70">
        <f>IF(OR($A194="",$E194&lt;&gt;"Open"),0,ROUND($R194+IFERROR(LOOKUP(2,1/(_EngineTrades!$AU$9:$AU$508=$A194),_EngineTrades!$AN$9:$AN$508),0),4))</f>
        <v>0</v>
      </c>
      <c r="T194" s="70" t="str">
        <f>IF($A194="","",ROUND(IFERROR(LOOKUP(2,1/(_EngineTrades!$AU$9:$AU$508=$A194),_EngineTrades!$AT$9:$AT$508),0),4))</f>
        <v/>
      </c>
      <c r="U194" s="70" t="str">
        <f t="shared" si="42"/>
        <v/>
      </c>
      <c r="V194" s="70" t="str">
        <f>IF(AND($A194&lt;&gt;"",$E194="Open",$P194+N(IFERROR(LOOKUP(2,1/(_EngineTrades!$AU$9:$AU$508=$A194),_EngineTrades!$AP$9:$AP$508),0))&gt;0),ROUND(($R194-$O194)/($P194+N(IFERROR(LOOKUP(2,1/(_EngineTrades!$AU$9:$AU$508=$A194),_EngineTrades!$AP$9:$AP$508),0))),4),"")</f>
        <v/>
      </c>
      <c r="W194" s="72" t="str">
        <f>IF($A194="","",MAX(1,IF($G194="",_EngineTrades!$E$3-$F194,$G194-$F194)))</f>
        <v/>
      </c>
      <c r="X194" s="73" t="str">
        <f t="shared" si="43"/>
        <v/>
      </c>
      <c r="Y194" s="73" t="str">
        <f t="shared" si="44"/>
        <v/>
      </c>
      <c r="Z194" s="44">
        <f>IF(Cycles!U194="",0,Cycles!U194)</f>
        <v>0</v>
      </c>
      <c r="AA194" s="44">
        <f>IF(Cycles!V194="",0,Cycles!V194)</f>
        <v>0</v>
      </c>
      <c r="AB194" s="44">
        <f>IF(Cycles!W194="",0,Cycles!W194)</f>
        <v>0</v>
      </c>
      <c r="AC194" s="44">
        <f>IF(Cycles!X194="",0,Cycles!X194)</f>
        <v>0</v>
      </c>
      <c r="AD194" s="70" t="str">
        <f t="shared" si="45"/>
        <v/>
      </c>
      <c r="AE194" s="70" t="str">
        <f t="shared" si="46"/>
        <v/>
      </c>
      <c r="AF194" s="70" t="str">
        <f t="shared" si="47"/>
        <v/>
      </c>
      <c r="AG194" t="str">
        <f>IFERROR(MATCH(ROWS($AG$9:AG194),_EngineTrades!$AW$9:$AW$508,0)+8,"")</f>
        <v/>
      </c>
    </row>
    <row r="195" spans="1:33" ht="15" x14ac:dyDescent="0.25">
      <c r="A195" s="61" t="str">
        <f>IF($AG195="","",IFERROR(INDEX(_EngineTrades!$AU$9:$AU$508,MATCH($AG195,_EngineTrades!$AV$9:$AV$508,0)),""))</f>
        <v/>
      </c>
      <c r="B195" s="61" t="str">
        <f>IF($A195="","",INDEX(_EngineTrades!$B$9:$B$508,MATCH($AG195,_EngineTrades!$AV$9:$AV$508,0)))</f>
        <v/>
      </c>
      <c r="C195" s="61" t="str">
        <f>IF($A195="","",INDEX(_EngineTrades!$T$9:$T$508,MATCH($AG195,_EngineTrades!$AV$9:$AV$508,0)))</f>
        <v/>
      </c>
      <c r="D195" s="47" t="str">
        <f>IF($A195="","",INDEX(_EngineTrades!$C$9:$C$508,MATCH($AG195,_EngineTrades!$AV$9:$AV$508,0)))</f>
        <v/>
      </c>
      <c r="E195" s="62" t="str">
        <f>IF($A195="","",IF(IFERROR(LOOKUP(2,1/(_EngineTrades!$AU$9:$AU$508=$A195),_EngineTrades!$AR$9:$AR$508),FALSE),"Closed","Open"))</f>
        <v/>
      </c>
      <c r="F195" s="63" t="str">
        <f>IF($A195="","",INDEX(_EngineTrades!$E$9:$E$508,$AG195-8))</f>
        <v/>
      </c>
      <c r="G195" s="63" t="str">
        <f>IF(OR($A195="",$E195&lt;&gt;"Closed"),"",IFERROR(INDEX(_EngineTrades!$E$9:$E$508,SUMIFS(_EngineTrades!$AX$9:$AX$508,_EngineTrades!$AU$9:$AU$508,$A195)-8),""))</f>
        <v/>
      </c>
      <c r="H195" s="49" t="str">
        <f>IF($A195="","",ROUND(SUMIFS(_EngineTrades!$Y$9:$Y$508,_EngineTrades!$AU$9:$AU$508,$A195),4))</f>
        <v/>
      </c>
      <c r="I195" s="49" t="str">
        <f>IF($A195="","",ROUND(SUMIFS(_EngineTrades!$Z$9:$Z$508,_EngineTrades!$AU$9:$AU$508,$A195),4))</f>
        <v/>
      </c>
      <c r="J195" s="45" t="str">
        <f t="shared" si="40"/>
        <v/>
      </c>
      <c r="K195" s="49" t="str">
        <f>IF($A195="","",ROUND(SUMIFS(_EngineTrades!$AA$9:$AA$508,_EngineTrades!$AU$9:$AU$508,$A195),4))</f>
        <v/>
      </c>
      <c r="L195" s="49" t="str">
        <f>IF($A195="","",ROUND(SUMIFS(_EngineTrades!$AB$9:$AB$508,_EngineTrades!$AU$9:$AU$508,$A195),4))</f>
        <v/>
      </c>
      <c r="M195" s="49" t="str">
        <f>IF($A195="","",ROUND(SUMIFS(_EngineTrades!$AC$9:$AC$508,_EngineTrades!$AU$9:$AU$508,$A195),4))</f>
        <v/>
      </c>
      <c r="N195" s="49" t="str">
        <f>IF($A195="","",ROUND(SUMIFS(_EngineTrades!$AD$9:$AD$508,_EngineTrades!$AU$9:$AU$508,$A195),4))</f>
        <v/>
      </c>
      <c r="O195" s="45" t="str">
        <f t="shared" si="41"/>
        <v/>
      </c>
      <c r="P195" s="61">
        <f>IF(OR($A195="",$E195&lt;&gt;"Open"),0,IFERROR(LOOKUP(2,1/(_EngineTrades!$AU$9:$AU$508=$A195),_EngineTrades!$AM$9:$AM$508),0))</f>
        <v>0</v>
      </c>
      <c r="Q195" s="49" t="str">
        <f>IF(OR($A195="",$P195=0),"",ROUND(IFERROR(LOOKUP(2,1/(_EngineTrades!$AU$9:$AU$508=$A195),_EngineTrades!$AN$9:$AN$508),0)/$P195,4))</f>
        <v/>
      </c>
      <c r="R195" s="49">
        <f>IF(OR($A195="",$E195&lt;&gt;"Open"),0,IFERROR(LOOKUP(2,1/(_EngineTrades!$AU$9:$AU$508=$A195),_EngineTrades!$AO$9:$AO$508),0))</f>
        <v>0</v>
      </c>
      <c r="S195" s="49">
        <f>IF(OR($A195="",$E195&lt;&gt;"Open"),0,ROUND($R195+IFERROR(LOOKUP(2,1/(_EngineTrades!$AU$9:$AU$508=$A195),_EngineTrades!$AN$9:$AN$508),0),4))</f>
        <v>0</v>
      </c>
      <c r="T195" s="49" t="str">
        <f>IF($A195="","",ROUND(IFERROR(LOOKUP(2,1/(_EngineTrades!$AU$9:$AU$508=$A195),_EngineTrades!$AT$9:$AT$508),0),4))</f>
        <v/>
      </c>
      <c r="U195" s="49" t="str">
        <f t="shared" si="42"/>
        <v/>
      </c>
      <c r="V195" s="49" t="str">
        <f>IF(AND($A195&lt;&gt;"",$E195="Open",$P195+N(IFERROR(LOOKUP(2,1/(_EngineTrades!$AU$9:$AU$508=$A195),_EngineTrades!$AP$9:$AP$508),0))&gt;0),ROUND(($R195-$O195)/($P195+N(IFERROR(LOOKUP(2,1/(_EngineTrades!$AU$9:$AU$508=$A195),_EngineTrades!$AP$9:$AP$508),0))),4),"")</f>
        <v/>
      </c>
      <c r="W195" s="64" t="str">
        <f>IF($A195="","",MAX(1,IF($G195="",_EngineTrades!$E$3-$F195,$G195-$F195)))</f>
        <v/>
      </c>
      <c r="X195" s="65" t="str">
        <f t="shared" si="43"/>
        <v/>
      </c>
      <c r="Y195" s="65" t="str">
        <f t="shared" si="44"/>
        <v/>
      </c>
      <c r="Z195" s="44">
        <f>IF(Cycles!U195="",0,Cycles!U195)</f>
        <v>0</v>
      </c>
      <c r="AA195" s="44">
        <f>IF(Cycles!V195="",0,Cycles!V195)</f>
        <v>0</v>
      </c>
      <c r="AB195" s="44">
        <f>IF(Cycles!W195="",0,Cycles!W195)</f>
        <v>0</v>
      </c>
      <c r="AC195" s="44">
        <f>IF(Cycles!X195="",0,Cycles!X195)</f>
        <v>0</v>
      </c>
      <c r="AD195" s="49" t="str">
        <f t="shared" si="45"/>
        <v/>
      </c>
      <c r="AE195" s="49" t="str">
        <f t="shared" si="46"/>
        <v/>
      </c>
      <c r="AF195" s="49" t="str">
        <f t="shared" si="47"/>
        <v/>
      </c>
      <c r="AG195" t="str">
        <f>IFERROR(MATCH(ROWS($AG$9:AG195),_EngineTrades!$AW$9:$AW$508,0)+8,"")</f>
        <v/>
      </c>
    </row>
    <row r="196" spans="1:33" ht="15" x14ac:dyDescent="0.25">
      <c r="A196" s="66" t="str">
        <f>IF($AG196="","",IFERROR(INDEX(_EngineTrades!$AU$9:$AU$508,MATCH($AG196,_EngineTrades!$AV$9:$AV$508,0)),""))</f>
        <v/>
      </c>
      <c r="B196" s="66" t="str">
        <f>IF($A196="","",INDEX(_EngineTrades!$B$9:$B$508,MATCH($AG196,_EngineTrades!$AV$9:$AV$508,0)))</f>
        <v/>
      </c>
      <c r="C196" s="66" t="str">
        <f>IF($A196="","",INDEX(_EngineTrades!$T$9:$T$508,MATCH($AG196,_EngineTrades!$AV$9:$AV$508,0)))</f>
        <v/>
      </c>
      <c r="D196" s="67" t="str">
        <f>IF($A196="","",INDEX(_EngineTrades!$C$9:$C$508,MATCH($AG196,_EngineTrades!$AV$9:$AV$508,0)))</f>
        <v/>
      </c>
      <c r="E196" s="68" t="str">
        <f>IF($A196="","",IF(IFERROR(LOOKUP(2,1/(_EngineTrades!$AU$9:$AU$508=$A196),_EngineTrades!$AR$9:$AR$508),FALSE),"Closed","Open"))</f>
        <v/>
      </c>
      <c r="F196" s="69" t="str">
        <f>IF($A196="","",INDEX(_EngineTrades!$E$9:$E$508,$AG196-8))</f>
        <v/>
      </c>
      <c r="G196" s="69" t="str">
        <f>IF(OR($A196="",$E196&lt;&gt;"Closed"),"",IFERROR(INDEX(_EngineTrades!$E$9:$E$508,SUMIFS(_EngineTrades!$AX$9:$AX$508,_EngineTrades!$AU$9:$AU$508,$A196)-8),""))</f>
        <v/>
      </c>
      <c r="H196" s="70" t="str">
        <f>IF($A196="","",ROUND(SUMIFS(_EngineTrades!$Y$9:$Y$508,_EngineTrades!$AU$9:$AU$508,$A196),4))</f>
        <v/>
      </c>
      <c r="I196" s="70" t="str">
        <f>IF($A196="","",ROUND(SUMIFS(_EngineTrades!$Z$9:$Z$508,_EngineTrades!$AU$9:$AU$508,$A196),4))</f>
        <v/>
      </c>
      <c r="J196" s="71" t="str">
        <f t="shared" si="40"/>
        <v/>
      </c>
      <c r="K196" s="70" t="str">
        <f>IF($A196="","",ROUND(SUMIFS(_EngineTrades!$AA$9:$AA$508,_EngineTrades!$AU$9:$AU$508,$A196),4))</f>
        <v/>
      </c>
      <c r="L196" s="70" t="str">
        <f>IF($A196="","",ROUND(SUMIFS(_EngineTrades!$AB$9:$AB$508,_EngineTrades!$AU$9:$AU$508,$A196),4))</f>
        <v/>
      </c>
      <c r="M196" s="70" t="str">
        <f>IF($A196="","",ROUND(SUMIFS(_EngineTrades!$AC$9:$AC$508,_EngineTrades!$AU$9:$AU$508,$A196),4))</f>
        <v/>
      </c>
      <c r="N196" s="70" t="str">
        <f>IF($A196="","",ROUND(SUMIFS(_EngineTrades!$AD$9:$AD$508,_EngineTrades!$AU$9:$AU$508,$A196),4))</f>
        <v/>
      </c>
      <c r="O196" s="71" t="str">
        <f t="shared" si="41"/>
        <v/>
      </c>
      <c r="P196" s="66">
        <f>IF(OR($A196="",$E196&lt;&gt;"Open"),0,IFERROR(LOOKUP(2,1/(_EngineTrades!$AU$9:$AU$508=$A196),_EngineTrades!$AM$9:$AM$508),0))</f>
        <v>0</v>
      </c>
      <c r="Q196" s="70" t="str">
        <f>IF(OR($A196="",$P196=0),"",ROUND(IFERROR(LOOKUP(2,1/(_EngineTrades!$AU$9:$AU$508=$A196),_EngineTrades!$AN$9:$AN$508),0)/$P196,4))</f>
        <v/>
      </c>
      <c r="R196" s="70">
        <f>IF(OR($A196="",$E196&lt;&gt;"Open"),0,IFERROR(LOOKUP(2,1/(_EngineTrades!$AU$9:$AU$508=$A196),_EngineTrades!$AO$9:$AO$508),0))</f>
        <v>0</v>
      </c>
      <c r="S196" s="70">
        <f>IF(OR($A196="",$E196&lt;&gt;"Open"),0,ROUND($R196+IFERROR(LOOKUP(2,1/(_EngineTrades!$AU$9:$AU$508=$A196),_EngineTrades!$AN$9:$AN$508),0),4))</f>
        <v>0</v>
      </c>
      <c r="T196" s="70" t="str">
        <f>IF($A196="","",ROUND(IFERROR(LOOKUP(2,1/(_EngineTrades!$AU$9:$AU$508=$A196),_EngineTrades!$AT$9:$AT$508),0),4))</f>
        <v/>
      </c>
      <c r="U196" s="70" t="str">
        <f t="shared" si="42"/>
        <v/>
      </c>
      <c r="V196" s="70" t="str">
        <f>IF(AND($A196&lt;&gt;"",$E196="Open",$P196+N(IFERROR(LOOKUP(2,1/(_EngineTrades!$AU$9:$AU$508=$A196),_EngineTrades!$AP$9:$AP$508),0))&gt;0),ROUND(($R196-$O196)/($P196+N(IFERROR(LOOKUP(2,1/(_EngineTrades!$AU$9:$AU$508=$A196),_EngineTrades!$AP$9:$AP$508),0))),4),"")</f>
        <v/>
      </c>
      <c r="W196" s="72" t="str">
        <f>IF($A196="","",MAX(1,IF($G196="",_EngineTrades!$E$3-$F196,$G196-$F196)))</f>
        <v/>
      </c>
      <c r="X196" s="73" t="str">
        <f t="shared" si="43"/>
        <v/>
      </c>
      <c r="Y196" s="73" t="str">
        <f t="shared" si="44"/>
        <v/>
      </c>
      <c r="Z196" s="44">
        <f>IF(Cycles!U196="",0,Cycles!U196)</f>
        <v>0</v>
      </c>
      <c r="AA196" s="44">
        <f>IF(Cycles!V196="",0,Cycles!V196)</f>
        <v>0</v>
      </c>
      <c r="AB196" s="44">
        <f>IF(Cycles!W196="",0,Cycles!W196)</f>
        <v>0</v>
      </c>
      <c r="AC196" s="44">
        <f>IF(Cycles!X196="",0,Cycles!X196)</f>
        <v>0</v>
      </c>
      <c r="AD196" s="70" t="str">
        <f t="shared" si="45"/>
        <v/>
      </c>
      <c r="AE196" s="70" t="str">
        <f t="shared" si="46"/>
        <v/>
      </c>
      <c r="AF196" s="70" t="str">
        <f t="shared" si="47"/>
        <v/>
      </c>
      <c r="AG196" t="str">
        <f>IFERROR(MATCH(ROWS($AG$9:AG196),_EngineTrades!$AW$9:$AW$508,0)+8,"")</f>
        <v/>
      </c>
    </row>
    <row r="197" spans="1:33" ht="15" x14ac:dyDescent="0.25">
      <c r="A197" s="61" t="str">
        <f>IF($AG197="","",IFERROR(INDEX(_EngineTrades!$AU$9:$AU$508,MATCH($AG197,_EngineTrades!$AV$9:$AV$508,0)),""))</f>
        <v/>
      </c>
      <c r="B197" s="61" t="str">
        <f>IF($A197="","",INDEX(_EngineTrades!$B$9:$B$508,MATCH($AG197,_EngineTrades!$AV$9:$AV$508,0)))</f>
        <v/>
      </c>
      <c r="C197" s="61" t="str">
        <f>IF($A197="","",INDEX(_EngineTrades!$T$9:$T$508,MATCH($AG197,_EngineTrades!$AV$9:$AV$508,0)))</f>
        <v/>
      </c>
      <c r="D197" s="47" t="str">
        <f>IF($A197="","",INDEX(_EngineTrades!$C$9:$C$508,MATCH($AG197,_EngineTrades!$AV$9:$AV$508,0)))</f>
        <v/>
      </c>
      <c r="E197" s="62" t="str">
        <f>IF($A197="","",IF(IFERROR(LOOKUP(2,1/(_EngineTrades!$AU$9:$AU$508=$A197),_EngineTrades!$AR$9:$AR$508),FALSE),"Closed","Open"))</f>
        <v/>
      </c>
      <c r="F197" s="63" t="str">
        <f>IF($A197="","",INDEX(_EngineTrades!$E$9:$E$508,$AG197-8))</f>
        <v/>
      </c>
      <c r="G197" s="63" t="str">
        <f>IF(OR($A197="",$E197&lt;&gt;"Closed"),"",IFERROR(INDEX(_EngineTrades!$E$9:$E$508,SUMIFS(_EngineTrades!$AX$9:$AX$508,_EngineTrades!$AU$9:$AU$508,$A197)-8),""))</f>
        <v/>
      </c>
      <c r="H197" s="49" t="str">
        <f>IF($A197="","",ROUND(SUMIFS(_EngineTrades!$Y$9:$Y$508,_EngineTrades!$AU$9:$AU$508,$A197),4))</f>
        <v/>
      </c>
      <c r="I197" s="49" t="str">
        <f>IF($A197="","",ROUND(SUMIFS(_EngineTrades!$Z$9:$Z$508,_EngineTrades!$AU$9:$AU$508,$A197),4))</f>
        <v/>
      </c>
      <c r="J197" s="45" t="str">
        <f t="shared" si="40"/>
        <v/>
      </c>
      <c r="K197" s="49" t="str">
        <f>IF($A197="","",ROUND(SUMIFS(_EngineTrades!$AA$9:$AA$508,_EngineTrades!$AU$9:$AU$508,$A197),4))</f>
        <v/>
      </c>
      <c r="L197" s="49" t="str">
        <f>IF($A197="","",ROUND(SUMIFS(_EngineTrades!$AB$9:$AB$508,_EngineTrades!$AU$9:$AU$508,$A197),4))</f>
        <v/>
      </c>
      <c r="M197" s="49" t="str">
        <f>IF($A197="","",ROUND(SUMIFS(_EngineTrades!$AC$9:$AC$508,_EngineTrades!$AU$9:$AU$508,$A197),4))</f>
        <v/>
      </c>
      <c r="N197" s="49" t="str">
        <f>IF($A197="","",ROUND(SUMIFS(_EngineTrades!$AD$9:$AD$508,_EngineTrades!$AU$9:$AU$508,$A197),4))</f>
        <v/>
      </c>
      <c r="O197" s="45" t="str">
        <f t="shared" si="41"/>
        <v/>
      </c>
      <c r="P197" s="61">
        <f>IF(OR($A197="",$E197&lt;&gt;"Open"),0,IFERROR(LOOKUP(2,1/(_EngineTrades!$AU$9:$AU$508=$A197),_EngineTrades!$AM$9:$AM$508),0))</f>
        <v>0</v>
      </c>
      <c r="Q197" s="49" t="str">
        <f>IF(OR($A197="",$P197=0),"",ROUND(IFERROR(LOOKUP(2,1/(_EngineTrades!$AU$9:$AU$508=$A197),_EngineTrades!$AN$9:$AN$508),0)/$P197,4))</f>
        <v/>
      </c>
      <c r="R197" s="49">
        <f>IF(OR($A197="",$E197&lt;&gt;"Open"),0,IFERROR(LOOKUP(2,1/(_EngineTrades!$AU$9:$AU$508=$A197),_EngineTrades!$AO$9:$AO$508),0))</f>
        <v>0</v>
      </c>
      <c r="S197" s="49">
        <f>IF(OR($A197="",$E197&lt;&gt;"Open"),0,ROUND($R197+IFERROR(LOOKUP(2,1/(_EngineTrades!$AU$9:$AU$508=$A197),_EngineTrades!$AN$9:$AN$508),0),4))</f>
        <v>0</v>
      </c>
      <c r="T197" s="49" t="str">
        <f>IF($A197="","",ROUND(IFERROR(LOOKUP(2,1/(_EngineTrades!$AU$9:$AU$508=$A197),_EngineTrades!$AT$9:$AT$508),0),4))</f>
        <v/>
      </c>
      <c r="U197" s="49" t="str">
        <f t="shared" si="42"/>
        <v/>
      </c>
      <c r="V197" s="49" t="str">
        <f>IF(AND($A197&lt;&gt;"",$E197="Open",$P197+N(IFERROR(LOOKUP(2,1/(_EngineTrades!$AU$9:$AU$508=$A197),_EngineTrades!$AP$9:$AP$508),0))&gt;0),ROUND(($R197-$O197)/($P197+N(IFERROR(LOOKUP(2,1/(_EngineTrades!$AU$9:$AU$508=$A197),_EngineTrades!$AP$9:$AP$508),0))),4),"")</f>
        <v/>
      </c>
      <c r="W197" s="64" t="str">
        <f>IF($A197="","",MAX(1,IF($G197="",_EngineTrades!$E$3-$F197,$G197-$F197)))</f>
        <v/>
      </c>
      <c r="X197" s="65" t="str">
        <f t="shared" si="43"/>
        <v/>
      </c>
      <c r="Y197" s="65" t="str">
        <f t="shared" si="44"/>
        <v/>
      </c>
      <c r="Z197" s="44">
        <f>IF(Cycles!U197="",0,Cycles!U197)</f>
        <v>0</v>
      </c>
      <c r="AA197" s="44">
        <f>IF(Cycles!V197="",0,Cycles!V197)</f>
        <v>0</v>
      </c>
      <c r="AB197" s="44">
        <f>IF(Cycles!W197="",0,Cycles!W197)</f>
        <v>0</v>
      </c>
      <c r="AC197" s="44">
        <f>IF(Cycles!X197="",0,Cycles!X197)</f>
        <v>0</v>
      </c>
      <c r="AD197" s="49" t="str">
        <f t="shared" si="45"/>
        <v/>
      </c>
      <c r="AE197" s="49" t="str">
        <f t="shared" si="46"/>
        <v/>
      </c>
      <c r="AF197" s="49" t="str">
        <f t="shared" si="47"/>
        <v/>
      </c>
      <c r="AG197" t="str">
        <f>IFERROR(MATCH(ROWS($AG$9:AG197),_EngineTrades!$AW$9:$AW$508,0)+8,"")</f>
        <v/>
      </c>
    </row>
    <row r="198" spans="1:33" ht="15" x14ac:dyDescent="0.25">
      <c r="A198" s="66" t="str">
        <f>IF($AG198="","",IFERROR(INDEX(_EngineTrades!$AU$9:$AU$508,MATCH($AG198,_EngineTrades!$AV$9:$AV$508,0)),""))</f>
        <v/>
      </c>
      <c r="B198" s="66" t="str">
        <f>IF($A198="","",INDEX(_EngineTrades!$B$9:$B$508,MATCH($AG198,_EngineTrades!$AV$9:$AV$508,0)))</f>
        <v/>
      </c>
      <c r="C198" s="66" t="str">
        <f>IF($A198="","",INDEX(_EngineTrades!$T$9:$T$508,MATCH($AG198,_EngineTrades!$AV$9:$AV$508,0)))</f>
        <v/>
      </c>
      <c r="D198" s="67" t="str">
        <f>IF($A198="","",INDEX(_EngineTrades!$C$9:$C$508,MATCH($AG198,_EngineTrades!$AV$9:$AV$508,0)))</f>
        <v/>
      </c>
      <c r="E198" s="68" t="str">
        <f>IF($A198="","",IF(IFERROR(LOOKUP(2,1/(_EngineTrades!$AU$9:$AU$508=$A198),_EngineTrades!$AR$9:$AR$508),FALSE),"Closed","Open"))</f>
        <v/>
      </c>
      <c r="F198" s="69" t="str">
        <f>IF($A198="","",INDEX(_EngineTrades!$E$9:$E$508,$AG198-8))</f>
        <v/>
      </c>
      <c r="G198" s="69" t="str">
        <f>IF(OR($A198="",$E198&lt;&gt;"Closed"),"",IFERROR(INDEX(_EngineTrades!$E$9:$E$508,SUMIFS(_EngineTrades!$AX$9:$AX$508,_EngineTrades!$AU$9:$AU$508,$A198)-8),""))</f>
        <v/>
      </c>
      <c r="H198" s="70" t="str">
        <f>IF($A198="","",ROUND(SUMIFS(_EngineTrades!$Y$9:$Y$508,_EngineTrades!$AU$9:$AU$508,$A198),4))</f>
        <v/>
      </c>
      <c r="I198" s="70" t="str">
        <f>IF($A198="","",ROUND(SUMIFS(_EngineTrades!$Z$9:$Z$508,_EngineTrades!$AU$9:$AU$508,$A198),4))</f>
        <v/>
      </c>
      <c r="J198" s="71" t="str">
        <f t="shared" si="40"/>
        <v/>
      </c>
      <c r="K198" s="70" t="str">
        <f>IF($A198="","",ROUND(SUMIFS(_EngineTrades!$AA$9:$AA$508,_EngineTrades!$AU$9:$AU$508,$A198),4))</f>
        <v/>
      </c>
      <c r="L198" s="70" t="str">
        <f>IF($A198="","",ROUND(SUMIFS(_EngineTrades!$AB$9:$AB$508,_EngineTrades!$AU$9:$AU$508,$A198),4))</f>
        <v/>
      </c>
      <c r="M198" s="70" t="str">
        <f>IF($A198="","",ROUND(SUMIFS(_EngineTrades!$AC$9:$AC$508,_EngineTrades!$AU$9:$AU$508,$A198),4))</f>
        <v/>
      </c>
      <c r="N198" s="70" t="str">
        <f>IF($A198="","",ROUND(SUMIFS(_EngineTrades!$AD$9:$AD$508,_EngineTrades!$AU$9:$AU$508,$A198),4))</f>
        <v/>
      </c>
      <c r="O198" s="71" t="str">
        <f t="shared" si="41"/>
        <v/>
      </c>
      <c r="P198" s="66">
        <f>IF(OR($A198="",$E198&lt;&gt;"Open"),0,IFERROR(LOOKUP(2,1/(_EngineTrades!$AU$9:$AU$508=$A198),_EngineTrades!$AM$9:$AM$508),0))</f>
        <v>0</v>
      </c>
      <c r="Q198" s="70" t="str">
        <f>IF(OR($A198="",$P198=0),"",ROUND(IFERROR(LOOKUP(2,1/(_EngineTrades!$AU$9:$AU$508=$A198),_EngineTrades!$AN$9:$AN$508),0)/$P198,4))</f>
        <v/>
      </c>
      <c r="R198" s="70">
        <f>IF(OR($A198="",$E198&lt;&gt;"Open"),0,IFERROR(LOOKUP(2,1/(_EngineTrades!$AU$9:$AU$508=$A198),_EngineTrades!$AO$9:$AO$508),0))</f>
        <v>0</v>
      </c>
      <c r="S198" s="70">
        <f>IF(OR($A198="",$E198&lt;&gt;"Open"),0,ROUND($R198+IFERROR(LOOKUP(2,1/(_EngineTrades!$AU$9:$AU$508=$A198),_EngineTrades!$AN$9:$AN$508),0),4))</f>
        <v>0</v>
      </c>
      <c r="T198" s="70" t="str">
        <f>IF($A198="","",ROUND(IFERROR(LOOKUP(2,1/(_EngineTrades!$AU$9:$AU$508=$A198),_EngineTrades!$AT$9:$AT$508),0),4))</f>
        <v/>
      </c>
      <c r="U198" s="70" t="str">
        <f t="shared" si="42"/>
        <v/>
      </c>
      <c r="V198" s="70" t="str">
        <f>IF(AND($A198&lt;&gt;"",$E198="Open",$P198+N(IFERROR(LOOKUP(2,1/(_EngineTrades!$AU$9:$AU$508=$A198),_EngineTrades!$AP$9:$AP$508),0))&gt;0),ROUND(($R198-$O198)/($P198+N(IFERROR(LOOKUP(2,1/(_EngineTrades!$AU$9:$AU$508=$A198),_EngineTrades!$AP$9:$AP$508),0))),4),"")</f>
        <v/>
      </c>
      <c r="W198" s="72" t="str">
        <f>IF($A198="","",MAX(1,IF($G198="",_EngineTrades!$E$3-$F198,$G198-$F198)))</f>
        <v/>
      </c>
      <c r="X198" s="73" t="str">
        <f t="shared" si="43"/>
        <v/>
      </c>
      <c r="Y198" s="73" t="str">
        <f t="shared" si="44"/>
        <v/>
      </c>
      <c r="Z198" s="44">
        <f>IF(Cycles!U198="",0,Cycles!U198)</f>
        <v>0</v>
      </c>
      <c r="AA198" s="44">
        <f>IF(Cycles!V198="",0,Cycles!V198)</f>
        <v>0</v>
      </c>
      <c r="AB198" s="44">
        <f>IF(Cycles!W198="",0,Cycles!W198)</f>
        <v>0</v>
      </c>
      <c r="AC198" s="44">
        <f>IF(Cycles!X198="",0,Cycles!X198)</f>
        <v>0</v>
      </c>
      <c r="AD198" s="70" t="str">
        <f t="shared" si="45"/>
        <v/>
      </c>
      <c r="AE198" s="70" t="str">
        <f t="shared" si="46"/>
        <v/>
      </c>
      <c r="AF198" s="70" t="str">
        <f t="shared" si="47"/>
        <v/>
      </c>
      <c r="AG198" t="str">
        <f>IFERROR(MATCH(ROWS($AG$9:AG198),_EngineTrades!$AW$9:$AW$508,0)+8,"")</f>
        <v/>
      </c>
    </row>
    <row r="199" spans="1:33" ht="15" x14ac:dyDescent="0.25">
      <c r="A199" s="61" t="str">
        <f>IF($AG199="","",IFERROR(INDEX(_EngineTrades!$AU$9:$AU$508,MATCH($AG199,_EngineTrades!$AV$9:$AV$508,0)),""))</f>
        <v/>
      </c>
      <c r="B199" s="61" t="str">
        <f>IF($A199="","",INDEX(_EngineTrades!$B$9:$B$508,MATCH($AG199,_EngineTrades!$AV$9:$AV$508,0)))</f>
        <v/>
      </c>
      <c r="C199" s="61" t="str">
        <f>IF($A199="","",INDEX(_EngineTrades!$T$9:$T$508,MATCH($AG199,_EngineTrades!$AV$9:$AV$508,0)))</f>
        <v/>
      </c>
      <c r="D199" s="47" t="str">
        <f>IF($A199="","",INDEX(_EngineTrades!$C$9:$C$508,MATCH($AG199,_EngineTrades!$AV$9:$AV$508,0)))</f>
        <v/>
      </c>
      <c r="E199" s="62" t="str">
        <f>IF($A199="","",IF(IFERROR(LOOKUP(2,1/(_EngineTrades!$AU$9:$AU$508=$A199),_EngineTrades!$AR$9:$AR$508),FALSE),"Closed","Open"))</f>
        <v/>
      </c>
      <c r="F199" s="63" t="str">
        <f>IF($A199="","",INDEX(_EngineTrades!$E$9:$E$508,$AG199-8))</f>
        <v/>
      </c>
      <c r="G199" s="63" t="str">
        <f>IF(OR($A199="",$E199&lt;&gt;"Closed"),"",IFERROR(INDEX(_EngineTrades!$E$9:$E$508,SUMIFS(_EngineTrades!$AX$9:$AX$508,_EngineTrades!$AU$9:$AU$508,$A199)-8),""))</f>
        <v/>
      </c>
      <c r="H199" s="49" t="str">
        <f>IF($A199="","",ROUND(SUMIFS(_EngineTrades!$Y$9:$Y$508,_EngineTrades!$AU$9:$AU$508,$A199),4))</f>
        <v/>
      </c>
      <c r="I199" s="49" t="str">
        <f>IF($A199="","",ROUND(SUMIFS(_EngineTrades!$Z$9:$Z$508,_EngineTrades!$AU$9:$AU$508,$A199),4))</f>
        <v/>
      </c>
      <c r="J199" s="45" t="str">
        <f t="shared" si="40"/>
        <v/>
      </c>
      <c r="K199" s="49" t="str">
        <f>IF($A199="","",ROUND(SUMIFS(_EngineTrades!$AA$9:$AA$508,_EngineTrades!$AU$9:$AU$508,$A199),4))</f>
        <v/>
      </c>
      <c r="L199" s="49" t="str">
        <f>IF($A199="","",ROUND(SUMIFS(_EngineTrades!$AB$9:$AB$508,_EngineTrades!$AU$9:$AU$508,$A199),4))</f>
        <v/>
      </c>
      <c r="M199" s="49" t="str">
        <f>IF($A199="","",ROUND(SUMIFS(_EngineTrades!$AC$9:$AC$508,_EngineTrades!$AU$9:$AU$508,$A199),4))</f>
        <v/>
      </c>
      <c r="N199" s="49" t="str">
        <f>IF($A199="","",ROUND(SUMIFS(_EngineTrades!$AD$9:$AD$508,_EngineTrades!$AU$9:$AU$508,$A199),4))</f>
        <v/>
      </c>
      <c r="O199" s="45" t="str">
        <f t="shared" si="41"/>
        <v/>
      </c>
      <c r="P199" s="61">
        <f>IF(OR($A199="",$E199&lt;&gt;"Open"),0,IFERROR(LOOKUP(2,1/(_EngineTrades!$AU$9:$AU$508=$A199),_EngineTrades!$AM$9:$AM$508),0))</f>
        <v>0</v>
      </c>
      <c r="Q199" s="49" t="str">
        <f>IF(OR($A199="",$P199=0),"",ROUND(IFERROR(LOOKUP(2,1/(_EngineTrades!$AU$9:$AU$508=$A199),_EngineTrades!$AN$9:$AN$508),0)/$P199,4))</f>
        <v/>
      </c>
      <c r="R199" s="49">
        <f>IF(OR($A199="",$E199&lt;&gt;"Open"),0,IFERROR(LOOKUP(2,1/(_EngineTrades!$AU$9:$AU$508=$A199),_EngineTrades!$AO$9:$AO$508),0))</f>
        <v>0</v>
      </c>
      <c r="S199" s="49">
        <f>IF(OR($A199="",$E199&lt;&gt;"Open"),0,ROUND($R199+IFERROR(LOOKUP(2,1/(_EngineTrades!$AU$9:$AU$508=$A199),_EngineTrades!$AN$9:$AN$508),0),4))</f>
        <v>0</v>
      </c>
      <c r="T199" s="49" t="str">
        <f>IF($A199="","",ROUND(IFERROR(LOOKUP(2,1/(_EngineTrades!$AU$9:$AU$508=$A199),_EngineTrades!$AT$9:$AT$508),0),4))</f>
        <v/>
      </c>
      <c r="U199" s="49" t="str">
        <f t="shared" si="42"/>
        <v/>
      </c>
      <c r="V199" s="49" t="str">
        <f>IF(AND($A199&lt;&gt;"",$E199="Open",$P199+N(IFERROR(LOOKUP(2,1/(_EngineTrades!$AU$9:$AU$508=$A199),_EngineTrades!$AP$9:$AP$508),0))&gt;0),ROUND(($R199-$O199)/($P199+N(IFERROR(LOOKUP(2,1/(_EngineTrades!$AU$9:$AU$508=$A199),_EngineTrades!$AP$9:$AP$508),0))),4),"")</f>
        <v/>
      </c>
      <c r="W199" s="64" t="str">
        <f>IF($A199="","",MAX(1,IF($G199="",_EngineTrades!$E$3-$F199,$G199-$F199)))</f>
        <v/>
      </c>
      <c r="X199" s="65" t="str">
        <f t="shared" si="43"/>
        <v/>
      </c>
      <c r="Y199" s="65" t="str">
        <f t="shared" si="44"/>
        <v/>
      </c>
      <c r="Z199" s="44">
        <f>IF(Cycles!U199="",0,Cycles!U199)</f>
        <v>0</v>
      </c>
      <c r="AA199" s="44">
        <f>IF(Cycles!V199="",0,Cycles!V199)</f>
        <v>0</v>
      </c>
      <c r="AB199" s="44">
        <f>IF(Cycles!W199="",0,Cycles!W199)</f>
        <v>0</v>
      </c>
      <c r="AC199" s="44">
        <f>IF(Cycles!X199="",0,Cycles!X199)</f>
        <v>0</v>
      </c>
      <c r="AD199" s="49" t="str">
        <f t="shared" si="45"/>
        <v/>
      </c>
      <c r="AE199" s="49" t="str">
        <f t="shared" si="46"/>
        <v/>
      </c>
      <c r="AF199" s="49" t="str">
        <f t="shared" si="47"/>
        <v/>
      </c>
      <c r="AG199" t="str">
        <f>IFERROR(MATCH(ROWS($AG$9:AG199),_EngineTrades!$AW$9:$AW$508,0)+8,"")</f>
        <v/>
      </c>
    </row>
    <row r="200" spans="1:33" ht="15" x14ac:dyDescent="0.25">
      <c r="A200" s="66" t="str">
        <f>IF($AG200="","",IFERROR(INDEX(_EngineTrades!$AU$9:$AU$508,MATCH($AG200,_EngineTrades!$AV$9:$AV$508,0)),""))</f>
        <v/>
      </c>
      <c r="B200" s="66" t="str">
        <f>IF($A200="","",INDEX(_EngineTrades!$B$9:$B$508,MATCH($AG200,_EngineTrades!$AV$9:$AV$508,0)))</f>
        <v/>
      </c>
      <c r="C200" s="66" t="str">
        <f>IF($A200="","",INDEX(_EngineTrades!$T$9:$T$508,MATCH($AG200,_EngineTrades!$AV$9:$AV$508,0)))</f>
        <v/>
      </c>
      <c r="D200" s="67" t="str">
        <f>IF($A200="","",INDEX(_EngineTrades!$C$9:$C$508,MATCH($AG200,_EngineTrades!$AV$9:$AV$508,0)))</f>
        <v/>
      </c>
      <c r="E200" s="68" t="str">
        <f>IF($A200="","",IF(IFERROR(LOOKUP(2,1/(_EngineTrades!$AU$9:$AU$508=$A200),_EngineTrades!$AR$9:$AR$508),FALSE),"Closed","Open"))</f>
        <v/>
      </c>
      <c r="F200" s="69" t="str">
        <f>IF($A200="","",INDEX(_EngineTrades!$E$9:$E$508,$AG200-8))</f>
        <v/>
      </c>
      <c r="G200" s="69" t="str">
        <f>IF(OR($A200="",$E200&lt;&gt;"Closed"),"",IFERROR(INDEX(_EngineTrades!$E$9:$E$508,SUMIFS(_EngineTrades!$AX$9:$AX$508,_EngineTrades!$AU$9:$AU$508,$A200)-8),""))</f>
        <v/>
      </c>
      <c r="H200" s="70" t="str">
        <f>IF($A200="","",ROUND(SUMIFS(_EngineTrades!$Y$9:$Y$508,_EngineTrades!$AU$9:$AU$508,$A200),4))</f>
        <v/>
      </c>
      <c r="I200" s="70" t="str">
        <f>IF($A200="","",ROUND(SUMIFS(_EngineTrades!$Z$9:$Z$508,_EngineTrades!$AU$9:$AU$508,$A200),4))</f>
        <v/>
      </c>
      <c r="J200" s="71" t="str">
        <f t="shared" si="40"/>
        <v/>
      </c>
      <c r="K200" s="70" t="str">
        <f>IF($A200="","",ROUND(SUMIFS(_EngineTrades!$AA$9:$AA$508,_EngineTrades!$AU$9:$AU$508,$A200),4))</f>
        <v/>
      </c>
      <c r="L200" s="70" t="str">
        <f>IF($A200="","",ROUND(SUMIFS(_EngineTrades!$AB$9:$AB$508,_EngineTrades!$AU$9:$AU$508,$A200),4))</f>
        <v/>
      </c>
      <c r="M200" s="70" t="str">
        <f>IF($A200="","",ROUND(SUMIFS(_EngineTrades!$AC$9:$AC$508,_EngineTrades!$AU$9:$AU$508,$A200),4))</f>
        <v/>
      </c>
      <c r="N200" s="70" t="str">
        <f>IF($A200="","",ROUND(SUMIFS(_EngineTrades!$AD$9:$AD$508,_EngineTrades!$AU$9:$AU$508,$A200),4))</f>
        <v/>
      </c>
      <c r="O200" s="71" t="str">
        <f t="shared" si="41"/>
        <v/>
      </c>
      <c r="P200" s="66">
        <f>IF(OR($A200="",$E200&lt;&gt;"Open"),0,IFERROR(LOOKUP(2,1/(_EngineTrades!$AU$9:$AU$508=$A200),_EngineTrades!$AM$9:$AM$508),0))</f>
        <v>0</v>
      </c>
      <c r="Q200" s="70" t="str">
        <f>IF(OR($A200="",$P200=0),"",ROUND(IFERROR(LOOKUP(2,1/(_EngineTrades!$AU$9:$AU$508=$A200),_EngineTrades!$AN$9:$AN$508),0)/$P200,4))</f>
        <v/>
      </c>
      <c r="R200" s="70">
        <f>IF(OR($A200="",$E200&lt;&gt;"Open"),0,IFERROR(LOOKUP(2,1/(_EngineTrades!$AU$9:$AU$508=$A200),_EngineTrades!$AO$9:$AO$508),0))</f>
        <v>0</v>
      </c>
      <c r="S200" s="70">
        <f>IF(OR($A200="",$E200&lt;&gt;"Open"),0,ROUND($R200+IFERROR(LOOKUP(2,1/(_EngineTrades!$AU$9:$AU$508=$A200),_EngineTrades!$AN$9:$AN$508),0),4))</f>
        <v>0</v>
      </c>
      <c r="T200" s="70" t="str">
        <f>IF($A200="","",ROUND(IFERROR(LOOKUP(2,1/(_EngineTrades!$AU$9:$AU$508=$A200),_EngineTrades!$AT$9:$AT$508),0),4))</f>
        <v/>
      </c>
      <c r="U200" s="70" t="str">
        <f t="shared" si="42"/>
        <v/>
      </c>
      <c r="V200" s="70" t="str">
        <f>IF(AND($A200&lt;&gt;"",$E200="Open",$P200+N(IFERROR(LOOKUP(2,1/(_EngineTrades!$AU$9:$AU$508=$A200),_EngineTrades!$AP$9:$AP$508),0))&gt;0),ROUND(($R200-$O200)/($P200+N(IFERROR(LOOKUP(2,1/(_EngineTrades!$AU$9:$AU$508=$A200),_EngineTrades!$AP$9:$AP$508),0))),4),"")</f>
        <v/>
      </c>
      <c r="W200" s="72" t="str">
        <f>IF($A200="","",MAX(1,IF($G200="",_EngineTrades!$E$3-$F200,$G200-$F200)))</f>
        <v/>
      </c>
      <c r="X200" s="73" t="str">
        <f t="shared" si="43"/>
        <v/>
      </c>
      <c r="Y200" s="73" t="str">
        <f t="shared" si="44"/>
        <v/>
      </c>
      <c r="Z200" s="44">
        <f>IF(Cycles!U200="",0,Cycles!U200)</f>
        <v>0</v>
      </c>
      <c r="AA200" s="44">
        <f>IF(Cycles!V200="",0,Cycles!V200)</f>
        <v>0</v>
      </c>
      <c r="AB200" s="44">
        <f>IF(Cycles!W200="",0,Cycles!W200)</f>
        <v>0</v>
      </c>
      <c r="AC200" s="44">
        <f>IF(Cycles!X200="",0,Cycles!X200)</f>
        <v>0</v>
      </c>
      <c r="AD200" s="70" t="str">
        <f t="shared" si="45"/>
        <v/>
      </c>
      <c r="AE200" s="70" t="str">
        <f t="shared" si="46"/>
        <v/>
      </c>
      <c r="AF200" s="70" t="str">
        <f t="shared" si="47"/>
        <v/>
      </c>
      <c r="AG200" t="str">
        <f>IFERROR(MATCH(ROWS($AG$9:AG200),_EngineTrades!$AW$9:$AW$508,0)+8,"")</f>
        <v/>
      </c>
    </row>
    <row r="201" spans="1:33" ht="15" x14ac:dyDescent="0.25">
      <c r="A201" s="61" t="str">
        <f>IF($AG201="","",IFERROR(INDEX(_EngineTrades!$AU$9:$AU$508,MATCH($AG201,_EngineTrades!$AV$9:$AV$508,0)),""))</f>
        <v/>
      </c>
      <c r="B201" s="61" t="str">
        <f>IF($A201="","",INDEX(_EngineTrades!$B$9:$B$508,MATCH($AG201,_EngineTrades!$AV$9:$AV$508,0)))</f>
        <v/>
      </c>
      <c r="C201" s="61" t="str">
        <f>IF($A201="","",INDEX(_EngineTrades!$T$9:$T$508,MATCH($AG201,_EngineTrades!$AV$9:$AV$508,0)))</f>
        <v/>
      </c>
      <c r="D201" s="47" t="str">
        <f>IF($A201="","",INDEX(_EngineTrades!$C$9:$C$508,MATCH($AG201,_EngineTrades!$AV$9:$AV$508,0)))</f>
        <v/>
      </c>
      <c r="E201" s="62" t="str">
        <f>IF($A201="","",IF(IFERROR(LOOKUP(2,1/(_EngineTrades!$AU$9:$AU$508=$A201),_EngineTrades!$AR$9:$AR$508),FALSE),"Closed","Open"))</f>
        <v/>
      </c>
      <c r="F201" s="63" t="str">
        <f>IF($A201="","",INDEX(_EngineTrades!$E$9:$E$508,$AG201-8))</f>
        <v/>
      </c>
      <c r="G201" s="63" t="str">
        <f>IF(OR($A201="",$E201&lt;&gt;"Closed"),"",IFERROR(INDEX(_EngineTrades!$E$9:$E$508,SUMIFS(_EngineTrades!$AX$9:$AX$508,_EngineTrades!$AU$9:$AU$508,$A201)-8),""))</f>
        <v/>
      </c>
      <c r="H201" s="49" t="str">
        <f>IF($A201="","",ROUND(SUMIFS(_EngineTrades!$Y$9:$Y$508,_EngineTrades!$AU$9:$AU$508,$A201),4))</f>
        <v/>
      </c>
      <c r="I201" s="49" t="str">
        <f>IF($A201="","",ROUND(SUMIFS(_EngineTrades!$Z$9:$Z$508,_EngineTrades!$AU$9:$AU$508,$A201),4))</f>
        <v/>
      </c>
      <c r="J201" s="45" t="str">
        <f t="shared" ref="J201:J208" si="48">IF($A201="","",$H201-$I201)</f>
        <v/>
      </c>
      <c r="K201" s="49" t="str">
        <f>IF($A201="","",ROUND(SUMIFS(_EngineTrades!$AA$9:$AA$508,_EngineTrades!$AU$9:$AU$508,$A201),4))</f>
        <v/>
      </c>
      <c r="L201" s="49" t="str">
        <f>IF($A201="","",ROUND(SUMIFS(_EngineTrades!$AB$9:$AB$508,_EngineTrades!$AU$9:$AU$508,$A201),4))</f>
        <v/>
      </c>
      <c r="M201" s="49" t="str">
        <f>IF($A201="","",ROUND(SUMIFS(_EngineTrades!$AC$9:$AC$508,_EngineTrades!$AU$9:$AU$508,$A201),4))</f>
        <v/>
      </c>
      <c r="N201" s="49" t="str">
        <f>IF($A201="","",ROUND(SUMIFS(_EngineTrades!$AD$9:$AD$508,_EngineTrades!$AU$9:$AU$508,$A201),4))</f>
        <v/>
      </c>
      <c r="O201" s="45" t="str">
        <f t="shared" ref="O201:O208" si="49">IF($A201="","",ROUND($J201+$K201-$L201-$M201+$N201,4))</f>
        <v/>
      </c>
      <c r="P201" s="61">
        <f>IF(OR($A201="",$E201&lt;&gt;"Open"),0,IFERROR(LOOKUP(2,1/(_EngineTrades!$AU$9:$AU$508=$A201),_EngineTrades!$AM$9:$AM$508),0))</f>
        <v>0</v>
      </c>
      <c r="Q201" s="49" t="str">
        <f>IF(OR($A201="",$P201=0),"",ROUND(IFERROR(LOOKUP(2,1/(_EngineTrades!$AU$9:$AU$508=$A201),_EngineTrades!$AN$9:$AN$508),0)/$P201,4))</f>
        <v/>
      </c>
      <c r="R201" s="49">
        <f>IF(OR($A201="",$E201&lt;&gt;"Open"),0,IFERROR(LOOKUP(2,1/(_EngineTrades!$AU$9:$AU$508=$A201),_EngineTrades!$AO$9:$AO$508),0))</f>
        <v>0</v>
      </c>
      <c r="S201" s="49">
        <f>IF(OR($A201="",$E201&lt;&gt;"Open"),0,ROUND($R201+IFERROR(LOOKUP(2,1/(_EngineTrades!$AU$9:$AU$508=$A201),_EngineTrades!$AN$9:$AN$508),0),4))</f>
        <v>0</v>
      </c>
      <c r="T201" s="49" t="str">
        <f>IF($A201="","",ROUND(IFERROR(LOOKUP(2,1/(_EngineTrades!$AU$9:$AU$508=$A201),_EngineTrades!$AT$9:$AT$508),0),4))</f>
        <v/>
      </c>
      <c r="U201" s="49" t="str">
        <f t="shared" ref="U201:U208" si="50">IF(AND($A201&lt;&gt;"",$E201="Open",$P201&gt;0),ROUND(-$O201/$P201,4),"")</f>
        <v/>
      </c>
      <c r="V201" s="49" t="str">
        <f>IF(AND($A201&lt;&gt;"",$E201="Open",$P201+N(IFERROR(LOOKUP(2,1/(_EngineTrades!$AU$9:$AU$508=$A201),_EngineTrades!$AP$9:$AP$508),0))&gt;0),ROUND(($R201-$O201)/($P201+N(IFERROR(LOOKUP(2,1/(_EngineTrades!$AU$9:$AU$508=$A201),_EngineTrades!$AP$9:$AP$508),0))),4),"")</f>
        <v/>
      </c>
      <c r="W201" s="64" t="str">
        <f>IF($A201="","",MAX(1,IF($G201="",_EngineTrades!$E$3-$F201,$G201-$F201)))</f>
        <v/>
      </c>
      <c r="X201" s="65" t="str">
        <f t="shared" ref="X201:X208" si="51">IF(OR($A201="",$T201=0),"",ROUND(IF($E201="Open",($J201+$K201-$L201)/$T201,$O201/$T201),6))</f>
        <v/>
      </c>
      <c r="Y201" s="65" t="str">
        <f t="shared" ref="Y201:Y208" si="52">IF(OR($A201="",$T201=0),"",ROUND(IF($E201="Open",($J201+$K201-$L201)/$T201,$O201/$T201)*365/$W201,6))</f>
        <v/>
      </c>
      <c r="Z201" s="44">
        <f>IF(Cycles!U201="",0,Cycles!U201)</f>
        <v>0</v>
      </c>
      <c r="AA201" s="44">
        <f>IF(Cycles!V201="",0,Cycles!V201)</f>
        <v>0</v>
      </c>
      <c r="AB201" s="44">
        <f>IF(Cycles!W201="",0,Cycles!W201)</f>
        <v>0</v>
      </c>
      <c r="AC201" s="44">
        <f>IF(Cycles!X201="",0,Cycles!X201)</f>
        <v>0</v>
      </c>
      <c r="AD201" s="49" t="str">
        <f t="shared" ref="AD201:AD208" si="53">IF(AND($A201&lt;&gt;"",$E201="Open",$P201&gt;0),ROUND($U201-IF($Z201&gt;=0,$Z201,0)+IF($AA201&gt;=0,$AA201,0)/$P201+IF(ISNUMBER($AB201),$AB201,0),4),"")</f>
        <v/>
      </c>
      <c r="AE201" s="49" t="str">
        <f t="shared" ref="AE201:AE208" si="54">IF($AD201="","",ROUND(MAX(0,IF($AC201&gt;0,ROUNDUP(ROUND($AD201/$AC201,9),0)*$AC201,$AD201)),4))</f>
        <v/>
      </c>
      <c r="AF201" s="49" t="str">
        <f t="shared" ref="AF201:AF208" si="55">IF($AE201="","",ROUND($P201*($AE201+IF($Z201&gt;=0,$Z201,0)-$U201)-IF($AA201&gt;=0,$AA201,0),4))</f>
        <v/>
      </c>
      <c r="AG201" t="str">
        <f>IFERROR(MATCH(ROWS($AG$9:AG201),_EngineTrades!$AW$9:$AW$508,0)+8,"")</f>
        <v/>
      </c>
    </row>
    <row r="202" spans="1:33" ht="15" x14ac:dyDescent="0.25">
      <c r="A202" s="66" t="str">
        <f>IF($AG202="","",IFERROR(INDEX(_EngineTrades!$AU$9:$AU$508,MATCH($AG202,_EngineTrades!$AV$9:$AV$508,0)),""))</f>
        <v/>
      </c>
      <c r="B202" s="66" t="str">
        <f>IF($A202="","",INDEX(_EngineTrades!$B$9:$B$508,MATCH($AG202,_EngineTrades!$AV$9:$AV$508,0)))</f>
        <v/>
      </c>
      <c r="C202" s="66" t="str">
        <f>IF($A202="","",INDEX(_EngineTrades!$T$9:$T$508,MATCH($AG202,_EngineTrades!$AV$9:$AV$508,0)))</f>
        <v/>
      </c>
      <c r="D202" s="67" t="str">
        <f>IF($A202="","",INDEX(_EngineTrades!$C$9:$C$508,MATCH($AG202,_EngineTrades!$AV$9:$AV$508,0)))</f>
        <v/>
      </c>
      <c r="E202" s="68" t="str">
        <f>IF($A202="","",IF(IFERROR(LOOKUP(2,1/(_EngineTrades!$AU$9:$AU$508=$A202),_EngineTrades!$AR$9:$AR$508),FALSE),"Closed","Open"))</f>
        <v/>
      </c>
      <c r="F202" s="69" t="str">
        <f>IF($A202="","",INDEX(_EngineTrades!$E$9:$E$508,$AG202-8))</f>
        <v/>
      </c>
      <c r="G202" s="69" t="str">
        <f>IF(OR($A202="",$E202&lt;&gt;"Closed"),"",IFERROR(INDEX(_EngineTrades!$E$9:$E$508,SUMIFS(_EngineTrades!$AX$9:$AX$508,_EngineTrades!$AU$9:$AU$508,$A202)-8),""))</f>
        <v/>
      </c>
      <c r="H202" s="70" t="str">
        <f>IF($A202="","",ROUND(SUMIFS(_EngineTrades!$Y$9:$Y$508,_EngineTrades!$AU$9:$AU$508,$A202),4))</f>
        <v/>
      </c>
      <c r="I202" s="70" t="str">
        <f>IF($A202="","",ROUND(SUMIFS(_EngineTrades!$Z$9:$Z$508,_EngineTrades!$AU$9:$AU$508,$A202),4))</f>
        <v/>
      </c>
      <c r="J202" s="71" t="str">
        <f t="shared" si="48"/>
        <v/>
      </c>
      <c r="K202" s="70" t="str">
        <f>IF($A202="","",ROUND(SUMIFS(_EngineTrades!$AA$9:$AA$508,_EngineTrades!$AU$9:$AU$508,$A202),4))</f>
        <v/>
      </c>
      <c r="L202" s="70" t="str">
        <f>IF($A202="","",ROUND(SUMIFS(_EngineTrades!$AB$9:$AB$508,_EngineTrades!$AU$9:$AU$508,$A202),4))</f>
        <v/>
      </c>
      <c r="M202" s="70" t="str">
        <f>IF($A202="","",ROUND(SUMIFS(_EngineTrades!$AC$9:$AC$508,_EngineTrades!$AU$9:$AU$508,$A202),4))</f>
        <v/>
      </c>
      <c r="N202" s="70" t="str">
        <f>IF($A202="","",ROUND(SUMIFS(_EngineTrades!$AD$9:$AD$508,_EngineTrades!$AU$9:$AU$508,$A202),4))</f>
        <v/>
      </c>
      <c r="O202" s="71" t="str">
        <f t="shared" si="49"/>
        <v/>
      </c>
      <c r="P202" s="66">
        <f>IF(OR($A202="",$E202&lt;&gt;"Open"),0,IFERROR(LOOKUP(2,1/(_EngineTrades!$AU$9:$AU$508=$A202),_EngineTrades!$AM$9:$AM$508),0))</f>
        <v>0</v>
      </c>
      <c r="Q202" s="70" t="str">
        <f>IF(OR($A202="",$P202=0),"",ROUND(IFERROR(LOOKUP(2,1/(_EngineTrades!$AU$9:$AU$508=$A202),_EngineTrades!$AN$9:$AN$508),0)/$P202,4))</f>
        <v/>
      </c>
      <c r="R202" s="70">
        <f>IF(OR($A202="",$E202&lt;&gt;"Open"),0,IFERROR(LOOKUP(2,1/(_EngineTrades!$AU$9:$AU$508=$A202),_EngineTrades!$AO$9:$AO$508),0))</f>
        <v>0</v>
      </c>
      <c r="S202" s="70">
        <f>IF(OR($A202="",$E202&lt;&gt;"Open"),0,ROUND($R202+IFERROR(LOOKUP(2,1/(_EngineTrades!$AU$9:$AU$508=$A202),_EngineTrades!$AN$9:$AN$508),0),4))</f>
        <v>0</v>
      </c>
      <c r="T202" s="70" t="str">
        <f>IF($A202="","",ROUND(IFERROR(LOOKUP(2,1/(_EngineTrades!$AU$9:$AU$508=$A202),_EngineTrades!$AT$9:$AT$508),0),4))</f>
        <v/>
      </c>
      <c r="U202" s="70" t="str">
        <f t="shared" si="50"/>
        <v/>
      </c>
      <c r="V202" s="70" t="str">
        <f>IF(AND($A202&lt;&gt;"",$E202="Open",$P202+N(IFERROR(LOOKUP(2,1/(_EngineTrades!$AU$9:$AU$508=$A202),_EngineTrades!$AP$9:$AP$508),0))&gt;0),ROUND(($R202-$O202)/($P202+N(IFERROR(LOOKUP(2,1/(_EngineTrades!$AU$9:$AU$508=$A202),_EngineTrades!$AP$9:$AP$508),0))),4),"")</f>
        <v/>
      </c>
      <c r="W202" s="72" t="str">
        <f>IF($A202="","",MAX(1,IF($G202="",_EngineTrades!$E$3-$F202,$G202-$F202)))</f>
        <v/>
      </c>
      <c r="X202" s="73" t="str">
        <f t="shared" si="51"/>
        <v/>
      </c>
      <c r="Y202" s="73" t="str">
        <f t="shared" si="52"/>
        <v/>
      </c>
      <c r="Z202" s="44">
        <f>IF(Cycles!U202="",0,Cycles!U202)</f>
        <v>0</v>
      </c>
      <c r="AA202" s="44">
        <f>IF(Cycles!V202="",0,Cycles!V202)</f>
        <v>0</v>
      </c>
      <c r="AB202" s="44">
        <f>IF(Cycles!W202="",0,Cycles!W202)</f>
        <v>0</v>
      </c>
      <c r="AC202" s="44">
        <f>IF(Cycles!X202="",0,Cycles!X202)</f>
        <v>0</v>
      </c>
      <c r="AD202" s="70" t="str">
        <f t="shared" si="53"/>
        <v/>
      </c>
      <c r="AE202" s="70" t="str">
        <f t="shared" si="54"/>
        <v/>
      </c>
      <c r="AF202" s="70" t="str">
        <f t="shared" si="55"/>
        <v/>
      </c>
      <c r="AG202" t="str">
        <f>IFERROR(MATCH(ROWS($AG$9:AG202),_EngineTrades!$AW$9:$AW$508,0)+8,"")</f>
        <v/>
      </c>
    </row>
    <row r="203" spans="1:33" ht="15" x14ac:dyDescent="0.25">
      <c r="A203" s="61" t="str">
        <f>IF($AG203="","",IFERROR(INDEX(_EngineTrades!$AU$9:$AU$508,MATCH($AG203,_EngineTrades!$AV$9:$AV$508,0)),""))</f>
        <v/>
      </c>
      <c r="B203" s="61" t="str">
        <f>IF($A203="","",INDEX(_EngineTrades!$B$9:$B$508,MATCH($AG203,_EngineTrades!$AV$9:$AV$508,0)))</f>
        <v/>
      </c>
      <c r="C203" s="61" t="str">
        <f>IF($A203="","",INDEX(_EngineTrades!$T$9:$T$508,MATCH($AG203,_EngineTrades!$AV$9:$AV$508,0)))</f>
        <v/>
      </c>
      <c r="D203" s="47" t="str">
        <f>IF($A203="","",INDEX(_EngineTrades!$C$9:$C$508,MATCH($AG203,_EngineTrades!$AV$9:$AV$508,0)))</f>
        <v/>
      </c>
      <c r="E203" s="62" t="str">
        <f>IF($A203="","",IF(IFERROR(LOOKUP(2,1/(_EngineTrades!$AU$9:$AU$508=$A203),_EngineTrades!$AR$9:$AR$508),FALSE),"Closed","Open"))</f>
        <v/>
      </c>
      <c r="F203" s="63" t="str">
        <f>IF($A203="","",INDEX(_EngineTrades!$E$9:$E$508,$AG203-8))</f>
        <v/>
      </c>
      <c r="G203" s="63" t="str">
        <f>IF(OR($A203="",$E203&lt;&gt;"Closed"),"",IFERROR(INDEX(_EngineTrades!$E$9:$E$508,SUMIFS(_EngineTrades!$AX$9:$AX$508,_EngineTrades!$AU$9:$AU$508,$A203)-8),""))</f>
        <v/>
      </c>
      <c r="H203" s="49" t="str">
        <f>IF($A203="","",ROUND(SUMIFS(_EngineTrades!$Y$9:$Y$508,_EngineTrades!$AU$9:$AU$508,$A203),4))</f>
        <v/>
      </c>
      <c r="I203" s="49" t="str">
        <f>IF($A203="","",ROUND(SUMIFS(_EngineTrades!$Z$9:$Z$508,_EngineTrades!$AU$9:$AU$508,$A203),4))</f>
        <v/>
      </c>
      <c r="J203" s="45" t="str">
        <f t="shared" si="48"/>
        <v/>
      </c>
      <c r="K203" s="49" t="str">
        <f>IF($A203="","",ROUND(SUMIFS(_EngineTrades!$AA$9:$AA$508,_EngineTrades!$AU$9:$AU$508,$A203),4))</f>
        <v/>
      </c>
      <c r="L203" s="49" t="str">
        <f>IF($A203="","",ROUND(SUMIFS(_EngineTrades!$AB$9:$AB$508,_EngineTrades!$AU$9:$AU$508,$A203),4))</f>
        <v/>
      </c>
      <c r="M203" s="49" t="str">
        <f>IF($A203="","",ROUND(SUMIFS(_EngineTrades!$AC$9:$AC$508,_EngineTrades!$AU$9:$AU$508,$A203),4))</f>
        <v/>
      </c>
      <c r="N203" s="49" t="str">
        <f>IF($A203="","",ROUND(SUMIFS(_EngineTrades!$AD$9:$AD$508,_EngineTrades!$AU$9:$AU$508,$A203),4))</f>
        <v/>
      </c>
      <c r="O203" s="45" t="str">
        <f t="shared" si="49"/>
        <v/>
      </c>
      <c r="P203" s="61">
        <f>IF(OR($A203="",$E203&lt;&gt;"Open"),0,IFERROR(LOOKUP(2,1/(_EngineTrades!$AU$9:$AU$508=$A203),_EngineTrades!$AM$9:$AM$508),0))</f>
        <v>0</v>
      </c>
      <c r="Q203" s="49" t="str">
        <f>IF(OR($A203="",$P203=0),"",ROUND(IFERROR(LOOKUP(2,1/(_EngineTrades!$AU$9:$AU$508=$A203),_EngineTrades!$AN$9:$AN$508),0)/$P203,4))</f>
        <v/>
      </c>
      <c r="R203" s="49">
        <f>IF(OR($A203="",$E203&lt;&gt;"Open"),0,IFERROR(LOOKUP(2,1/(_EngineTrades!$AU$9:$AU$508=$A203),_EngineTrades!$AO$9:$AO$508),0))</f>
        <v>0</v>
      </c>
      <c r="S203" s="49">
        <f>IF(OR($A203="",$E203&lt;&gt;"Open"),0,ROUND($R203+IFERROR(LOOKUP(2,1/(_EngineTrades!$AU$9:$AU$508=$A203),_EngineTrades!$AN$9:$AN$508),0),4))</f>
        <v>0</v>
      </c>
      <c r="T203" s="49" t="str">
        <f>IF($A203="","",ROUND(IFERROR(LOOKUP(2,1/(_EngineTrades!$AU$9:$AU$508=$A203),_EngineTrades!$AT$9:$AT$508),0),4))</f>
        <v/>
      </c>
      <c r="U203" s="49" t="str">
        <f t="shared" si="50"/>
        <v/>
      </c>
      <c r="V203" s="49" t="str">
        <f>IF(AND($A203&lt;&gt;"",$E203="Open",$P203+N(IFERROR(LOOKUP(2,1/(_EngineTrades!$AU$9:$AU$508=$A203),_EngineTrades!$AP$9:$AP$508),0))&gt;0),ROUND(($R203-$O203)/($P203+N(IFERROR(LOOKUP(2,1/(_EngineTrades!$AU$9:$AU$508=$A203),_EngineTrades!$AP$9:$AP$508),0))),4),"")</f>
        <v/>
      </c>
      <c r="W203" s="64" t="str">
        <f>IF($A203="","",MAX(1,IF($G203="",_EngineTrades!$E$3-$F203,$G203-$F203)))</f>
        <v/>
      </c>
      <c r="X203" s="65" t="str">
        <f t="shared" si="51"/>
        <v/>
      </c>
      <c r="Y203" s="65" t="str">
        <f t="shared" si="52"/>
        <v/>
      </c>
      <c r="Z203" s="44">
        <f>IF(Cycles!U203="",0,Cycles!U203)</f>
        <v>0</v>
      </c>
      <c r="AA203" s="44">
        <f>IF(Cycles!V203="",0,Cycles!V203)</f>
        <v>0</v>
      </c>
      <c r="AB203" s="44">
        <f>IF(Cycles!W203="",0,Cycles!W203)</f>
        <v>0</v>
      </c>
      <c r="AC203" s="44">
        <f>IF(Cycles!X203="",0,Cycles!X203)</f>
        <v>0</v>
      </c>
      <c r="AD203" s="49" t="str">
        <f t="shared" si="53"/>
        <v/>
      </c>
      <c r="AE203" s="49" t="str">
        <f t="shared" si="54"/>
        <v/>
      </c>
      <c r="AF203" s="49" t="str">
        <f t="shared" si="55"/>
        <v/>
      </c>
      <c r="AG203" t="str">
        <f>IFERROR(MATCH(ROWS($AG$9:AG203),_EngineTrades!$AW$9:$AW$508,0)+8,"")</f>
        <v/>
      </c>
    </row>
    <row r="204" spans="1:33" ht="15" x14ac:dyDescent="0.25">
      <c r="A204" s="66" t="str">
        <f>IF($AG204="","",IFERROR(INDEX(_EngineTrades!$AU$9:$AU$508,MATCH($AG204,_EngineTrades!$AV$9:$AV$508,0)),""))</f>
        <v/>
      </c>
      <c r="B204" s="66" t="str">
        <f>IF($A204="","",INDEX(_EngineTrades!$B$9:$B$508,MATCH($AG204,_EngineTrades!$AV$9:$AV$508,0)))</f>
        <v/>
      </c>
      <c r="C204" s="66" t="str">
        <f>IF($A204="","",INDEX(_EngineTrades!$T$9:$T$508,MATCH($AG204,_EngineTrades!$AV$9:$AV$508,0)))</f>
        <v/>
      </c>
      <c r="D204" s="67" t="str">
        <f>IF($A204="","",INDEX(_EngineTrades!$C$9:$C$508,MATCH($AG204,_EngineTrades!$AV$9:$AV$508,0)))</f>
        <v/>
      </c>
      <c r="E204" s="68" t="str">
        <f>IF($A204="","",IF(IFERROR(LOOKUP(2,1/(_EngineTrades!$AU$9:$AU$508=$A204),_EngineTrades!$AR$9:$AR$508),FALSE),"Closed","Open"))</f>
        <v/>
      </c>
      <c r="F204" s="69" t="str">
        <f>IF($A204="","",INDEX(_EngineTrades!$E$9:$E$508,$AG204-8))</f>
        <v/>
      </c>
      <c r="G204" s="69" t="str">
        <f>IF(OR($A204="",$E204&lt;&gt;"Closed"),"",IFERROR(INDEX(_EngineTrades!$E$9:$E$508,SUMIFS(_EngineTrades!$AX$9:$AX$508,_EngineTrades!$AU$9:$AU$508,$A204)-8),""))</f>
        <v/>
      </c>
      <c r="H204" s="70" t="str">
        <f>IF($A204="","",ROUND(SUMIFS(_EngineTrades!$Y$9:$Y$508,_EngineTrades!$AU$9:$AU$508,$A204),4))</f>
        <v/>
      </c>
      <c r="I204" s="70" t="str">
        <f>IF($A204="","",ROUND(SUMIFS(_EngineTrades!$Z$9:$Z$508,_EngineTrades!$AU$9:$AU$508,$A204),4))</f>
        <v/>
      </c>
      <c r="J204" s="71" t="str">
        <f t="shared" si="48"/>
        <v/>
      </c>
      <c r="K204" s="70" t="str">
        <f>IF($A204="","",ROUND(SUMIFS(_EngineTrades!$AA$9:$AA$508,_EngineTrades!$AU$9:$AU$508,$A204),4))</f>
        <v/>
      </c>
      <c r="L204" s="70" t="str">
        <f>IF($A204="","",ROUND(SUMIFS(_EngineTrades!$AB$9:$AB$508,_EngineTrades!$AU$9:$AU$508,$A204),4))</f>
        <v/>
      </c>
      <c r="M204" s="70" t="str">
        <f>IF($A204="","",ROUND(SUMIFS(_EngineTrades!$AC$9:$AC$508,_EngineTrades!$AU$9:$AU$508,$A204),4))</f>
        <v/>
      </c>
      <c r="N204" s="70" t="str">
        <f>IF($A204="","",ROUND(SUMIFS(_EngineTrades!$AD$9:$AD$508,_EngineTrades!$AU$9:$AU$508,$A204),4))</f>
        <v/>
      </c>
      <c r="O204" s="71" t="str">
        <f t="shared" si="49"/>
        <v/>
      </c>
      <c r="P204" s="66">
        <f>IF(OR($A204="",$E204&lt;&gt;"Open"),0,IFERROR(LOOKUP(2,1/(_EngineTrades!$AU$9:$AU$508=$A204),_EngineTrades!$AM$9:$AM$508),0))</f>
        <v>0</v>
      </c>
      <c r="Q204" s="70" t="str">
        <f>IF(OR($A204="",$P204=0),"",ROUND(IFERROR(LOOKUP(2,1/(_EngineTrades!$AU$9:$AU$508=$A204),_EngineTrades!$AN$9:$AN$508),0)/$P204,4))</f>
        <v/>
      </c>
      <c r="R204" s="70">
        <f>IF(OR($A204="",$E204&lt;&gt;"Open"),0,IFERROR(LOOKUP(2,1/(_EngineTrades!$AU$9:$AU$508=$A204),_EngineTrades!$AO$9:$AO$508),0))</f>
        <v>0</v>
      </c>
      <c r="S204" s="70">
        <f>IF(OR($A204="",$E204&lt;&gt;"Open"),0,ROUND($R204+IFERROR(LOOKUP(2,1/(_EngineTrades!$AU$9:$AU$508=$A204),_EngineTrades!$AN$9:$AN$508),0),4))</f>
        <v>0</v>
      </c>
      <c r="T204" s="70" t="str">
        <f>IF($A204="","",ROUND(IFERROR(LOOKUP(2,1/(_EngineTrades!$AU$9:$AU$508=$A204),_EngineTrades!$AT$9:$AT$508),0),4))</f>
        <v/>
      </c>
      <c r="U204" s="70" t="str">
        <f t="shared" si="50"/>
        <v/>
      </c>
      <c r="V204" s="70" t="str">
        <f>IF(AND($A204&lt;&gt;"",$E204="Open",$P204+N(IFERROR(LOOKUP(2,1/(_EngineTrades!$AU$9:$AU$508=$A204),_EngineTrades!$AP$9:$AP$508),0))&gt;0),ROUND(($R204-$O204)/($P204+N(IFERROR(LOOKUP(2,1/(_EngineTrades!$AU$9:$AU$508=$A204),_EngineTrades!$AP$9:$AP$508),0))),4),"")</f>
        <v/>
      </c>
      <c r="W204" s="72" t="str">
        <f>IF($A204="","",MAX(1,IF($G204="",_EngineTrades!$E$3-$F204,$G204-$F204)))</f>
        <v/>
      </c>
      <c r="X204" s="73" t="str">
        <f t="shared" si="51"/>
        <v/>
      </c>
      <c r="Y204" s="73" t="str">
        <f t="shared" si="52"/>
        <v/>
      </c>
      <c r="Z204" s="44">
        <f>IF(Cycles!U204="",0,Cycles!U204)</f>
        <v>0</v>
      </c>
      <c r="AA204" s="44">
        <f>IF(Cycles!V204="",0,Cycles!V204)</f>
        <v>0</v>
      </c>
      <c r="AB204" s="44">
        <f>IF(Cycles!W204="",0,Cycles!W204)</f>
        <v>0</v>
      </c>
      <c r="AC204" s="44">
        <f>IF(Cycles!X204="",0,Cycles!X204)</f>
        <v>0</v>
      </c>
      <c r="AD204" s="70" t="str">
        <f t="shared" si="53"/>
        <v/>
      </c>
      <c r="AE204" s="70" t="str">
        <f t="shared" si="54"/>
        <v/>
      </c>
      <c r="AF204" s="70" t="str">
        <f t="shared" si="55"/>
        <v/>
      </c>
      <c r="AG204" t="str">
        <f>IFERROR(MATCH(ROWS($AG$9:AG204),_EngineTrades!$AW$9:$AW$508,0)+8,"")</f>
        <v/>
      </c>
    </row>
    <row r="205" spans="1:33" ht="15" x14ac:dyDescent="0.25">
      <c r="A205" s="61" t="str">
        <f>IF($AG205="","",IFERROR(INDEX(_EngineTrades!$AU$9:$AU$508,MATCH($AG205,_EngineTrades!$AV$9:$AV$508,0)),""))</f>
        <v/>
      </c>
      <c r="B205" s="61" t="str">
        <f>IF($A205="","",INDEX(_EngineTrades!$B$9:$B$508,MATCH($AG205,_EngineTrades!$AV$9:$AV$508,0)))</f>
        <v/>
      </c>
      <c r="C205" s="61" t="str">
        <f>IF($A205="","",INDEX(_EngineTrades!$T$9:$T$508,MATCH($AG205,_EngineTrades!$AV$9:$AV$508,0)))</f>
        <v/>
      </c>
      <c r="D205" s="47" t="str">
        <f>IF($A205="","",INDEX(_EngineTrades!$C$9:$C$508,MATCH($AG205,_EngineTrades!$AV$9:$AV$508,0)))</f>
        <v/>
      </c>
      <c r="E205" s="62" t="str">
        <f>IF($A205="","",IF(IFERROR(LOOKUP(2,1/(_EngineTrades!$AU$9:$AU$508=$A205),_EngineTrades!$AR$9:$AR$508),FALSE),"Closed","Open"))</f>
        <v/>
      </c>
      <c r="F205" s="63" t="str">
        <f>IF($A205="","",INDEX(_EngineTrades!$E$9:$E$508,$AG205-8))</f>
        <v/>
      </c>
      <c r="G205" s="63" t="str">
        <f>IF(OR($A205="",$E205&lt;&gt;"Closed"),"",IFERROR(INDEX(_EngineTrades!$E$9:$E$508,SUMIFS(_EngineTrades!$AX$9:$AX$508,_EngineTrades!$AU$9:$AU$508,$A205)-8),""))</f>
        <v/>
      </c>
      <c r="H205" s="49" t="str">
        <f>IF($A205="","",ROUND(SUMIFS(_EngineTrades!$Y$9:$Y$508,_EngineTrades!$AU$9:$AU$508,$A205),4))</f>
        <v/>
      </c>
      <c r="I205" s="49" t="str">
        <f>IF($A205="","",ROUND(SUMIFS(_EngineTrades!$Z$9:$Z$508,_EngineTrades!$AU$9:$AU$508,$A205),4))</f>
        <v/>
      </c>
      <c r="J205" s="45" t="str">
        <f t="shared" si="48"/>
        <v/>
      </c>
      <c r="K205" s="49" t="str">
        <f>IF($A205="","",ROUND(SUMIFS(_EngineTrades!$AA$9:$AA$508,_EngineTrades!$AU$9:$AU$508,$A205),4))</f>
        <v/>
      </c>
      <c r="L205" s="49" t="str">
        <f>IF($A205="","",ROUND(SUMIFS(_EngineTrades!$AB$9:$AB$508,_EngineTrades!$AU$9:$AU$508,$A205),4))</f>
        <v/>
      </c>
      <c r="M205" s="49" t="str">
        <f>IF($A205="","",ROUND(SUMIFS(_EngineTrades!$AC$9:$AC$508,_EngineTrades!$AU$9:$AU$508,$A205),4))</f>
        <v/>
      </c>
      <c r="N205" s="49" t="str">
        <f>IF($A205="","",ROUND(SUMIFS(_EngineTrades!$AD$9:$AD$508,_EngineTrades!$AU$9:$AU$508,$A205),4))</f>
        <v/>
      </c>
      <c r="O205" s="45" t="str">
        <f t="shared" si="49"/>
        <v/>
      </c>
      <c r="P205" s="61">
        <f>IF(OR($A205="",$E205&lt;&gt;"Open"),0,IFERROR(LOOKUP(2,1/(_EngineTrades!$AU$9:$AU$508=$A205),_EngineTrades!$AM$9:$AM$508),0))</f>
        <v>0</v>
      </c>
      <c r="Q205" s="49" t="str">
        <f>IF(OR($A205="",$P205=0),"",ROUND(IFERROR(LOOKUP(2,1/(_EngineTrades!$AU$9:$AU$508=$A205),_EngineTrades!$AN$9:$AN$508),0)/$P205,4))</f>
        <v/>
      </c>
      <c r="R205" s="49">
        <f>IF(OR($A205="",$E205&lt;&gt;"Open"),0,IFERROR(LOOKUP(2,1/(_EngineTrades!$AU$9:$AU$508=$A205),_EngineTrades!$AO$9:$AO$508),0))</f>
        <v>0</v>
      </c>
      <c r="S205" s="49">
        <f>IF(OR($A205="",$E205&lt;&gt;"Open"),0,ROUND($R205+IFERROR(LOOKUP(2,1/(_EngineTrades!$AU$9:$AU$508=$A205),_EngineTrades!$AN$9:$AN$508),0),4))</f>
        <v>0</v>
      </c>
      <c r="T205" s="49" t="str">
        <f>IF($A205="","",ROUND(IFERROR(LOOKUP(2,1/(_EngineTrades!$AU$9:$AU$508=$A205),_EngineTrades!$AT$9:$AT$508),0),4))</f>
        <v/>
      </c>
      <c r="U205" s="49" t="str">
        <f t="shared" si="50"/>
        <v/>
      </c>
      <c r="V205" s="49" t="str">
        <f>IF(AND($A205&lt;&gt;"",$E205="Open",$P205+N(IFERROR(LOOKUP(2,1/(_EngineTrades!$AU$9:$AU$508=$A205),_EngineTrades!$AP$9:$AP$508),0))&gt;0),ROUND(($R205-$O205)/($P205+N(IFERROR(LOOKUP(2,1/(_EngineTrades!$AU$9:$AU$508=$A205),_EngineTrades!$AP$9:$AP$508),0))),4),"")</f>
        <v/>
      </c>
      <c r="W205" s="64" t="str">
        <f>IF($A205="","",MAX(1,IF($G205="",_EngineTrades!$E$3-$F205,$G205-$F205)))</f>
        <v/>
      </c>
      <c r="X205" s="65" t="str">
        <f t="shared" si="51"/>
        <v/>
      </c>
      <c r="Y205" s="65" t="str">
        <f t="shared" si="52"/>
        <v/>
      </c>
      <c r="Z205" s="44">
        <f>IF(Cycles!U205="",0,Cycles!U205)</f>
        <v>0</v>
      </c>
      <c r="AA205" s="44">
        <f>IF(Cycles!V205="",0,Cycles!V205)</f>
        <v>0</v>
      </c>
      <c r="AB205" s="44">
        <f>IF(Cycles!W205="",0,Cycles!W205)</f>
        <v>0</v>
      </c>
      <c r="AC205" s="44">
        <f>IF(Cycles!X205="",0,Cycles!X205)</f>
        <v>0</v>
      </c>
      <c r="AD205" s="49" t="str">
        <f t="shared" si="53"/>
        <v/>
      </c>
      <c r="AE205" s="49" t="str">
        <f t="shared" si="54"/>
        <v/>
      </c>
      <c r="AF205" s="49" t="str">
        <f t="shared" si="55"/>
        <v/>
      </c>
      <c r="AG205" t="str">
        <f>IFERROR(MATCH(ROWS($AG$9:AG205),_EngineTrades!$AW$9:$AW$508,0)+8,"")</f>
        <v/>
      </c>
    </row>
    <row r="206" spans="1:33" ht="15" x14ac:dyDescent="0.25">
      <c r="A206" s="66" t="str">
        <f>IF($AG206="","",IFERROR(INDEX(_EngineTrades!$AU$9:$AU$508,MATCH($AG206,_EngineTrades!$AV$9:$AV$508,0)),""))</f>
        <v/>
      </c>
      <c r="B206" s="66" t="str">
        <f>IF($A206="","",INDEX(_EngineTrades!$B$9:$B$508,MATCH($AG206,_EngineTrades!$AV$9:$AV$508,0)))</f>
        <v/>
      </c>
      <c r="C206" s="66" t="str">
        <f>IF($A206="","",INDEX(_EngineTrades!$T$9:$T$508,MATCH($AG206,_EngineTrades!$AV$9:$AV$508,0)))</f>
        <v/>
      </c>
      <c r="D206" s="67" t="str">
        <f>IF($A206="","",INDEX(_EngineTrades!$C$9:$C$508,MATCH($AG206,_EngineTrades!$AV$9:$AV$508,0)))</f>
        <v/>
      </c>
      <c r="E206" s="68" t="str">
        <f>IF($A206="","",IF(IFERROR(LOOKUP(2,1/(_EngineTrades!$AU$9:$AU$508=$A206),_EngineTrades!$AR$9:$AR$508),FALSE),"Closed","Open"))</f>
        <v/>
      </c>
      <c r="F206" s="69" t="str">
        <f>IF($A206="","",INDEX(_EngineTrades!$E$9:$E$508,$AG206-8))</f>
        <v/>
      </c>
      <c r="G206" s="69" t="str">
        <f>IF(OR($A206="",$E206&lt;&gt;"Closed"),"",IFERROR(INDEX(_EngineTrades!$E$9:$E$508,SUMIFS(_EngineTrades!$AX$9:$AX$508,_EngineTrades!$AU$9:$AU$508,$A206)-8),""))</f>
        <v/>
      </c>
      <c r="H206" s="70" t="str">
        <f>IF($A206="","",ROUND(SUMIFS(_EngineTrades!$Y$9:$Y$508,_EngineTrades!$AU$9:$AU$508,$A206),4))</f>
        <v/>
      </c>
      <c r="I206" s="70" t="str">
        <f>IF($A206="","",ROUND(SUMIFS(_EngineTrades!$Z$9:$Z$508,_EngineTrades!$AU$9:$AU$508,$A206),4))</f>
        <v/>
      </c>
      <c r="J206" s="71" t="str">
        <f t="shared" si="48"/>
        <v/>
      </c>
      <c r="K206" s="70" t="str">
        <f>IF($A206="","",ROUND(SUMIFS(_EngineTrades!$AA$9:$AA$508,_EngineTrades!$AU$9:$AU$508,$A206),4))</f>
        <v/>
      </c>
      <c r="L206" s="70" t="str">
        <f>IF($A206="","",ROUND(SUMIFS(_EngineTrades!$AB$9:$AB$508,_EngineTrades!$AU$9:$AU$508,$A206),4))</f>
        <v/>
      </c>
      <c r="M206" s="70" t="str">
        <f>IF($A206="","",ROUND(SUMIFS(_EngineTrades!$AC$9:$AC$508,_EngineTrades!$AU$9:$AU$508,$A206),4))</f>
        <v/>
      </c>
      <c r="N206" s="70" t="str">
        <f>IF($A206="","",ROUND(SUMIFS(_EngineTrades!$AD$9:$AD$508,_EngineTrades!$AU$9:$AU$508,$A206),4))</f>
        <v/>
      </c>
      <c r="O206" s="71" t="str">
        <f t="shared" si="49"/>
        <v/>
      </c>
      <c r="P206" s="66">
        <f>IF(OR($A206="",$E206&lt;&gt;"Open"),0,IFERROR(LOOKUP(2,1/(_EngineTrades!$AU$9:$AU$508=$A206),_EngineTrades!$AM$9:$AM$508),0))</f>
        <v>0</v>
      </c>
      <c r="Q206" s="70" t="str">
        <f>IF(OR($A206="",$P206=0),"",ROUND(IFERROR(LOOKUP(2,1/(_EngineTrades!$AU$9:$AU$508=$A206),_EngineTrades!$AN$9:$AN$508),0)/$P206,4))</f>
        <v/>
      </c>
      <c r="R206" s="70">
        <f>IF(OR($A206="",$E206&lt;&gt;"Open"),0,IFERROR(LOOKUP(2,1/(_EngineTrades!$AU$9:$AU$508=$A206),_EngineTrades!$AO$9:$AO$508),0))</f>
        <v>0</v>
      </c>
      <c r="S206" s="70">
        <f>IF(OR($A206="",$E206&lt;&gt;"Open"),0,ROUND($R206+IFERROR(LOOKUP(2,1/(_EngineTrades!$AU$9:$AU$508=$A206),_EngineTrades!$AN$9:$AN$508),0),4))</f>
        <v>0</v>
      </c>
      <c r="T206" s="70" t="str">
        <f>IF($A206="","",ROUND(IFERROR(LOOKUP(2,1/(_EngineTrades!$AU$9:$AU$508=$A206),_EngineTrades!$AT$9:$AT$508),0),4))</f>
        <v/>
      </c>
      <c r="U206" s="70" t="str">
        <f t="shared" si="50"/>
        <v/>
      </c>
      <c r="V206" s="70" t="str">
        <f>IF(AND($A206&lt;&gt;"",$E206="Open",$P206+N(IFERROR(LOOKUP(2,1/(_EngineTrades!$AU$9:$AU$508=$A206),_EngineTrades!$AP$9:$AP$508),0))&gt;0),ROUND(($R206-$O206)/($P206+N(IFERROR(LOOKUP(2,1/(_EngineTrades!$AU$9:$AU$508=$A206),_EngineTrades!$AP$9:$AP$508),0))),4),"")</f>
        <v/>
      </c>
      <c r="W206" s="72" t="str">
        <f>IF($A206="","",MAX(1,IF($G206="",_EngineTrades!$E$3-$F206,$G206-$F206)))</f>
        <v/>
      </c>
      <c r="X206" s="73" t="str">
        <f t="shared" si="51"/>
        <v/>
      </c>
      <c r="Y206" s="73" t="str">
        <f t="shared" si="52"/>
        <v/>
      </c>
      <c r="Z206" s="44">
        <f>IF(Cycles!U206="",0,Cycles!U206)</f>
        <v>0</v>
      </c>
      <c r="AA206" s="44">
        <f>IF(Cycles!V206="",0,Cycles!V206)</f>
        <v>0</v>
      </c>
      <c r="AB206" s="44">
        <f>IF(Cycles!W206="",0,Cycles!W206)</f>
        <v>0</v>
      </c>
      <c r="AC206" s="44">
        <f>IF(Cycles!X206="",0,Cycles!X206)</f>
        <v>0</v>
      </c>
      <c r="AD206" s="70" t="str">
        <f t="shared" si="53"/>
        <v/>
      </c>
      <c r="AE206" s="70" t="str">
        <f t="shared" si="54"/>
        <v/>
      </c>
      <c r="AF206" s="70" t="str">
        <f t="shared" si="55"/>
        <v/>
      </c>
      <c r="AG206" t="str">
        <f>IFERROR(MATCH(ROWS($AG$9:AG206),_EngineTrades!$AW$9:$AW$508,0)+8,"")</f>
        <v/>
      </c>
    </row>
    <row r="207" spans="1:33" ht="15" x14ac:dyDescent="0.25">
      <c r="A207" s="61" t="str">
        <f>IF($AG207="","",IFERROR(INDEX(_EngineTrades!$AU$9:$AU$508,MATCH($AG207,_EngineTrades!$AV$9:$AV$508,0)),""))</f>
        <v/>
      </c>
      <c r="B207" s="61" t="str">
        <f>IF($A207="","",INDEX(_EngineTrades!$B$9:$B$508,MATCH($AG207,_EngineTrades!$AV$9:$AV$508,0)))</f>
        <v/>
      </c>
      <c r="C207" s="61" t="str">
        <f>IF($A207="","",INDEX(_EngineTrades!$T$9:$T$508,MATCH($AG207,_EngineTrades!$AV$9:$AV$508,0)))</f>
        <v/>
      </c>
      <c r="D207" s="47" t="str">
        <f>IF($A207="","",INDEX(_EngineTrades!$C$9:$C$508,MATCH($AG207,_EngineTrades!$AV$9:$AV$508,0)))</f>
        <v/>
      </c>
      <c r="E207" s="62" t="str">
        <f>IF($A207="","",IF(IFERROR(LOOKUP(2,1/(_EngineTrades!$AU$9:$AU$508=$A207),_EngineTrades!$AR$9:$AR$508),FALSE),"Closed","Open"))</f>
        <v/>
      </c>
      <c r="F207" s="63" t="str">
        <f>IF($A207="","",INDEX(_EngineTrades!$E$9:$E$508,$AG207-8))</f>
        <v/>
      </c>
      <c r="G207" s="63" t="str">
        <f>IF(OR($A207="",$E207&lt;&gt;"Closed"),"",IFERROR(INDEX(_EngineTrades!$E$9:$E$508,SUMIFS(_EngineTrades!$AX$9:$AX$508,_EngineTrades!$AU$9:$AU$508,$A207)-8),""))</f>
        <v/>
      </c>
      <c r="H207" s="49" t="str">
        <f>IF($A207="","",ROUND(SUMIFS(_EngineTrades!$Y$9:$Y$508,_EngineTrades!$AU$9:$AU$508,$A207),4))</f>
        <v/>
      </c>
      <c r="I207" s="49" t="str">
        <f>IF($A207="","",ROUND(SUMIFS(_EngineTrades!$Z$9:$Z$508,_EngineTrades!$AU$9:$AU$508,$A207),4))</f>
        <v/>
      </c>
      <c r="J207" s="45" t="str">
        <f t="shared" si="48"/>
        <v/>
      </c>
      <c r="K207" s="49" t="str">
        <f>IF($A207="","",ROUND(SUMIFS(_EngineTrades!$AA$9:$AA$508,_EngineTrades!$AU$9:$AU$508,$A207),4))</f>
        <v/>
      </c>
      <c r="L207" s="49" t="str">
        <f>IF($A207="","",ROUND(SUMIFS(_EngineTrades!$AB$9:$AB$508,_EngineTrades!$AU$9:$AU$508,$A207),4))</f>
        <v/>
      </c>
      <c r="M207" s="49" t="str">
        <f>IF($A207="","",ROUND(SUMIFS(_EngineTrades!$AC$9:$AC$508,_EngineTrades!$AU$9:$AU$508,$A207),4))</f>
        <v/>
      </c>
      <c r="N207" s="49" t="str">
        <f>IF($A207="","",ROUND(SUMIFS(_EngineTrades!$AD$9:$AD$508,_EngineTrades!$AU$9:$AU$508,$A207),4))</f>
        <v/>
      </c>
      <c r="O207" s="45" t="str">
        <f t="shared" si="49"/>
        <v/>
      </c>
      <c r="P207" s="61">
        <f>IF(OR($A207="",$E207&lt;&gt;"Open"),0,IFERROR(LOOKUP(2,1/(_EngineTrades!$AU$9:$AU$508=$A207),_EngineTrades!$AM$9:$AM$508),0))</f>
        <v>0</v>
      </c>
      <c r="Q207" s="49" t="str">
        <f>IF(OR($A207="",$P207=0),"",ROUND(IFERROR(LOOKUP(2,1/(_EngineTrades!$AU$9:$AU$508=$A207),_EngineTrades!$AN$9:$AN$508),0)/$P207,4))</f>
        <v/>
      </c>
      <c r="R207" s="49">
        <f>IF(OR($A207="",$E207&lt;&gt;"Open"),0,IFERROR(LOOKUP(2,1/(_EngineTrades!$AU$9:$AU$508=$A207),_EngineTrades!$AO$9:$AO$508),0))</f>
        <v>0</v>
      </c>
      <c r="S207" s="49">
        <f>IF(OR($A207="",$E207&lt;&gt;"Open"),0,ROUND($R207+IFERROR(LOOKUP(2,1/(_EngineTrades!$AU$9:$AU$508=$A207),_EngineTrades!$AN$9:$AN$508),0),4))</f>
        <v>0</v>
      </c>
      <c r="T207" s="49" t="str">
        <f>IF($A207="","",ROUND(IFERROR(LOOKUP(2,1/(_EngineTrades!$AU$9:$AU$508=$A207),_EngineTrades!$AT$9:$AT$508),0),4))</f>
        <v/>
      </c>
      <c r="U207" s="49" t="str">
        <f t="shared" si="50"/>
        <v/>
      </c>
      <c r="V207" s="49" t="str">
        <f>IF(AND($A207&lt;&gt;"",$E207="Open",$P207+N(IFERROR(LOOKUP(2,1/(_EngineTrades!$AU$9:$AU$508=$A207),_EngineTrades!$AP$9:$AP$508),0))&gt;0),ROUND(($R207-$O207)/($P207+N(IFERROR(LOOKUP(2,1/(_EngineTrades!$AU$9:$AU$508=$A207),_EngineTrades!$AP$9:$AP$508),0))),4),"")</f>
        <v/>
      </c>
      <c r="W207" s="64" t="str">
        <f>IF($A207="","",MAX(1,IF($G207="",_EngineTrades!$E$3-$F207,$G207-$F207)))</f>
        <v/>
      </c>
      <c r="X207" s="65" t="str">
        <f t="shared" si="51"/>
        <v/>
      </c>
      <c r="Y207" s="65" t="str">
        <f t="shared" si="52"/>
        <v/>
      </c>
      <c r="Z207" s="44">
        <f>IF(Cycles!U207="",0,Cycles!U207)</f>
        <v>0</v>
      </c>
      <c r="AA207" s="44">
        <f>IF(Cycles!V207="",0,Cycles!V207)</f>
        <v>0</v>
      </c>
      <c r="AB207" s="44">
        <f>IF(Cycles!W207="",0,Cycles!W207)</f>
        <v>0</v>
      </c>
      <c r="AC207" s="44">
        <f>IF(Cycles!X207="",0,Cycles!X207)</f>
        <v>0</v>
      </c>
      <c r="AD207" s="49" t="str">
        <f t="shared" si="53"/>
        <v/>
      </c>
      <c r="AE207" s="49" t="str">
        <f t="shared" si="54"/>
        <v/>
      </c>
      <c r="AF207" s="49" t="str">
        <f t="shared" si="55"/>
        <v/>
      </c>
      <c r="AG207" t="str">
        <f>IFERROR(MATCH(ROWS($AG$9:AG207),_EngineTrades!$AW$9:$AW$508,0)+8,"")</f>
        <v/>
      </c>
    </row>
    <row r="208" spans="1:33" ht="15" x14ac:dyDescent="0.25">
      <c r="A208" s="66" t="str">
        <f>IF($AG208="","",IFERROR(INDEX(_EngineTrades!$AU$9:$AU$508,MATCH($AG208,_EngineTrades!$AV$9:$AV$508,0)),""))</f>
        <v/>
      </c>
      <c r="B208" s="66" t="str">
        <f>IF($A208="","",INDEX(_EngineTrades!$B$9:$B$508,MATCH($AG208,_EngineTrades!$AV$9:$AV$508,0)))</f>
        <v/>
      </c>
      <c r="C208" s="66" t="str">
        <f>IF($A208="","",INDEX(_EngineTrades!$T$9:$T$508,MATCH($AG208,_EngineTrades!$AV$9:$AV$508,0)))</f>
        <v/>
      </c>
      <c r="D208" s="67" t="str">
        <f>IF($A208="","",INDEX(_EngineTrades!$C$9:$C$508,MATCH($AG208,_EngineTrades!$AV$9:$AV$508,0)))</f>
        <v/>
      </c>
      <c r="E208" s="68" t="str">
        <f>IF($A208="","",IF(IFERROR(LOOKUP(2,1/(_EngineTrades!$AU$9:$AU$508=$A208),_EngineTrades!$AR$9:$AR$508),FALSE),"Closed","Open"))</f>
        <v/>
      </c>
      <c r="F208" s="69" t="str">
        <f>IF($A208="","",INDEX(_EngineTrades!$E$9:$E$508,$AG208-8))</f>
        <v/>
      </c>
      <c r="G208" s="69" t="str">
        <f>IF(OR($A208="",$E208&lt;&gt;"Closed"),"",IFERROR(INDEX(_EngineTrades!$E$9:$E$508,SUMIFS(_EngineTrades!$AX$9:$AX$508,_EngineTrades!$AU$9:$AU$508,$A208)-8),""))</f>
        <v/>
      </c>
      <c r="H208" s="70" t="str">
        <f>IF($A208="","",ROUND(SUMIFS(_EngineTrades!$Y$9:$Y$508,_EngineTrades!$AU$9:$AU$508,$A208),4))</f>
        <v/>
      </c>
      <c r="I208" s="70" t="str">
        <f>IF($A208="","",ROUND(SUMIFS(_EngineTrades!$Z$9:$Z$508,_EngineTrades!$AU$9:$AU$508,$A208),4))</f>
        <v/>
      </c>
      <c r="J208" s="71" t="str">
        <f t="shared" si="48"/>
        <v/>
      </c>
      <c r="K208" s="70" t="str">
        <f>IF($A208="","",ROUND(SUMIFS(_EngineTrades!$AA$9:$AA$508,_EngineTrades!$AU$9:$AU$508,$A208),4))</f>
        <v/>
      </c>
      <c r="L208" s="70" t="str">
        <f>IF($A208="","",ROUND(SUMIFS(_EngineTrades!$AB$9:$AB$508,_EngineTrades!$AU$9:$AU$508,$A208),4))</f>
        <v/>
      </c>
      <c r="M208" s="70" t="str">
        <f>IF($A208="","",ROUND(SUMIFS(_EngineTrades!$AC$9:$AC$508,_EngineTrades!$AU$9:$AU$508,$A208),4))</f>
        <v/>
      </c>
      <c r="N208" s="70" t="str">
        <f>IF($A208="","",ROUND(SUMIFS(_EngineTrades!$AD$9:$AD$508,_EngineTrades!$AU$9:$AU$508,$A208),4))</f>
        <v/>
      </c>
      <c r="O208" s="71" t="str">
        <f t="shared" si="49"/>
        <v/>
      </c>
      <c r="P208" s="66">
        <f>IF(OR($A208="",$E208&lt;&gt;"Open"),0,IFERROR(LOOKUP(2,1/(_EngineTrades!$AU$9:$AU$508=$A208),_EngineTrades!$AM$9:$AM$508),0))</f>
        <v>0</v>
      </c>
      <c r="Q208" s="70" t="str">
        <f>IF(OR($A208="",$P208=0),"",ROUND(IFERROR(LOOKUP(2,1/(_EngineTrades!$AU$9:$AU$508=$A208),_EngineTrades!$AN$9:$AN$508),0)/$P208,4))</f>
        <v/>
      </c>
      <c r="R208" s="70">
        <f>IF(OR($A208="",$E208&lt;&gt;"Open"),0,IFERROR(LOOKUP(2,1/(_EngineTrades!$AU$9:$AU$508=$A208),_EngineTrades!$AO$9:$AO$508),0))</f>
        <v>0</v>
      </c>
      <c r="S208" s="70">
        <f>IF(OR($A208="",$E208&lt;&gt;"Open"),0,ROUND($R208+IFERROR(LOOKUP(2,1/(_EngineTrades!$AU$9:$AU$508=$A208),_EngineTrades!$AN$9:$AN$508),0),4))</f>
        <v>0</v>
      </c>
      <c r="T208" s="70" t="str">
        <f>IF($A208="","",ROUND(IFERROR(LOOKUP(2,1/(_EngineTrades!$AU$9:$AU$508=$A208),_EngineTrades!$AT$9:$AT$508),0),4))</f>
        <v/>
      </c>
      <c r="U208" s="70" t="str">
        <f t="shared" si="50"/>
        <v/>
      </c>
      <c r="V208" s="70" t="str">
        <f>IF(AND($A208&lt;&gt;"",$E208="Open",$P208+N(IFERROR(LOOKUP(2,1/(_EngineTrades!$AU$9:$AU$508=$A208),_EngineTrades!$AP$9:$AP$508),0))&gt;0),ROUND(($R208-$O208)/($P208+N(IFERROR(LOOKUP(2,1/(_EngineTrades!$AU$9:$AU$508=$A208),_EngineTrades!$AP$9:$AP$508),0))),4),"")</f>
        <v/>
      </c>
      <c r="W208" s="72" t="str">
        <f>IF($A208="","",MAX(1,IF($G208="",_EngineTrades!$E$3-$F208,$G208-$F208)))</f>
        <v/>
      </c>
      <c r="X208" s="73" t="str">
        <f t="shared" si="51"/>
        <v/>
      </c>
      <c r="Y208" s="73" t="str">
        <f t="shared" si="52"/>
        <v/>
      </c>
      <c r="Z208" s="44">
        <f>IF(Cycles!U208="",0,Cycles!U208)</f>
        <v>0</v>
      </c>
      <c r="AA208" s="44">
        <f>IF(Cycles!V208="",0,Cycles!V208)</f>
        <v>0</v>
      </c>
      <c r="AB208" s="44">
        <f>IF(Cycles!W208="",0,Cycles!W208)</f>
        <v>0</v>
      </c>
      <c r="AC208" s="44">
        <f>IF(Cycles!X208="",0,Cycles!X208)</f>
        <v>0</v>
      </c>
      <c r="AD208" s="70" t="str">
        <f t="shared" si="53"/>
        <v/>
      </c>
      <c r="AE208" s="70" t="str">
        <f t="shared" si="54"/>
        <v/>
      </c>
      <c r="AF208" s="70" t="str">
        <f t="shared" si="55"/>
        <v/>
      </c>
      <c r="AG208" t="str">
        <f>IFERROR(MATCH(ROWS($AG$9:AG208),_EngineTrades!$AW$9:$AW$508,0)+8,"")</f>
        <v/>
      </c>
    </row>
  </sheetData>
  <autoFilter ref="B8:AF208" xr:uid="{00000000-0009-0000-0000-000005000000}"/>
  <mergeCells count="1">
    <mergeCell ref="A2:AF2"/>
  </mergeCells>
  <dataValidations count="2">
    <dataValidation type="decimal" operator="greaterThanOrEqual" allowBlank="1" sqref="Z9:AA208 AC9:AC208" xr:uid="{00000000-0002-0000-0500-000000000000}">
      <formula1>0</formula1>
    </dataValidation>
    <dataValidation type="decimal" allowBlank="1" sqref="AB9:AB208" xr:uid="{00000000-0002-0000-0500-000001000000}">
      <formula1>-1000000</formula1>
      <formula2>1000000</formula2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Overview</vt:lpstr>
      <vt:lpstr>Trades</vt:lpstr>
      <vt:lpstr>Cycles</vt:lpstr>
      <vt:lpstr>Instructions</vt:lpstr>
      <vt:lpstr>Instructions!Druckbereich</vt:lpstr>
      <vt:lpstr>Overview!Druckbereich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BeInOptions Wheel Strategy Tracker</dc:title>
  <dc:subject>Formula-driven Wheel Strategy trade and cycle tracker</dc:subject>
  <dc:creator/>
  <cp:keywords/>
  <dc:description/>
  <cp:lastModifiedBy/>
  <dcterms:created xsi:type="dcterms:W3CDTF">2026-10-18T18:53:56Z</dcterms:created>
  <dcterms:modified xsi:type="dcterms:W3CDTF">2026-10-18T18:54:47Z</dcterms:modified>
  <cp:category/>
</cp:coreProperties>
</file>